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drawings/drawing5.xml" ContentType="application/vnd.openxmlformats-officedocument.drawingml.chartshapes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drawings/drawing6.xml" ContentType="application/vnd.openxmlformats-officedocument.drawingml.chartshapes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drawings/drawing7.xml" ContentType="application/vnd.openxmlformats-officedocument.drawing+xml"/>
  <Override PartName="/xl/comments5.xml" ContentType="application/vnd.openxmlformats-officedocument.spreadsheetml.comments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drawings/drawing8.xml" ContentType="application/vnd.openxmlformats-officedocument.drawingml.chartshapes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0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2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charts/chart93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4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5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6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charts/chart97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98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99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00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charts/chart101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02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03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charts/chart104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charts/chart105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charts/chart106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charts/chart107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drawings/drawing9.xml" ContentType="application/vnd.openxmlformats-officedocument.drawing+xml"/>
  <Override PartName="/xl/comments6.xml" ContentType="application/vnd.openxmlformats-officedocument.spreadsheetml.comments+xml"/>
  <Override PartName="/xl/charts/chart108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charts/chart109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charts/chart110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charts/chart111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charts/chart112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charts/chart113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charts/chart114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charts/chart115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charts/chart116.xml" ContentType="application/vnd.openxmlformats-officedocument.drawingml.chart+xml"/>
  <Override PartName="/xl/charts/style116.xml" ContentType="application/vnd.ms-office.chartstyle+xml"/>
  <Override PartName="/xl/charts/colors116.xml" ContentType="application/vnd.ms-office.chartcolorstyle+xml"/>
  <Override PartName="/xl/drawings/drawing10.xml" ContentType="application/vnd.openxmlformats-officedocument.drawingml.chartshapes+xml"/>
  <Override PartName="/xl/charts/chart117.xml" ContentType="application/vnd.openxmlformats-officedocument.drawingml.chart+xml"/>
  <Override PartName="/xl/charts/style117.xml" ContentType="application/vnd.ms-office.chartstyle+xml"/>
  <Override PartName="/xl/charts/colors117.xml" ContentType="application/vnd.ms-office.chartcolorstyle+xml"/>
  <Override PartName="/xl/charts/chart118.xml" ContentType="application/vnd.openxmlformats-officedocument.drawingml.chart+xml"/>
  <Override PartName="/xl/charts/style118.xml" ContentType="application/vnd.ms-office.chartstyle+xml"/>
  <Override PartName="/xl/charts/colors118.xml" ContentType="application/vnd.ms-office.chartcolorstyle+xml"/>
  <Override PartName="/xl/charts/chart119.xml" ContentType="application/vnd.openxmlformats-officedocument.drawingml.chart+xml"/>
  <Override PartName="/xl/charts/style119.xml" ContentType="application/vnd.ms-office.chartstyle+xml"/>
  <Override PartName="/xl/charts/colors119.xml" ContentType="application/vnd.ms-office.chartcolorstyle+xml"/>
  <Override PartName="/xl/charts/chart120.xml" ContentType="application/vnd.openxmlformats-officedocument.drawingml.chart+xml"/>
  <Override PartName="/xl/charts/style120.xml" ContentType="application/vnd.ms-office.chartstyle+xml"/>
  <Override PartName="/xl/charts/colors120.xml" ContentType="application/vnd.ms-office.chartcolorstyle+xml"/>
  <Override PartName="/xl/charts/chart121.xml" ContentType="application/vnd.openxmlformats-officedocument.drawingml.chart+xml"/>
  <Override PartName="/xl/charts/style121.xml" ContentType="application/vnd.ms-office.chartstyle+xml"/>
  <Override PartName="/xl/charts/colors121.xml" ContentType="application/vnd.ms-office.chartcolorstyle+xml"/>
  <Override PartName="/xl/charts/chart122.xml" ContentType="application/vnd.openxmlformats-officedocument.drawingml.chart+xml"/>
  <Override PartName="/xl/charts/style122.xml" ContentType="application/vnd.ms-office.chartstyle+xml"/>
  <Override PartName="/xl/charts/colors122.xml" ContentType="application/vnd.ms-office.chartcolorstyle+xml"/>
  <Override PartName="/xl/charts/chart123.xml" ContentType="application/vnd.openxmlformats-officedocument.drawingml.chart+xml"/>
  <Override PartName="/xl/charts/style123.xml" ContentType="application/vnd.ms-office.chartstyle+xml"/>
  <Override PartName="/xl/charts/colors123.xml" ContentType="application/vnd.ms-office.chartcolorstyle+xml"/>
  <Override PartName="/xl/charts/chart124.xml" ContentType="application/vnd.openxmlformats-officedocument.drawingml.chart+xml"/>
  <Override PartName="/xl/charts/style124.xml" ContentType="application/vnd.ms-office.chartstyle+xml"/>
  <Override PartName="/xl/charts/colors124.xml" ContentType="application/vnd.ms-office.chartcolorstyle+xml"/>
  <Override PartName="/xl/charts/chart125.xml" ContentType="application/vnd.openxmlformats-officedocument.drawingml.chart+xml"/>
  <Override PartName="/xl/charts/style125.xml" ContentType="application/vnd.ms-office.chartstyle+xml"/>
  <Override PartName="/xl/charts/colors125.xml" ContentType="application/vnd.ms-office.chartcolorstyle+xml"/>
  <Override PartName="/xl/drawings/drawing11.xml" ContentType="application/vnd.openxmlformats-officedocument.drawingml.chartshapes+xml"/>
  <Override PartName="/xl/charts/chart126.xml" ContentType="application/vnd.openxmlformats-officedocument.drawingml.chart+xml"/>
  <Override PartName="/xl/charts/style126.xml" ContentType="application/vnd.ms-office.chartstyle+xml"/>
  <Override PartName="/xl/charts/colors126.xml" ContentType="application/vnd.ms-office.chartcolorstyle+xml"/>
  <Override PartName="/xl/drawings/drawing12.xml" ContentType="application/vnd.openxmlformats-officedocument.drawing+xml"/>
  <Override PartName="/xl/charts/chart127.xml" ContentType="application/vnd.openxmlformats-officedocument.drawingml.chart+xml"/>
  <Override PartName="/xl/charts/style127.xml" ContentType="application/vnd.ms-office.chartstyle+xml"/>
  <Override PartName="/xl/charts/colors127.xml" ContentType="application/vnd.ms-office.chartcolorstyle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omments7.xml" ContentType="application/vnd.openxmlformats-officedocument.spreadsheetml.comments+xml"/>
  <Override PartName="/xl/charts/chart128.xml" ContentType="application/vnd.openxmlformats-officedocument.drawingml.chart+xml"/>
  <Override PartName="/xl/charts/style128.xml" ContentType="application/vnd.ms-office.chartstyle+xml"/>
  <Override PartName="/xl/charts/colors128.xml" ContentType="application/vnd.ms-office.chartcolorstyle+xml"/>
  <Override PartName="/xl/charts/chart129.xml" ContentType="application/vnd.openxmlformats-officedocument.drawingml.chart+xml"/>
  <Override PartName="/xl/charts/style129.xml" ContentType="application/vnd.ms-office.chartstyle+xml"/>
  <Override PartName="/xl/charts/colors129.xml" ContentType="application/vnd.ms-office.chartcolorstyle+xml"/>
  <Override PartName="/xl/charts/chart130.xml" ContentType="application/vnd.openxmlformats-officedocument.drawingml.chart+xml"/>
  <Override PartName="/xl/charts/style130.xml" ContentType="application/vnd.ms-office.chartstyle+xml"/>
  <Override PartName="/xl/charts/colors130.xml" ContentType="application/vnd.ms-office.chartcolorstyle+xml"/>
  <Override PartName="/xl/charts/chart131.xml" ContentType="application/vnd.openxmlformats-officedocument.drawingml.chart+xml"/>
  <Override PartName="/xl/charts/style131.xml" ContentType="application/vnd.ms-office.chartstyle+xml"/>
  <Override PartName="/xl/charts/colors131.xml" ContentType="application/vnd.ms-office.chartcolorstyle+xml"/>
  <Override PartName="/xl/charts/chart132.xml" ContentType="application/vnd.openxmlformats-officedocument.drawingml.chart+xml"/>
  <Override PartName="/xl/charts/style132.xml" ContentType="application/vnd.ms-office.chartstyle+xml"/>
  <Override PartName="/xl/charts/colors132.xml" ContentType="application/vnd.ms-office.chartcolorstyle+xml"/>
  <Override PartName="/xl/drawings/drawing15.xml" ContentType="application/vnd.openxmlformats-officedocument.drawingml.chartshapes+xml"/>
  <Override PartName="/xl/charts/chart133.xml" ContentType="application/vnd.openxmlformats-officedocument.drawingml.chart+xml"/>
  <Override PartName="/xl/charts/style133.xml" ContentType="application/vnd.ms-office.chartstyle+xml"/>
  <Override PartName="/xl/charts/colors133.xml" ContentType="application/vnd.ms-office.chartcolorstyle+xml"/>
  <Override PartName="/xl/charts/chart134.xml" ContentType="application/vnd.openxmlformats-officedocument.drawingml.chart+xml"/>
  <Override PartName="/xl/charts/style134.xml" ContentType="application/vnd.ms-office.chartstyle+xml"/>
  <Override PartName="/xl/charts/colors134.xml" ContentType="application/vnd.ms-office.chartcolorstyle+xml"/>
  <Override PartName="/xl/charts/chart135.xml" ContentType="application/vnd.openxmlformats-officedocument.drawingml.chart+xml"/>
  <Override PartName="/xl/charts/style135.xml" ContentType="application/vnd.ms-office.chartstyle+xml"/>
  <Override PartName="/xl/charts/colors135.xml" ContentType="application/vnd.ms-office.chartcolorstyle+xml"/>
  <Override PartName="/xl/charts/chart136.xml" ContentType="application/vnd.openxmlformats-officedocument.drawingml.chart+xml"/>
  <Override PartName="/xl/charts/style136.xml" ContentType="application/vnd.ms-office.chartstyle+xml"/>
  <Override PartName="/xl/charts/colors136.xml" ContentType="application/vnd.ms-office.chartcolorstyle+xml"/>
  <Override PartName="/xl/charts/chart137.xml" ContentType="application/vnd.openxmlformats-officedocument.drawingml.chart+xml"/>
  <Override PartName="/xl/charts/style137.xml" ContentType="application/vnd.ms-office.chartstyle+xml"/>
  <Override PartName="/xl/charts/colors137.xml" ContentType="application/vnd.ms-office.chartcolorstyle+xml"/>
  <Override PartName="/xl/charts/chart138.xml" ContentType="application/vnd.openxmlformats-officedocument.drawingml.chart+xml"/>
  <Override PartName="/xl/charts/style138.xml" ContentType="application/vnd.ms-office.chartstyle+xml"/>
  <Override PartName="/xl/charts/colors138.xml" ContentType="application/vnd.ms-office.chartcolorstyle+xml"/>
  <Override PartName="/xl/charts/chart139.xml" ContentType="application/vnd.openxmlformats-officedocument.drawingml.chart+xml"/>
  <Override PartName="/xl/charts/style139.xml" ContentType="application/vnd.ms-office.chartstyle+xml"/>
  <Override PartName="/xl/charts/colors139.xml" ContentType="application/vnd.ms-office.chartcolorstyle+xml"/>
  <Override PartName="/xl/charts/chart140.xml" ContentType="application/vnd.openxmlformats-officedocument.drawingml.chart+xml"/>
  <Override PartName="/xl/charts/style140.xml" ContentType="application/vnd.ms-office.chartstyle+xml"/>
  <Override PartName="/xl/charts/colors140.xml" ContentType="application/vnd.ms-office.chartcolorstyle+xml"/>
  <Override PartName="/xl/charts/chart141.xml" ContentType="application/vnd.openxmlformats-officedocument.drawingml.chart+xml"/>
  <Override PartName="/xl/charts/style141.xml" ContentType="application/vnd.ms-office.chartstyle+xml"/>
  <Override PartName="/xl/charts/colors141.xml" ContentType="application/vnd.ms-office.chartcolorstyle+xml"/>
  <Override PartName="/xl/charts/chart142.xml" ContentType="application/vnd.openxmlformats-officedocument.drawingml.chart+xml"/>
  <Override PartName="/xl/charts/style142.xml" ContentType="application/vnd.ms-office.chartstyle+xml"/>
  <Override PartName="/xl/charts/colors142.xml" ContentType="application/vnd.ms-office.chartcolorstyle+xml"/>
  <Override PartName="/xl/charts/chart143.xml" ContentType="application/vnd.openxmlformats-officedocument.drawingml.chart+xml"/>
  <Override PartName="/xl/charts/style143.xml" ContentType="application/vnd.ms-office.chartstyle+xml"/>
  <Override PartName="/xl/charts/colors143.xml" ContentType="application/vnd.ms-office.chartcolorstyle+xml"/>
  <Override PartName="/xl/charts/chart144.xml" ContentType="application/vnd.openxmlformats-officedocument.drawingml.chart+xml"/>
  <Override PartName="/xl/charts/style144.xml" ContentType="application/vnd.ms-office.chartstyle+xml"/>
  <Override PartName="/xl/charts/colors144.xml" ContentType="application/vnd.ms-office.chartcolorstyle+xml"/>
  <Override PartName="/xl/charts/chart145.xml" ContentType="application/vnd.openxmlformats-officedocument.drawingml.chart+xml"/>
  <Override PartName="/xl/charts/style145.xml" ContentType="application/vnd.ms-office.chartstyle+xml"/>
  <Override PartName="/xl/charts/colors145.xml" ContentType="application/vnd.ms-office.chartcolorstyle+xml"/>
  <Override PartName="/xl/charts/chart146.xml" ContentType="application/vnd.openxmlformats-officedocument.drawingml.chart+xml"/>
  <Override PartName="/xl/charts/style146.xml" ContentType="application/vnd.ms-office.chartstyle+xml"/>
  <Override PartName="/xl/charts/colors146.xml" ContentType="application/vnd.ms-office.chartcolorstyle+xml"/>
  <Override PartName="/xl/charts/chart147.xml" ContentType="application/vnd.openxmlformats-officedocument.drawingml.chart+xml"/>
  <Override PartName="/xl/charts/style147.xml" ContentType="application/vnd.ms-office.chartstyle+xml"/>
  <Override PartName="/xl/charts/colors147.xml" ContentType="application/vnd.ms-office.chartcolorstyle+xml"/>
  <Override PartName="/xl/charts/chart148.xml" ContentType="application/vnd.openxmlformats-officedocument.drawingml.chart+xml"/>
  <Override PartName="/xl/charts/style148.xml" ContentType="application/vnd.ms-office.chartstyle+xml"/>
  <Override PartName="/xl/charts/colors148.xml" ContentType="application/vnd.ms-office.chartcolorstyle+xml"/>
  <Override PartName="/xl/charts/chart149.xml" ContentType="application/vnd.openxmlformats-officedocument.drawingml.chart+xml"/>
  <Override PartName="/xl/charts/style149.xml" ContentType="application/vnd.ms-office.chartstyle+xml"/>
  <Override PartName="/xl/charts/colors149.xml" ContentType="application/vnd.ms-office.chartcolorstyle+xml"/>
  <Override PartName="/xl/charts/chart150.xml" ContentType="application/vnd.openxmlformats-officedocument.drawingml.chart+xml"/>
  <Override PartName="/xl/charts/style150.xml" ContentType="application/vnd.ms-office.chartstyle+xml"/>
  <Override PartName="/xl/charts/colors150.xml" ContentType="application/vnd.ms-office.chartcolorstyle+xml"/>
  <Override PartName="/xl/charts/chart151.xml" ContentType="application/vnd.openxmlformats-officedocument.drawingml.chart+xml"/>
  <Override PartName="/xl/charts/style151.xml" ContentType="application/vnd.ms-office.chartstyle+xml"/>
  <Override PartName="/xl/charts/colors151.xml" ContentType="application/vnd.ms-office.chartcolorstyle+xml"/>
  <Override PartName="/xl/charts/chart152.xml" ContentType="application/vnd.openxmlformats-officedocument.drawingml.chart+xml"/>
  <Override PartName="/xl/charts/style152.xml" ContentType="application/vnd.ms-office.chartstyle+xml"/>
  <Override PartName="/xl/charts/colors152.xml" ContentType="application/vnd.ms-office.chartcolorstyle+xml"/>
  <Override PartName="/xl/charts/chart153.xml" ContentType="application/vnd.openxmlformats-officedocument.drawingml.chart+xml"/>
  <Override PartName="/xl/charts/style153.xml" ContentType="application/vnd.ms-office.chartstyle+xml"/>
  <Override PartName="/xl/charts/colors153.xml" ContentType="application/vnd.ms-office.chartcolorstyle+xml"/>
  <Override PartName="/xl/charts/chart154.xml" ContentType="application/vnd.openxmlformats-officedocument.drawingml.chart+xml"/>
  <Override PartName="/xl/charts/style154.xml" ContentType="application/vnd.ms-office.chartstyle+xml"/>
  <Override PartName="/xl/charts/colors154.xml" ContentType="application/vnd.ms-office.chartcolorstyle+xml"/>
  <Override PartName="/xl/charts/chart155.xml" ContentType="application/vnd.openxmlformats-officedocument.drawingml.chart+xml"/>
  <Override PartName="/xl/charts/style155.xml" ContentType="application/vnd.ms-office.chartstyle+xml"/>
  <Override PartName="/xl/charts/colors155.xml" ContentType="application/vnd.ms-office.chartcolorstyle+xml"/>
  <Override PartName="/xl/charts/chart156.xml" ContentType="application/vnd.openxmlformats-officedocument.drawingml.chart+xml"/>
  <Override PartName="/xl/charts/style156.xml" ContentType="application/vnd.ms-office.chartstyle+xml"/>
  <Override PartName="/xl/charts/colors156.xml" ContentType="application/vnd.ms-office.chartcolorstyle+xml"/>
  <Override PartName="/xl/charts/chart157.xml" ContentType="application/vnd.openxmlformats-officedocument.drawingml.chart+xml"/>
  <Override PartName="/xl/charts/style157.xml" ContentType="application/vnd.ms-office.chartstyle+xml"/>
  <Override PartName="/xl/charts/colors157.xml" ContentType="application/vnd.ms-office.chartcolorstyle+xml"/>
  <Override PartName="/xl/charts/chart158.xml" ContentType="application/vnd.openxmlformats-officedocument.drawingml.chart+xml"/>
  <Override PartName="/xl/charts/style158.xml" ContentType="application/vnd.ms-office.chartstyle+xml"/>
  <Override PartName="/xl/charts/colors158.xml" ContentType="application/vnd.ms-office.chartcolorstyle+xml"/>
  <Override PartName="/xl/charts/chart159.xml" ContentType="application/vnd.openxmlformats-officedocument.drawingml.chart+xml"/>
  <Override PartName="/xl/charts/style159.xml" ContentType="application/vnd.ms-office.chartstyle+xml"/>
  <Override PartName="/xl/charts/colors159.xml" ContentType="application/vnd.ms-office.chartcolorstyle+xml"/>
  <Override PartName="/xl/charts/chart160.xml" ContentType="application/vnd.openxmlformats-officedocument.drawingml.chart+xml"/>
  <Override PartName="/xl/charts/style160.xml" ContentType="application/vnd.ms-office.chartstyle+xml"/>
  <Override PartName="/xl/charts/colors160.xml" ContentType="application/vnd.ms-office.chartcolorstyle+xml"/>
  <Override PartName="/xl/charts/chart161.xml" ContentType="application/vnd.openxmlformats-officedocument.drawingml.chart+xml"/>
  <Override PartName="/xl/charts/style161.xml" ContentType="application/vnd.ms-office.chartstyle+xml"/>
  <Override PartName="/xl/charts/colors161.xml" ContentType="application/vnd.ms-office.chartcolorstyle+xml"/>
  <Override PartName="/xl/charts/chart162.xml" ContentType="application/vnd.openxmlformats-officedocument.drawingml.chart+xml"/>
  <Override PartName="/xl/charts/style162.xml" ContentType="application/vnd.ms-office.chartstyle+xml"/>
  <Override PartName="/xl/charts/colors162.xml" ContentType="application/vnd.ms-office.chartcolorstyle+xml"/>
  <Override PartName="/xl/charts/chart163.xml" ContentType="application/vnd.openxmlformats-officedocument.drawingml.chart+xml"/>
  <Override PartName="/xl/charts/style163.xml" ContentType="application/vnd.ms-office.chartstyle+xml"/>
  <Override PartName="/xl/charts/colors163.xml" ContentType="application/vnd.ms-office.chartcolorstyle+xml"/>
  <Override PartName="/xl/charts/chart164.xml" ContentType="application/vnd.openxmlformats-officedocument.drawingml.chart+xml"/>
  <Override PartName="/xl/charts/style164.xml" ContentType="application/vnd.ms-office.chartstyle+xml"/>
  <Override PartName="/xl/charts/colors164.xml" ContentType="application/vnd.ms-office.chartcolorstyle+xml"/>
  <Override PartName="/xl/charts/chart165.xml" ContentType="application/vnd.openxmlformats-officedocument.drawingml.chart+xml"/>
  <Override PartName="/xl/charts/style165.xml" ContentType="application/vnd.ms-office.chartstyle+xml"/>
  <Override PartName="/xl/charts/colors165.xml" ContentType="application/vnd.ms-office.chartcolorstyle+xml"/>
  <Override PartName="/xl/charts/chart166.xml" ContentType="application/vnd.openxmlformats-officedocument.drawingml.chart+xml"/>
  <Override PartName="/xl/charts/style166.xml" ContentType="application/vnd.ms-office.chartstyle+xml"/>
  <Override PartName="/xl/charts/colors166.xml" ContentType="application/vnd.ms-office.chartcolorstyle+xml"/>
  <Override PartName="/xl/charts/chart167.xml" ContentType="application/vnd.openxmlformats-officedocument.drawingml.chart+xml"/>
  <Override PartName="/xl/charts/style167.xml" ContentType="application/vnd.ms-office.chartstyle+xml"/>
  <Override PartName="/xl/charts/colors167.xml" ContentType="application/vnd.ms-office.chartcolorstyle+xml"/>
  <Override PartName="/xl/charts/chart168.xml" ContentType="application/vnd.openxmlformats-officedocument.drawingml.chart+xml"/>
  <Override PartName="/xl/charts/style168.xml" ContentType="application/vnd.ms-office.chartstyle+xml"/>
  <Override PartName="/xl/charts/colors168.xml" ContentType="application/vnd.ms-office.chartcolorstyle+xml"/>
  <Override PartName="/xl/charts/chart169.xml" ContentType="application/vnd.openxmlformats-officedocument.drawingml.chart+xml"/>
  <Override PartName="/xl/charts/style169.xml" ContentType="application/vnd.ms-office.chartstyle+xml"/>
  <Override PartName="/xl/charts/colors169.xml" ContentType="application/vnd.ms-office.chartcolorstyle+xml"/>
  <Override PartName="/xl/charts/chart170.xml" ContentType="application/vnd.openxmlformats-officedocument.drawingml.chart+xml"/>
  <Override PartName="/xl/charts/style170.xml" ContentType="application/vnd.ms-office.chartstyle+xml"/>
  <Override PartName="/xl/charts/colors170.xml" ContentType="application/vnd.ms-office.chartcolorstyle+xml"/>
  <Override PartName="/xl/charts/chart171.xml" ContentType="application/vnd.openxmlformats-officedocument.drawingml.chart+xml"/>
  <Override PartName="/xl/charts/style171.xml" ContentType="application/vnd.ms-office.chartstyle+xml"/>
  <Override PartName="/xl/charts/colors171.xml" ContentType="application/vnd.ms-office.chartcolorstyle+xml"/>
  <Override PartName="/xl/drawings/drawing16.xml" ContentType="application/vnd.openxmlformats-officedocument.drawing+xml"/>
  <Override PartName="/xl/charts/chart172.xml" ContentType="application/vnd.openxmlformats-officedocument.drawingml.chart+xml"/>
  <Override PartName="/xl/charts/style172.xml" ContentType="application/vnd.ms-office.chartstyle+xml"/>
  <Override PartName="/xl/charts/colors172.xml" ContentType="application/vnd.ms-office.chartcolorstyle+xml"/>
  <Override PartName="/xl/drawings/drawing17.xml" ContentType="application/vnd.openxmlformats-officedocument.drawing+xml"/>
  <Override PartName="/xl/comments8.xml" ContentType="application/vnd.openxmlformats-officedocument.spreadsheetml.comments+xml"/>
  <Override PartName="/xl/charts/chart173.xml" ContentType="application/vnd.openxmlformats-officedocument.drawingml.chart+xml"/>
  <Override PartName="/xl/charts/style173.xml" ContentType="application/vnd.ms-office.chartstyle+xml"/>
  <Override PartName="/xl/charts/colors173.xml" ContentType="application/vnd.ms-office.chartcolorstyle+xml"/>
  <Override PartName="/xl/charts/chart174.xml" ContentType="application/vnd.openxmlformats-officedocument.drawingml.chart+xml"/>
  <Override PartName="/xl/charts/style174.xml" ContentType="application/vnd.ms-office.chartstyle+xml"/>
  <Override PartName="/xl/charts/colors174.xml" ContentType="application/vnd.ms-office.chartcolorstyle+xml"/>
  <Override PartName="/xl/charts/chart175.xml" ContentType="application/vnd.openxmlformats-officedocument.drawingml.chart+xml"/>
  <Override PartName="/xl/charts/style175.xml" ContentType="application/vnd.ms-office.chartstyle+xml"/>
  <Override PartName="/xl/charts/colors175.xml" ContentType="application/vnd.ms-office.chartcolorstyle+xml"/>
  <Override PartName="/xl/charts/chart176.xml" ContentType="application/vnd.openxmlformats-officedocument.drawingml.chart+xml"/>
  <Override PartName="/xl/charts/style176.xml" ContentType="application/vnd.ms-office.chartstyle+xml"/>
  <Override PartName="/xl/charts/colors176.xml" ContentType="application/vnd.ms-office.chartcolorstyle+xml"/>
  <Override PartName="/xl/charts/chart177.xml" ContentType="application/vnd.openxmlformats-officedocument.drawingml.chart+xml"/>
  <Override PartName="/xl/charts/style177.xml" ContentType="application/vnd.ms-office.chartstyle+xml"/>
  <Override PartName="/xl/charts/colors177.xml" ContentType="application/vnd.ms-office.chartcolorstyle+xml"/>
  <Override PartName="/xl/drawings/drawing18.xml" ContentType="application/vnd.openxmlformats-officedocument.drawingml.chartshapes+xml"/>
  <Override PartName="/xl/charts/chart178.xml" ContentType="application/vnd.openxmlformats-officedocument.drawingml.chart+xml"/>
  <Override PartName="/xl/charts/style178.xml" ContentType="application/vnd.ms-office.chartstyle+xml"/>
  <Override PartName="/xl/charts/colors178.xml" ContentType="application/vnd.ms-office.chartcolorstyle+xml"/>
  <Override PartName="/xl/charts/chart179.xml" ContentType="application/vnd.openxmlformats-officedocument.drawingml.chart+xml"/>
  <Override PartName="/xl/charts/style179.xml" ContentType="application/vnd.ms-office.chartstyle+xml"/>
  <Override PartName="/xl/charts/colors179.xml" ContentType="application/vnd.ms-office.chartcolorstyle+xml"/>
  <Override PartName="/xl/charts/chart180.xml" ContentType="application/vnd.openxmlformats-officedocument.drawingml.chart+xml"/>
  <Override PartName="/xl/charts/style180.xml" ContentType="application/vnd.ms-office.chartstyle+xml"/>
  <Override PartName="/xl/charts/colors180.xml" ContentType="application/vnd.ms-office.chartcolorstyle+xml"/>
  <Override PartName="/xl/charts/chart181.xml" ContentType="application/vnd.openxmlformats-officedocument.drawingml.chart+xml"/>
  <Override PartName="/xl/charts/style181.xml" ContentType="application/vnd.ms-office.chartstyle+xml"/>
  <Override PartName="/xl/charts/colors181.xml" ContentType="application/vnd.ms-office.chartcolorstyle+xml"/>
  <Override PartName="/xl/charts/chart182.xml" ContentType="application/vnd.openxmlformats-officedocument.drawingml.chart+xml"/>
  <Override PartName="/xl/charts/style182.xml" ContentType="application/vnd.ms-office.chartstyle+xml"/>
  <Override PartName="/xl/charts/colors182.xml" ContentType="application/vnd.ms-office.chartcolorstyle+xml"/>
  <Override PartName="/xl/charts/chart183.xml" ContentType="application/vnd.openxmlformats-officedocument.drawingml.chart+xml"/>
  <Override PartName="/xl/charts/style183.xml" ContentType="application/vnd.ms-office.chartstyle+xml"/>
  <Override PartName="/xl/charts/colors183.xml" ContentType="application/vnd.ms-office.chartcolorstyle+xml"/>
  <Override PartName="/xl/charts/chart184.xml" ContentType="application/vnd.openxmlformats-officedocument.drawingml.chart+xml"/>
  <Override PartName="/xl/charts/style184.xml" ContentType="application/vnd.ms-office.chartstyle+xml"/>
  <Override PartName="/xl/charts/colors184.xml" ContentType="application/vnd.ms-office.chartcolorstyle+xml"/>
  <Override PartName="/xl/charts/chart185.xml" ContentType="application/vnd.openxmlformats-officedocument.drawingml.chart+xml"/>
  <Override PartName="/xl/charts/style185.xml" ContentType="application/vnd.ms-office.chartstyle+xml"/>
  <Override PartName="/xl/charts/colors185.xml" ContentType="application/vnd.ms-office.chartcolorstyle+xml"/>
  <Override PartName="/xl/charts/chart186.xml" ContentType="application/vnd.openxmlformats-officedocument.drawingml.chart+xml"/>
  <Override PartName="/xl/charts/style186.xml" ContentType="application/vnd.ms-office.chartstyle+xml"/>
  <Override PartName="/xl/charts/colors186.xml" ContentType="application/vnd.ms-office.chartcolorstyle+xml"/>
  <Override PartName="/xl/charts/chart187.xml" ContentType="application/vnd.openxmlformats-officedocument.drawingml.chart+xml"/>
  <Override PartName="/xl/charts/style187.xml" ContentType="application/vnd.ms-office.chartstyle+xml"/>
  <Override PartName="/xl/charts/colors187.xml" ContentType="application/vnd.ms-office.chartcolorstyle+xml"/>
  <Override PartName="/xl/charts/chart188.xml" ContentType="application/vnd.openxmlformats-officedocument.drawingml.chart+xml"/>
  <Override PartName="/xl/charts/style188.xml" ContentType="application/vnd.ms-office.chartstyle+xml"/>
  <Override PartName="/xl/charts/colors188.xml" ContentType="application/vnd.ms-office.chartcolorstyle+xml"/>
  <Override PartName="/xl/charts/chart189.xml" ContentType="application/vnd.openxmlformats-officedocument.drawingml.chart+xml"/>
  <Override PartName="/xl/charts/style189.xml" ContentType="application/vnd.ms-office.chartstyle+xml"/>
  <Override PartName="/xl/charts/colors189.xml" ContentType="application/vnd.ms-office.chartcolorstyle+xml"/>
  <Override PartName="/xl/charts/chart190.xml" ContentType="application/vnd.openxmlformats-officedocument.drawingml.chart+xml"/>
  <Override PartName="/xl/charts/style190.xml" ContentType="application/vnd.ms-office.chartstyle+xml"/>
  <Override PartName="/xl/charts/colors190.xml" ContentType="application/vnd.ms-office.chartcolorstyle+xml"/>
  <Override PartName="/xl/charts/chart191.xml" ContentType="application/vnd.openxmlformats-officedocument.drawingml.chart+xml"/>
  <Override PartName="/xl/charts/style191.xml" ContentType="application/vnd.ms-office.chartstyle+xml"/>
  <Override PartName="/xl/charts/colors191.xml" ContentType="application/vnd.ms-office.chartcolorstyle+xml"/>
  <Override PartName="/xl/charts/chart192.xml" ContentType="application/vnd.openxmlformats-officedocument.drawingml.chart+xml"/>
  <Override PartName="/xl/charts/style192.xml" ContentType="application/vnd.ms-office.chartstyle+xml"/>
  <Override PartName="/xl/charts/colors192.xml" ContentType="application/vnd.ms-office.chartcolorstyle+xml"/>
  <Override PartName="/xl/charts/chart193.xml" ContentType="application/vnd.openxmlformats-officedocument.drawingml.chart+xml"/>
  <Override PartName="/xl/charts/style193.xml" ContentType="application/vnd.ms-office.chartstyle+xml"/>
  <Override PartName="/xl/charts/colors19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ken\Documents\TC_Comparison_Code\Not_Required_for_TC_Calcs\"/>
    </mc:Choice>
  </mc:AlternateContent>
  <xr:revisionPtr revIDLastSave="0" documentId="13_ncr:1_{E9034227-6F2D-411A-B6C7-333A1199AD4E}" xr6:coauthVersionLast="47" xr6:coauthVersionMax="47" xr10:uidLastSave="{00000000-0000-0000-0000-000000000000}"/>
  <bookViews>
    <workbookView xWindow="-120" yWindow="-120" windowWidth="29040" windowHeight="15840" tabRatio="651" xr2:uid="{00000000-000D-0000-FFFF-FFFF00000000}"/>
  </bookViews>
  <sheets>
    <sheet name="MFP-rsum (2)" sheetId="18" r:id="rId1"/>
    <sheet name="MFP-rsum" sheetId="8" r:id="rId2"/>
    <sheet name="MFP-PDF_Avg_Original" sheetId="11" r:id="rId3"/>
    <sheet name="MFP-PDF_All (3)" sheetId="14" r:id="rId4"/>
    <sheet name="MFP-PDF_Avg" sheetId="15" r:id="rId5"/>
    <sheet name="MFP-PDF_All (2)" sheetId="13" r:id="rId6"/>
    <sheet name="Sheet4" sheetId="7" r:id="rId7"/>
    <sheet name="MFP-PDF_Avg (2)" sheetId="16" r:id="rId8"/>
    <sheet name="Sheet1" sheetId="19" r:id="rId9"/>
    <sheet name="AvgSchemeTest" sheetId="17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3" i="18" l="1"/>
  <c r="AL3" i="18"/>
  <c r="AK4" i="18"/>
  <c r="AL4" i="18"/>
  <c r="AK7" i="18"/>
  <c r="AL7" i="18"/>
  <c r="AK8" i="18"/>
  <c r="AL8" i="18"/>
  <c r="AK9" i="18"/>
  <c r="AL9" i="18"/>
  <c r="AK14" i="18"/>
  <c r="AL14" i="18"/>
  <c r="AK24" i="18"/>
  <c r="AL24" i="18"/>
  <c r="AK25" i="18"/>
  <c r="AL25" i="18"/>
  <c r="AK33" i="18"/>
  <c r="AL33" i="18"/>
  <c r="AK35" i="18"/>
  <c r="AL35" i="18"/>
  <c r="AK36" i="18"/>
  <c r="AL36" i="18"/>
  <c r="AK37" i="18"/>
  <c r="AL37" i="18"/>
  <c r="AL2" i="18"/>
  <c r="AK2" i="18"/>
  <c r="AQ7" i="18"/>
  <c r="AQ8" i="18"/>
  <c r="AQ9" i="18"/>
  <c r="AQ14" i="18"/>
  <c r="AQ24" i="18"/>
  <c r="AQ25" i="18"/>
  <c r="AQ33" i="18"/>
  <c r="AQ35" i="18"/>
  <c r="AQ36" i="18"/>
  <c r="AQ37" i="18"/>
  <c r="AQ3" i="18"/>
  <c r="AQ45" i="18" s="1"/>
  <c r="AQ4" i="18"/>
  <c r="AQ2" i="18"/>
  <c r="AO3" i="18"/>
  <c r="AO45" i="18" s="1"/>
  <c r="AO4" i="18"/>
  <c r="AO7" i="18"/>
  <c r="AO8" i="18"/>
  <c r="AO9" i="18"/>
  <c r="AO14" i="18"/>
  <c r="AO24" i="18"/>
  <c r="AO25" i="18"/>
  <c r="AO33" i="18"/>
  <c r="AO35" i="18"/>
  <c r="AO36" i="18"/>
  <c r="AO37" i="18"/>
  <c r="AO2" i="18"/>
  <c r="W3" i="18" l="1"/>
  <c r="W4" i="18"/>
  <c r="W5" i="18"/>
  <c r="BD5" i="18" s="1"/>
  <c r="W6" i="18"/>
  <c r="BD6" i="18" s="1"/>
  <c r="W7" i="18"/>
  <c r="W8" i="18"/>
  <c r="W9" i="18"/>
  <c r="W10" i="18"/>
  <c r="W11" i="18"/>
  <c r="W12" i="18"/>
  <c r="W13" i="18"/>
  <c r="W14" i="18"/>
  <c r="W15" i="18"/>
  <c r="BD15" i="18" s="1"/>
  <c r="W16" i="18"/>
  <c r="W19" i="18"/>
  <c r="BD19" i="18" s="1"/>
  <c r="W20" i="18"/>
  <c r="BD20" i="18" s="1"/>
  <c r="W21" i="18"/>
  <c r="BD21" i="18" s="1"/>
  <c r="W22" i="18"/>
  <c r="BD22" i="18" s="1"/>
  <c r="W2" i="18"/>
  <c r="V18" i="18"/>
  <c r="W18" i="18" s="1"/>
  <c r="V17" i="18"/>
  <c r="W17" i="18" s="1"/>
  <c r="DA21" i="17" l="1"/>
  <c r="DA22" i="17" s="1"/>
  <c r="DC20" i="17"/>
  <c r="V30" i="17"/>
  <c r="V29" i="17"/>
  <c r="V31" i="17" s="1"/>
  <c r="V32" i="17" s="1"/>
  <c r="DA23" i="17" l="1"/>
  <c r="BA2" i="18"/>
  <c r="BR3" i="18"/>
  <c r="BR4" i="18"/>
  <c r="BR5" i="18"/>
  <c r="BR6" i="18"/>
  <c r="BR8" i="18"/>
  <c r="BR9" i="18"/>
  <c r="BR10" i="18"/>
  <c r="BR17" i="18"/>
  <c r="BR18" i="18"/>
  <c r="BR23" i="18"/>
  <c r="BR24" i="18"/>
  <c r="BR25" i="18"/>
  <c r="BR26" i="18"/>
  <c r="BR27" i="18"/>
  <c r="BR28" i="18"/>
  <c r="BR29" i="18"/>
  <c r="BR30" i="18"/>
  <c r="BR31" i="18"/>
  <c r="BR32" i="18"/>
  <c r="BR33" i="18"/>
  <c r="BR34" i="18"/>
  <c r="BR35" i="18"/>
  <c r="BR36" i="18"/>
  <c r="BR37" i="18"/>
  <c r="BR38" i="18"/>
  <c r="BR39" i="18"/>
  <c r="BR40" i="18"/>
  <c r="BR41" i="18"/>
  <c r="BR2" i="18"/>
  <c r="BA37" i="18"/>
  <c r="BA36" i="18"/>
  <c r="BA35" i="18"/>
  <c r="BA25" i="18"/>
  <c r="BA24" i="18"/>
  <c r="BA16" i="18"/>
  <c r="BA15" i="18"/>
  <c r="BA14" i="18"/>
  <c r="BA9" i="18"/>
  <c r="BA8" i="18"/>
  <c r="BA7" i="18"/>
  <c r="BA3" i="18"/>
  <c r="BA4" i="18"/>
  <c r="DA24" i="17" l="1"/>
  <c r="AT9" i="18"/>
  <c r="AT7" i="18"/>
  <c r="AV37" i="18"/>
  <c r="AV36" i="18"/>
  <c r="AV35" i="18"/>
  <c r="AV33" i="18"/>
  <c r="AV25" i="18"/>
  <c r="AV24" i="18"/>
  <c r="AV16" i="18"/>
  <c r="AV15" i="18"/>
  <c r="AV14" i="18"/>
  <c r="AV9" i="18"/>
  <c r="AV8" i="18"/>
  <c r="AV7" i="18"/>
  <c r="AV4" i="18"/>
  <c r="AV3" i="18"/>
  <c r="AV2" i="18"/>
  <c r="AT33" i="18"/>
  <c r="AT3" i="18"/>
  <c r="AT4" i="18"/>
  <c r="AT8" i="18"/>
  <c r="AT14" i="18"/>
  <c r="AT15" i="18"/>
  <c r="AT16" i="18"/>
  <c r="AT24" i="18"/>
  <c r="AT25" i="18"/>
  <c r="AT35" i="18"/>
  <c r="AT36" i="18"/>
  <c r="AT37" i="18"/>
  <c r="AT2" i="18"/>
  <c r="AX48" i="18"/>
  <c r="BL25" i="18"/>
  <c r="AY25" i="18" s="1"/>
  <c r="BI25" i="18"/>
  <c r="BL33" i="18"/>
  <c r="BX33" i="18"/>
  <c r="BV33" i="18"/>
  <c r="BU33" i="18"/>
  <c r="DA25" i="17" l="1"/>
  <c r="BW33" i="18"/>
  <c r="BW34" i="18" s="1"/>
  <c r="AV47" i="18"/>
  <c r="AV45" i="18"/>
  <c r="AT45" i="18"/>
  <c r="AV46" i="18"/>
  <c r="AT47" i="18"/>
  <c r="AT46" i="18"/>
  <c r="DA26" i="17" l="1"/>
  <c r="BY41" i="18"/>
  <c r="BL41" i="18"/>
  <c r="BI41" i="18"/>
  <c r="BC41" i="18"/>
  <c r="BB41" i="18"/>
  <c r="AW41" i="18" s="1"/>
  <c r="M41" i="18"/>
  <c r="I41" i="18"/>
  <c r="G41" i="18"/>
  <c r="F41" i="18"/>
  <c r="BH40" i="18"/>
  <c r="BP40" i="18"/>
  <c r="BS40" i="18" s="1"/>
  <c r="BT40" i="18" s="1"/>
  <c r="BK40" i="18"/>
  <c r="BN40" i="18" s="1"/>
  <c r="BO40" i="18" s="1"/>
  <c r="BI40" i="18"/>
  <c r="BC40" i="18"/>
  <c r="AX40" i="18"/>
  <c r="AE40" i="18"/>
  <c r="Y40" i="18"/>
  <c r="L40" i="18"/>
  <c r="BH39" i="18"/>
  <c r="BP39" i="18"/>
  <c r="BS39" i="18" s="1"/>
  <c r="BT39" i="18" s="1"/>
  <c r="BK39" i="18"/>
  <c r="BN39" i="18" s="1"/>
  <c r="BO39" i="18" s="1"/>
  <c r="BI39" i="18"/>
  <c r="BC39" i="18"/>
  <c r="AX39" i="18"/>
  <c r="AE39" i="18"/>
  <c r="Y39" i="18"/>
  <c r="L39" i="18"/>
  <c r="BH38" i="18"/>
  <c r="BP38" i="18"/>
  <c r="BS38" i="18" s="1"/>
  <c r="BT38" i="18" s="1"/>
  <c r="BK38" i="18"/>
  <c r="BN38" i="18" s="1"/>
  <c r="BO38" i="18" s="1"/>
  <c r="BI38" i="18"/>
  <c r="BC38" i="18"/>
  <c r="AX38" i="18"/>
  <c r="AE38" i="18"/>
  <c r="Y38" i="18"/>
  <c r="L38" i="18"/>
  <c r="BP37" i="18"/>
  <c r="BS37" i="18" s="1"/>
  <c r="BT37" i="18" s="1"/>
  <c r="BL37" i="18"/>
  <c r="BI37" i="18"/>
  <c r="BC37" i="18"/>
  <c r="AX37" i="18"/>
  <c r="AE37" i="18"/>
  <c r="M37" i="18"/>
  <c r="L37" i="18"/>
  <c r="BY37" i="18" s="1"/>
  <c r="I37" i="18"/>
  <c r="G37" i="18"/>
  <c r="F37" i="18"/>
  <c r="BP36" i="18"/>
  <c r="BS36" i="18" s="1"/>
  <c r="BT36" i="18" s="1"/>
  <c r="BL36" i="18"/>
  <c r="AY36" i="18" s="1"/>
  <c r="BI36" i="18"/>
  <c r="BC36" i="18"/>
  <c r="AX36" i="18"/>
  <c r="AE36" i="18"/>
  <c r="M36" i="18"/>
  <c r="L36" i="18"/>
  <c r="BY36" i="18" s="1"/>
  <c r="I36" i="18"/>
  <c r="G36" i="18"/>
  <c r="F36" i="18"/>
  <c r="BP35" i="18"/>
  <c r="BS35" i="18" s="1"/>
  <c r="BT35" i="18" s="1"/>
  <c r="BL35" i="18"/>
  <c r="AY35" i="18" s="1"/>
  <c r="BI35" i="18"/>
  <c r="BC35" i="18"/>
  <c r="AX35" i="18"/>
  <c r="AE35" i="18"/>
  <c r="M35" i="18"/>
  <c r="L35" i="18"/>
  <c r="BY35" i="18" s="1"/>
  <c r="I35" i="18"/>
  <c r="G35" i="18"/>
  <c r="F35" i="18"/>
  <c r="BP34" i="18"/>
  <c r="BS34" i="18" s="1"/>
  <c r="BT34" i="18" s="1"/>
  <c r="BL34" i="18"/>
  <c r="BK34" i="18" s="1"/>
  <c r="BN34" i="18" s="1"/>
  <c r="BO34" i="18" s="1"/>
  <c r="BI34" i="18"/>
  <c r="BC34" i="18"/>
  <c r="AX34" i="18"/>
  <c r="AE34" i="18"/>
  <c r="M34" i="18"/>
  <c r="L34" i="18"/>
  <c r="BY34" i="18" s="1"/>
  <c r="I34" i="18"/>
  <c r="G34" i="18"/>
  <c r="F34" i="18"/>
  <c r="BP33" i="18"/>
  <c r="BS33" i="18" s="1"/>
  <c r="BT33" i="18" s="1"/>
  <c r="BI33" i="18"/>
  <c r="BC33" i="18"/>
  <c r="AX33" i="18"/>
  <c r="AE33" i="18"/>
  <c r="M33" i="18"/>
  <c r="I33" i="18"/>
  <c r="G33" i="18"/>
  <c r="F33" i="18"/>
  <c r="BP32" i="18"/>
  <c r="BS32" i="18" s="1"/>
  <c r="BT32" i="18" s="1"/>
  <c r="BL32" i="18"/>
  <c r="BI32" i="18"/>
  <c r="BC32" i="18"/>
  <c r="AX32" i="18"/>
  <c r="AE32" i="18"/>
  <c r="M32" i="18"/>
  <c r="I32" i="18"/>
  <c r="G32" i="18"/>
  <c r="F32" i="18"/>
  <c r="BP31" i="18"/>
  <c r="BS31" i="18" s="1"/>
  <c r="BT31" i="18" s="1"/>
  <c r="BL31" i="18"/>
  <c r="BI31" i="18"/>
  <c r="BC31" i="18"/>
  <c r="AX31" i="18"/>
  <c r="AE31" i="18"/>
  <c r="M31" i="18"/>
  <c r="I31" i="18"/>
  <c r="G31" i="18"/>
  <c r="F31" i="18"/>
  <c r="BP30" i="18"/>
  <c r="BS30" i="18" s="1"/>
  <c r="BT30" i="18" s="1"/>
  <c r="BL30" i="18"/>
  <c r="BI30" i="18"/>
  <c r="BC30" i="18"/>
  <c r="AX30" i="18"/>
  <c r="AE30" i="18"/>
  <c r="M30" i="18"/>
  <c r="L30" i="18"/>
  <c r="BY30" i="18" s="1"/>
  <c r="I30" i="18"/>
  <c r="G30" i="18"/>
  <c r="F30" i="18"/>
  <c r="BP29" i="18"/>
  <c r="BS29" i="18" s="1"/>
  <c r="BT29" i="18" s="1"/>
  <c r="BL29" i="18"/>
  <c r="BH29" i="18" s="1"/>
  <c r="BI29" i="18"/>
  <c r="BC29" i="18"/>
  <c r="AX29" i="18"/>
  <c r="AE29" i="18"/>
  <c r="M29" i="18"/>
  <c r="L29" i="18"/>
  <c r="BY29" i="18" s="1"/>
  <c r="I29" i="18"/>
  <c r="G29" i="18"/>
  <c r="F29" i="18"/>
  <c r="BP28" i="18"/>
  <c r="BS28" i="18" s="1"/>
  <c r="BT28" i="18" s="1"/>
  <c r="BL28" i="18"/>
  <c r="BK28" i="18" s="1"/>
  <c r="BN28" i="18" s="1"/>
  <c r="BO28" i="18" s="1"/>
  <c r="BI28" i="18"/>
  <c r="BC28" i="18"/>
  <c r="AX28" i="18"/>
  <c r="AE28" i="18"/>
  <c r="M28" i="18"/>
  <c r="L28" i="18"/>
  <c r="BY28" i="18" s="1"/>
  <c r="I28" i="18"/>
  <c r="G28" i="18"/>
  <c r="F28" i="18"/>
  <c r="BP27" i="18"/>
  <c r="BS27" i="18" s="1"/>
  <c r="BT27" i="18" s="1"/>
  <c r="BL27" i="18"/>
  <c r="BI27" i="18"/>
  <c r="BC27" i="18"/>
  <c r="AX27" i="18"/>
  <c r="AE27" i="18"/>
  <c r="M27" i="18"/>
  <c r="I27" i="18"/>
  <c r="G27" i="18"/>
  <c r="F27" i="18"/>
  <c r="BP26" i="18"/>
  <c r="BS26" i="18" s="1"/>
  <c r="BT26" i="18" s="1"/>
  <c r="BL26" i="18"/>
  <c r="BI26" i="18"/>
  <c r="BC26" i="18"/>
  <c r="AX26" i="18"/>
  <c r="AE26" i="18"/>
  <c r="M26" i="18"/>
  <c r="L26" i="18"/>
  <c r="BY26" i="18" s="1"/>
  <c r="I26" i="18"/>
  <c r="G26" i="18"/>
  <c r="F26" i="18"/>
  <c r="BP25" i="18"/>
  <c r="BS25" i="18" s="1"/>
  <c r="BT25" i="18" s="1"/>
  <c r="BC25" i="18"/>
  <c r="BJ25" i="18" s="1"/>
  <c r="AX25" i="18"/>
  <c r="AE25" i="18"/>
  <c r="M25" i="18"/>
  <c r="L25" i="18"/>
  <c r="BY25" i="18" s="1"/>
  <c r="I25" i="18"/>
  <c r="G25" i="18"/>
  <c r="F25" i="18"/>
  <c r="BP24" i="18"/>
  <c r="BS24" i="18" s="1"/>
  <c r="BT24" i="18" s="1"/>
  <c r="BL24" i="18"/>
  <c r="AY24" i="18" s="1"/>
  <c r="BI24" i="18"/>
  <c r="BC24" i="18"/>
  <c r="AX24" i="18"/>
  <c r="AE24" i="18"/>
  <c r="M24" i="18"/>
  <c r="L24" i="18"/>
  <c r="BY24" i="18" s="1"/>
  <c r="I24" i="18"/>
  <c r="G24" i="18"/>
  <c r="F24" i="18"/>
  <c r="BP23" i="18"/>
  <c r="BS23" i="18" s="1"/>
  <c r="BT23" i="18" s="1"/>
  <c r="BL23" i="18"/>
  <c r="BK23" i="18" s="1"/>
  <c r="BN23" i="18" s="1"/>
  <c r="BO23" i="18" s="1"/>
  <c r="BI23" i="18"/>
  <c r="BC23" i="18"/>
  <c r="AX23" i="18"/>
  <c r="AE23" i="18"/>
  <c r="M23" i="18"/>
  <c r="L23" i="18"/>
  <c r="BY23" i="18" s="1"/>
  <c r="I23" i="18"/>
  <c r="G23" i="18"/>
  <c r="F23" i="18"/>
  <c r="BP22" i="18"/>
  <c r="BL22" i="18"/>
  <c r="T22" i="18"/>
  <c r="O22" i="18"/>
  <c r="BR22" i="18" s="1"/>
  <c r="M22" i="18"/>
  <c r="L22" i="18"/>
  <c r="BY22" i="18" s="1"/>
  <c r="I22" i="18"/>
  <c r="G22" i="18"/>
  <c r="F22" i="18"/>
  <c r="BP21" i="18"/>
  <c r="BL21" i="18"/>
  <c r="T21" i="18"/>
  <c r="O21" i="18"/>
  <c r="BR21" i="18" s="1"/>
  <c r="M21" i="18"/>
  <c r="L21" i="18"/>
  <c r="BY21" i="18" s="1"/>
  <c r="I21" i="18"/>
  <c r="G21" i="18"/>
  <c r="F21" i="18"/>
  <c r="BP20" i="18"/>
  <c r="BL20" i="18"/>
  <c r="T20" i="18"/>
  <c r="O20" i="18"/>
  <c r="BR20" i="18" s="1"/>
  <c r="M20" i="18"/>
  <c r="I20" i="18"/>
  <c r="G20" i="18"/>
  <c r="F20" i="18"/>
  <c r="BP19" i="18"/>
  <c r="BL19" i="18"/>
  <c r="X19" i="18"/>
  <c r="O19" i="18" s="1"/>
  <c r="BR19" i="18" s="1"/>
  <c r="T19" i="18"/>
  <c r="M19" i="18"/>
  <c r="I19" i="18"/>
  <c r="G19" i="18"/>
  <c r="F19" i="18"/>
  <c r="BP18" i="18"/>
  <c r="BS18" i="18" s="1"/>
  <c r="BT18" i="18" s="1"/>
  <c r="BL18" i="18"/>
  <c r="BK18" i="18" s="1"/>
  <c r="BN18" i="18" s="1"/>
  <c r="BO18" i="18" s="1"/>
  <c r="BI18" i="18"/>
  <c r="BC18" i="18"/>
  <c r="BD18" i="18" s="1"/>
  <c r="AX18" i="18"/>
  <c r="AE18" i="18"/>
  <c r="X18" i="18"/>
  <c r="T18" i="18"/>
  <c r="M18" i="18"/>
  <c r="I18" i="18"/>
  <c r="G18" i="18"/>
  <c r="F18" i="18"/>
  <c r="BP17" i="18"/>
  <c r="BS17" i="18" s="1"/>
  <c r="BT17" i="18" s="1"/>
  <c r="BL17" i="18"/>
  <c r="AU17" i="18" s="1"/>
  <c r="BI17" i="18"/>
  <c r="BC17" i="18"/>
  <c r="BD17" i="18" s="1"/>
  <c r="AX17" i="18"/>
  <c r="AE17" i="18"/>
  <c r="X17" i="18"/>
  <c r="T17" i="18"/>
  <c r="M17" i="18"/>
  <c r="I17" i="18"/>
  <c r="G17" i="18"/>
  <c r="F17" i="18"/>
  <c r="BP16" i="18"/>
  <c r="BS16" i="18" s="1"/>
  <c r="BT16" i="18" s="1"/>
  <c r="BL16" i="18"/>
  <c r="AY16" i="18" s="1"/>
  <c r="BI16" i="18"/>
  <c r="BC16" i="18"/>
  <c r="BD16" i="18" s="1"/>
  <c r="AX16" i="18"/>
  <c r="AE16" i="18"/>
  <c r="X16" i="18"/>
  <c r="O16" i="18" s="1"/>
  <c r="BR16" i="18" s="1"/>
  <c r="T16" i="18"/>
  <c r="M16" i="18"/>
  <c r="L16" i="18"/>
  <c r="I16" i="18"/>
  <c r="G16" i="18"/>
  <c r="F16" i="18"/>
  <c r="BP15" i="18"/>
  <c r="BL15" i="18"/>
  <c r="AY15" i="18" s="1"/>
  <c r="X15" i="18"/>
  <c r="O15" i="18" s="1"/>
  <c r="BR15" i="18" s="1"/>
  <c r="T15" i="18"/>
  <c r="M15" i="18"/>
  <c r="L15" i="18"/>
  <c r="I15" i="18"/>
  <c r="G15" i="18"/>
  <c r="F15" i="18"/>
  <c r="BP14" i="18"/>
  <c r="BS14" i="18" s="1"/>
  <c r="BT14" i="18" s="1"/>
  <c r="BL14" i="18"/>
  <c r="BI14" i="18"/>
  <c r="BC14" i="18"/>
  <c r="BD14" i="18" s="1"/>
  <c r="AX14" i="18"/>
  <c r="AE14" i="18"/>
  <c r="X14" i="18"/>
  <c r="O14" i="18" s="1"/>
  <c r="BR14" i="18" s="1"/>
  <c r="T14" i="18"/>
  <c r="M14" i="18"/>
  <c r="L14" i="18"/>
  <c r="I14" i="18"/>
  <c r="G14" i="18"/>
  <c r="F14" i="18"/>
  <c r="BP13" i="18"/>
  <c r="BS13" i="18" s="1"/>
  <c r="BT13" i="18" s="1"/>
  <c r="BL13" i="18"/>
  <c r="BK13" i="18" s="1"/>
  <c r="BN13" i="18" s="1"/>
  <c r="BO13" i="18" s="1"/>
  <c r="BI13" i="18"/>
  <c r="BC13" i="18"/>
  <c r="BD13" i="18" s="1"/>
  <c r="AX13" i="18"/>
  <c r="AE13" i="18"/>
  <c r="X13" i="18"/>
  <c r="O13" i="18" s="1"/>
  <c r="BR13" i="18" s="1"/>
  <c r="T13" i="18"/>
  <c r="M13" i="18"/>
  <c r="L13" i="18"/>
  <c r="I13" i="18"/>
  <c r="G13" i="18"/>
  <c r="F13" i="18"/>
  <c r="BP12" i="18"/>
  <c r="BS12" i="18" s="1"/>
  <c r="BT12" i="18" s="1"/>
  <c r="BL12" i="18"/>
  <c r="BK12" i="18" s="1"/>
  <c r="BN12" i="18" s="1"/>
  <c r="BO12" i="18" s="1"/>
  <c r="BI12" i="18"/>
  <c r="BC12" i="18"/>
  <c r="BD12" i="18" s="1"/>
  <c r="AX12" i="18"/>
  <c r="AE12" i="18"/>
  <c r="X12" i="18"/>
  <c r="O12" i="18" s="1"/>
  <c r="BR12" i="18" s="1"/>
  <c r="T12" i="18"/>
  <c r="M12" i="18"/>
  <c r="L12" i="18"/>
  <c r="I12" i="18"/>
  <c r="G12" i="18"/>
  <c r="F12" i="18"/>
  <c r="BP11" i="18"/>
  <c r="BS11" i="18" s="1"/>
  <c r="BT11" i="18" s="1"/>
  <c r="BL11" i="18"/>
  <c r="BK11" i="18" s="1"/>
  <c r="BN11" i="18" s="1"/>
  <c r="BO11" i="18" s="1"/>
  <c r="BI11" i="18"/>
  <c r="BC11" i="18"/>
  <c r="BD11" i="18" s="1"/>
  <c r="AX11" i="18"/>
  <c r="AE11" i="18"/>
  <c r="X11" i="18"/>
  <c r="O11" i="18" s="1"/>
  <c r="BR11" i="18" s="1"/>
  <c r="T11" i="18"/>
  <c r="M11" i="18"/>
  <c r="L11" i="18"/>
  <c r="I11" i="18"/>
  <c r="G11" i="18"/>
  <c r="F11" i="18"/>
  <c r="BP10" i="18"/>
  <c r="BS10" i="18" s="1"/>
  <c r="BT10" i="18" s="1"/>
  <c r="BL10" i="18"/>
  <c r="BH10" i="18" s="1"/>
  <c r="BI10" i="18"/>
  <c r="BC10" i="18"/>
  <c r="BD10" i="18" s="1"/>
  <c r="AX10" i="18"/>
  <c r="AE10" i="18"/>
  <c r="T10" i="18"/>
  <c r="M10" i="18"/>
  <c r="L10" i="18"/>
  <c r="I10" i="18"/>
  <c r="G10" i="18"/>
  <c r="F10" i="18"/>
  <c r="BP9" i="18"/>
  <c r="BS9" i="18" s="1"/>
  <c r="BT9" i="18" s="1"/>
  <c r="BL9" i="18"/>
  <c r="AY9" i="18" s="1"/>
  <c r="BI9" i="18"/>
  <c r="BC9" i="18"/>
  <c r="BD9" i="18" s="1"/>
  <c r="AX9" i="18"/>
  <c r="AE9" i="18"/>
  <c r="T9" i="18"/>
  <c r="M9" i="18"/>
  <c r="L9" i="18"/>
  <c r="BY9" i="18" s="1"/>
  <c r="I9" i="18"/>
  <c r="G9" i="18"/>
  <c r="F9" i="18"/>
  <c r="BP8" i="18"/>
  <c r="BS8" i="18" s="1"/>
  <c r="BT8" i="18" s="1"/>
  <c r="BL8" i="18"/>
  <c r="AY8" i="18" s="1"/>
  <c r="BI8" i="18"/>
  <c r="BC8" i="18"/>
  <c r="BD8" i="18" s="1"/>
  <c r="AX8" i="18"/>
  <c r="AE8" i="18"/>
  <c r="T8" i="18"/>
  <c r="M8" i="18"/>
  <c r="L8" i="18"/>
  <c r="BY8" i="18" s="1"/>
  <c r="I8" i="18"/>
  <c r="G8" i="18"/>
  <c r="F8" i="18"/>
  <c r="BP7" i="18"/>
  <c r="BS7" i="18" s="1"/>
  <c r="BT7" i="18" s="1"/>
  <c r="BL7" i="18"/>
  <c r="BI7" i="18"/>
  <c r="BC7" i="18"/>
  <c r="BD7" i="18" s="1"/>
  <c r="AX7" i="18"/>
  <c r="AE7" i="18"/>
  <c r="T7" i="18"/>
  <c r="T34" i="18" s="1"/>
  <c r="O7" i="18"/>
  <c r="BR7" i="18" s="1"/>
  <c r="M7" i="18"/>
  <c r="L7" i="18"/>
  <c r="BY7" i="18" s="1"/>
  <c r="I7" i="18"/>
  <c r="G7" i="18"/>
  <c r="F7" i="18"/>
  <c r="BP6" i="18"/>
  <c r="BL6" i="18"/>
  <c r="T6" i="18"/>
  <c r="M6" i="18"/>
  <c r="L6" i="18"/>
  <c r="BY6" i="18" s="1"/>
  <c r="I6" i="18"/>
  <c r="G6" i="18"/>
  <c r="F6" i="18"/>
  <c r="BP5" i="18"/>
  <c r="BL5" i="18"/>
  <c r="X5" i="18"/>
  <c r="AA5" i="18" s="1"/>
  <c r="T5" i="18"/>
  <c r="M5" i="18"/>
  <c r="L5" i="18"/>
  <c r="I5" i="18"/>
  <c r="G5" i="18"/>
  <c r="F5" i="18"/>
  <c r="BP4" i="18"/>
  <c r="BS4" i="18" s="1"/>
  <c r="BT4" i="18" s="1"/>
  <c r="BL4" i="18"/>
  <c r="AY4" i="18" s="1"/>
  <c r="BI4" i="18"/>
  <c r="BC4" i="18"/>
  <c r="BD4" i="18" s="1"/>
  <c r="AX4" i="18"/>
  <c r="AE4" i="18"/>
  <c r="T4" i="18"/>
  <c r="M4" i="18"/>
  <c r="L4" i="18"/>
  <c r="BY4" i="18" s="1"/>
  <c r="I4" i="18"/>
  <c r="G4" i="18"/>
  <c r="F4" i="18"/>
  <c r="BP3" i="18"/>
  <c r="BS3" i="18" s="1"/>
  <c r="BT3" i="18" s="1"/>
  <c r="BL3" i="18"/>
  <c r="AY3" i="18" s="1"/>
  <c r="BI3" i="18"/>
  <c r="BC3" i="18"/>
  <c r="BD3" i="18" s="1"/>
  <c r="AX3" i="18"/>
  <c r="AE3" i="18"/>
  <c r="T3" i="18"/>
  <c r="M3" i="18"/>
  <c r="L3" i="18"/>
  <c r="BY3" i="18" s="1"/>
  <c r="I3" i="18"/>
  <c r="G3" i="18"/>
  <c r="F3" i="18"/>
  <c r="BP2" i="18"/>
  <c r="BS2" i="18" s="1"/>
  <c r="BT2" i="18" s="1"/>
  <c r="BL2" i="18"/>
  <c r="AG2" i="18" s="1"/>
  <c r="BI2" i="18"/>
  <c r="BC2" i="18"/>
  <c r="BD2" i="18" s="1"/>
  <c r="AX2" i="18"/>
  <c r="AE2" i="18"/>
  <c r="T2" i="18"/>
  <c r="M2" i="18"/>
  <c r="L2" i="18"/>
  <c r="BY2" i="18" s="1"/>
  <c r="I2" i="18"/>
  <c r="G2" i="18"/>
  <c r="F2" i="18"/>
  <c r="AP39" i="8"/>
  <c r="AK39" i="8" s="1"/>
  <c r="AQ2" i="8"/>
  <c r="AM2" i="8"/>
  <c r="AQ14" i="8"/>
  <c r="AQ16" i="8"/>
  <c r="AQ17" i="8"/>
  <c r="AQ18" i="8"/>
  <c r="T9" i="8"/>
  <c r="AZ3" i="8"/>
  <c r="AZ4" i="8"/>
  <c r="AZ5" i="8"/>
  <c r="AZ6" i="8"/>
  <c r="AZ8" i="8"/>
  <c r="AZ9" i="8"/>
  <c r="AZ10" i="8"/>
  <c r="AZ17" i="8"/>
  <c r="AZ18" i="8"/>
  <c r="AZ23" i="8"/>
  <c r="AZ24" i="8"/>
  <c r="AZ25" i="8"/>
  <c r="AZ26" i="8"/>
  <c r="AZ27" i="8"/>
  <c r="AZ28" i="8"/>
  <c r="AZ29" i="8"/>
  <c r="AZ30" i="8"/>
  <c r="AZ31" i="8"/>
  <c r="AZ32" i="8"/>
  <c r="AZ33" i="8"/>
  <c r="AZ34" i="8"/>
  <c r="AZ35" i="8"/>
  <c r="AZ36" i="8"/>
  <c r="AZ37" i="8"/>
  <c r="AZ38" i="8"/>
  <c r="BC38" i="8" s="1"/>
  <c r="AZ39" i="8"/>
  <c r="BC39" i="8" s="1"/>
  <c r="AZ40" i="8"/>
  <c r="AZ41" i="8"/>
  <c r="AZ2" i="8"/>
  <c r="CA5" i="16"/>
  <c r="R52" i="17"/>
  <c r="N52" i="17"/>
  <c r="F52" i="17"/>
  <c r="R51" i="17"/>
  <c r="N51" i="17"/>
  <c r="J51" i="17"/>
  <c r="F51" i="17"/>
  <c r="R50" i="17"/>
  <c r="N50" i="17"/>
  <c r="J50" i="17"/>
  <c r="F50" i="17"/>
  <c r="R49" i="17"/>
  <c r="N49" i="17"/>
  <c r="J49" i="17"/>
  <c r="F49" i="17"/>
  <c r="R48" i="17"/>
  <c r="N48" i="17"/>
  <c r="J48" i="17"/>
  <c r="F48" i="17"/>
  <c r="R47" i="17"/>
  <c r="N47" i="17"/>
  <c r="J47" i="17"/>
  <c r="F47" i="17"/>
  <c r="R46" i="17"/>
  <c r="N46" i="17"/>
  <c r="J46" i="17"/>
  <c r="F46" i="17"/>
  <c r="R45" i="17"/>
  <c r="N45" i="17"/>
  <c r="J45" i="17"/>
  <c r="F45" i="17"/>
  <c r="R44" i="17"/>
  <c r="N44" i="17"/>
  <c r="J44" i="17"/>
  <c r="F44" i="17"/>
  <c r="R43" i="17"/>
  <c r="N43" i="17"/>
  <c r="J43" i="17"/>
  <c r="F43" i="17"/>
  <c r="R42" i="17"/>
  <c r="N42" i="17"/>
  <c r="J42" i="17"/>
  <c r="F42" i="17"/>
  <c r="R41" i="17"/>
  <c r="N41" i="17"/>
  <c r="J41" i="17"/>
  <c r="F41" i="17"/>
  <c r="R40" i="17"/>
  <c r="N40" i="17"/>
  <c r="J40" i="17"/>
  <c r="F40" i="17"/>
  <c r="R39" i="17"/>
  <c r="N39" i="17"/>
  <c r="J39" i="17"/>
  <c r="F39" i="17"/>
  <c r="R38" i="17"/>
  <c r="N38" i="17"/>
  <c r="J38" i="17"/>
  <c r="F38" i="17"/>
  <c r="R37" i="17"/>
  <c r="N37" i="17"/>
  <c r="J37" i="17"/>
  <c r="F37" i="17"/>
  <c r="R36" i="17"/>
  <c r="N36" i="17"/>
  <c r="J36" i="17"/>
  <c r="F36" i="17"/>
  <c r="R35" i="17"/>
  <c r="N35" i="17"/>
  <c r="J35" i="17"/>
  <c r="F35" i="17"/>
  <c r="R34" i="17"/>
  <c r="O35" i="17" s="1"/>
  <c r="N34" i="17"/>
  <c r="K35" i="17" s="1"/>
  <c r="J34" i="17"/>
  <c r="F34" i="17"/>
  <c r="B37" i="17" s="1"/>
  <c r="CQ30" i="17"/>
  <c r="CW23" i="17"/>
  <c r="CX23" i="17" s="1"/>
  <c r="CQ23" i="17"/>
  <c r="CP23" i="17"/>
  <c r="CC23" i="17"/>
  <c r="BK23" i="17" s="1"/>
  <c r="BE23" i="17" s="1"/>
  <c r="BV23" i="17"/>
  <c r="AR23" i="17" s="1"/>
  <c r="BP23" i="17"/>
  <c r="AP23" i="17"/>
  <c r="CJ23" i="17" s="1"/>
  <c r="AO23" i="17"/>
  <c r="O23" i="17"/>
  <c r="K23" i="17"/>
  <c r="I23" i="17"/>
  <c r="H23" i="17"/>
  <c r="J23" i="17" s="1"/>
  <c r="CW22" i="17"/>
  <c r="CX22" i="17" s="1"/>
  <c r="CC22" i="17"/>
  <c r="BV22" i="17"/>
  <c r="AU22" i="17"/>
  <c r="AR22" i="17" s="1"/>
  <c r="AP22" i="17"/>
  <c r="BQ22" i="17" s="1"/>
  <c r="AO22" i="17"/>
  <c r="AN22" i="17"/>
  <c r="AE22" i="17"/>
  <c r="O22" i="17"/>
  <c r="N22" i="17"/>
  <c r="CQ22" i="17" s="1"/>
  <c r="CP22" i="17" s="1"/>
  <c r="K22" i="17"/>
  <c r="I22" i="17"/>
  <c r="H22" i="17"/>
  <c r="CW21" i="17"/>
  <c r="CX21" i="17" s="1"/>
  <c r="CJ21" i="17"/>
  <c r="CC21" i="17"/>
  <c r="BV21" i="17"/>
  <c r="AU21" i="17"/>
  <c r="AR21" i="17"/>
  <c r="AP21" i="17"/>
  <c r="BQ21" i="17" s="1"/>
  <c r="AO21" i="17"/>
  <c r="AN21" i="17"/>
  <c r="AE21" i="17"/>
  <c r="V21" i="17"/>
  <c r="O21" i="17"/>
  <c r="N21" i="17"/>
  <c r="CQ21" i="17" s="1"/>
  <c r="CP21" i="17" s="1"/>
  <c r="K21" i="17"/>
  <c r="I21" i="17"/>
  <c r="H21" i="17"/>
  <c r="J21" i="17" s="1"/>
  <c r="CW20" i="17"/>
  <c r="CX20" i="17" s="1"/>
  <c r="CP20" i="17"/>
  <c r="CC20" i="17"/>
  <c r="BV20" i="17"/>
  <c r="AR20" i="17" s="1"/>
  <c r="AU20" i="17"/>
  <c r="AP20" i="17"/>
  <c r="CJ20" i="17" s="1"/>
  <c r="AO20" i="17"/>
  <c r="AN20" i="17"/>
  <c r="AE20" i="17"/>
  <c r="V20" i="17"/>
  <c r="AT20" i="17" s="1"/>
  <c r="O20" i="17"/>
  <c r="N20" i="17"/>
  <c r="CQ20" i="17" s="1"/>
  <c r="K20" i="17"/>
  <c r="I20" i="17"/>
  <c r="L20" i="17" s="1"/>
  <c r="H20" i="17"/>
  <c r="CW19" i="17"/>
  <c r="CX19" i="17" s="1"/>
  <c r="CC19" i="17"/>
  <c r="BZ19" i="17"/>
  <c r="BV19" i="17"/>
  <c r="AU19" i="17"/>
  <c r="AP19" i="17"/>
  <c r="BQ19" i="17" s="1"/>
  <c r="AO19" i="17"/>
  <c r="AN19" i="17"/>
  <c r="AE19" i="17"/>
  <c r="V19" i="17"/>
  <c r="AT19" i="17" s="1"/>
  <c r="O19" i="17"/>
  <c r="N19" i="17"/>
  <c r="CQ19" i="17" s="1"/>
  <c r="CP19" i="17" s="1"/>
  <c r="K19" i="17"/>
  <c r="I19" i="17"/>
  <c r="H19" i="17"/>
  <c r="CW18" i="17"/>
  <c r="CX18" i="17" s="1"/>
  <c r="CC18" i="17"/>
  <c r="BV18" i="17"/>
  <c r="AR18" i="17" s="1"/>
  <c r="AP18" i="17"/>
  <c r="BZ18" i="17" s="1"/>
  <c r="AO18" i="17"/>
  <c r="AN18" i="17"/>
  <c r="AE18" i="17"/>
  <c r="V18" i="17"/>
  <c r="O18" i="17"/>
  <c r="N18" i="17"/>
  <c r="CQ18" i="17" s="1"/>
  <c r="CP18" i="17" s="1"/>
  <c r="K18" i="17"/>
  <c r="I18" i="17"/>
  <c r="H18" i="17"/>
  <c r="CW17" i="17"/>
  <c r="CX17" i="17" s="1"/>
  <c r="CP17" i="17"/>
  <c r="AT17" i="17"/>
  <c r="AR17" i="17"/>
  <c r="AP17" i="17"/>
  <c r="BC17" i="17" s="1"/>
  <c r="AO17" i="17"/>
  <c r="AS17" i="17" s="1"/>
  <c r="AN17" i="17"/>
  <c r="W17" i="17"/>
  <c r="CW16" i="17"/>
  <c r="CX16" i="17" s="1"/>
  <c r="CP16" i="17"/>
  <c r="CH16" i="17"/>
  <c r="AU16" i="17"/>
  <c r="AT16" i="17"/>
  <c r="AR16" i="17"/>
  <c r="AP16" i="17"/>
  <c r="BC16" i="17" s="1"/>
  <c r="AO16" i="17"/>
  <c r="AS16" i="17" s="1"/>
  <c r="AN16" i="17"/>
  <c r="W16" i="17"/>
  <c r="DJ15" i="17"/>
  <c r="DI15" i="17"/>
  <c r="DK15" i="17" s="1"/>
  <c r="DH15" i="17"/>
  <c r="CW15" i="17"/>
  <c r="CX15" i="17" s="1"/>
  <c r="CT15" i="17"/>
  <c r="CV15" i="17" s="1"/>
  <c r="CP15" i="17"/>
  <c r="CJ15" i="17"/>
  <c r="CH15" i="17"/>
  <c r="CC15" i="17"/>
  <c r="AT15" i="17" s="1"/>
  <c r="BU15" i="17"/>
  <c r="BI15" i="17"/>
  <c r="AX15" i="17"/>
  <c r="AU15" i="17"/>
  <c r="AR15" i="17" s="1"/>
  <c r="AP15" i="17"/>
  <c r="BB15" i="17" s="1"/>
  <c r="AO15" i="17"/>
  <c r="AS15" i="17" s="1"/>
  <c r="AN15" i="17"/>
  <c r="W15" i="17"/>
  <c r="DJ14" i="17"/>
  <c r="DI14" i="17"/>
  <c r="DK14" i="17" s="1"/>
  <c r="DH14" i="17"/>
  <c r="DL14" i="17" s="1"/>
  <c r="CW14" i="17"/>
  <c r="CX14" i="17" s="1"/>
  <c r="DB14" i="17" s="1"/>
  <c r="CT14" i="17"/>
  <c r="CV14" i="17" s="1"/>
  <c r="CP14" i="17"/>
  <c r="CI14" i="17"/>
  <c r="CH14" i="17"/>
  <c r="CE14" i="17"/>
  <c r="CK14" i="17" s="1"/>
  <c r="CC14" i="17"/>
  <c r="AS14" i="17" s="1"/>
  <c r="BW14" i="17"/>
  <c r="BM14" i="17" s="1"/>
  <c r="BU14" i="17"/>
  <c r="BQ14" i="17"/>
  <c r="BL14" i="17"/>
  <c r="BJ14" i="17"/>
  <c r="BI14" i="17"/>
  <c r="BG14" i="17"/>
  <c r="BF14" i="17"/>
  <c r="AX14" i="17"/>
  <c r="AU14" i="17"/>
  <c r="AR14" i="17" s="1"/>
  <c r="AT14" i="17"/>
  <c r="AP14" i="17"/>
  <c r="BB14" i="17" s="1"/>
  <c r="AO14" i="17"/>
  <c r="AN14" i="17"/>
  <c r="W14" i="17"/>
  <c r="DJ13" i="17"/>
  <c r="DI13" i="17"/>
  <c r="DH13" i="17"/>
  <c r="CW13" i="17"/>
  <c r="CX13" i="17" s="1"/>
  <c r="CT13" i="17"/>
  <c r="CV13" i="17" s="1"/>
  <c r="CP13" i="17"/>
  <c r="CJ13" i="17"/>
  <c r="CI13" i="17"/>
  <c r="CH13" i="17"/>
  <c r="CN13" i="17" s="1"/>
  <c r="CE13" i="17"/>
  <c r="CC13" i="17"/>
  <c r="AT13" i="17" s="1"/>
  <c r="BW13" i="17"/>
  <c r="CG13" i="17" s="1"/>
  <c r="BU13" i="17"/>
  <c r="CA13" i="17" s="1"/>
  <c r="BL13" i="17"/>
  <c r="BJ13" i="17"/>
  <c r="BI13" i="17"/>
  <c r="BH13" i="17"/>
  <c r="BF13" i="17"/>
  <c r="AX13" i="17"/>
  <c r="AU13" i="17"/>
  <c r="AR13" i="17"/>
  <c r="AP13" i="17"/>
  <c r="BQ13" i="17" s="1"/>
  <c r="AO13" i="17"/>
  <c r="AN13" i="17"/>
  <c r="W13" i="17"/>
  <c r="DJ12" i="17"/>
  <c r="DI12" i="17"/>
  <c r="DL12" i="17" s="1"/>
  <c r="DH12" i="17"/>
  <c r="CW12" i="17"/>
  <c r="CX12" i="17" s="1"/>
  <c r="CP12" i="17"/>
  <c r="CH12" i="17"/>
  <c r="BW12" i="17"/>
  <c r="CG12" i="17" s="1"/>
  <c r="AT12" i="17"/>
  <c r="AR12" i="17"/>
  <c r="AP12" i="17"/>
  <c r="BC12" i="17" s="1"/>
  <c r="AO12" i="17"/>
  <c r="AS12" i="17" s="1"/>
  <c r="AN12" i="17"/>
  <c r="W12" i="17"/>
  <c r="DJ11" i="17"/>
  <c r="DI11" i="17"/>
  <c r="DH11" i="17"/>
  <c r="CW11" i="17"/>
  <c r="CX11" i="17" s="1"/>
  <c r="CP11" i="17"/>
  <c r="CH11" i="17"/>
  <c r="BW11" i="17"/>
  <c r="CG11" i="17" s="1"/>
  <c r="AT11" i="17"/>
  <c r="AR11" i="17"/>
  <c r="AP11" i="17"/>
  <c r="BB11" i="17" s="1"/>
  <c r="AO11" i="17"/>
  <c r="AS11" i="17" s="1"/>
  <c r="AN11" i="17"/>
  <c r="AH11" i="17"/>
  <c r="W11" i="17"/>
  <c r="DJ10" i="17"/>
  <c r="DI10" i="17"/>
  <c r="DH10" i="17"/>
  <c r="CW10" i="17"/>
  <c r="CX10" i="17" s="1"/>
  <c r="DD10" i="17" s="1"/>
  <c r="CT10" i="17"/>
  <c r="CV10" i="17" s="1"/>
  <c r="CP10" i="17"/>
  <c r="CL10" i="17"/>
  <c r="CI10" i="17"/>
  <c r="CH10" i="17"/>
  <c r="CF10" i="17"/>
  <c r="CE10" i="17"/>
  <c r="CC10" i="17"/>
  <c r="BW10" i="17"/>
  <c r="CR30" i="17" s="1"/>
  <c r="BU10" i="17"/>
  <c r="BM10" i="17"/>
  <c r="BL10" i="17"/>
  <c r="BJ10" i="17"/>
  <c r="BI10" i="17"/>
  <c r="BH10" i="17"/>
  <c r="BF10" i="17"/>
  <c r="AX10" i="17"/>
  <c r="AU10" i="17"/>
  <c r="AR10" i="17" s="1"/>
  <c r="AT10" i="17"/>
  <c r="AP10" i="17"/>
  <c r="BB10" i="17" s="1"/>
  <c r="AO10" i="17"/>
  <c r="AN10" i="17"/>
  <c r="AJ10" i="17"/>
  <c r="W10" i="17"/>
  <c r="DJ9" i="17"/>
  <c r="DI9" i="17"/>
  <c r="DH9" i="17"/>
  <c r="CW9" i="17"/>
  <c r="CX9" i="17" s="1"/>
  <c r="CT9" i="17"/>
  <c r="CV9" i="17" s="1"/>
  <c r="CJ9" i="17"/>
  <c r="CI9" i="17"/>
  <c r="CO9" i="17" s="1"/>
  <c r="CE9" i="17"/>
  <c r="CC9" i="17"/>
  <c r="BZ9" i="17"/>
  <c r="BV9" i="17"/>
  <c r="CH9" i="17" s="1"/>
  <c r="CN9" i="17" s="1"/>
  <c r="BU9" i="17"/>
  <c r="BQ9" i="17"/>
  <c r="BJ9" i="17"/>
  <c r="BI9" i="17"/>
  <c r="AX9" i="17"/>
  <c r="AU9" i="17"/>
  <c r="AR9" i="17" s="1"/>
  <c r="AP9" i="17"/>
  <c r="BB9" i="17" s="1"/>
  <c r="AO9" i="17"/>
  <c r="AN9" i="17"/>
  <c r="AJ9" i="17"/>
  <c r="AE9" i="17"/>
  <c r="W9" i="17"/>
  <c r="V9" i="17"/>
  <c r="AT9" i="17" s="1"/>
  <c r="O9" i="17"/>
  <c r="N9" i="17"/>
  <c r="CQ9" i="17" s="1"/>
  <c r="CP9" i="17" s="1"/>
  <c r="K9" i="17"/>
  <c r="I9" i="17"/>
  <c r="H9" i="17"/>
  <c r="DJ8" i="17"/>
  <c r="DI8" i="17"/>
  <c r="DH8" i="17"/>
  <c r="DL8" i="17" s="1"/>
  <c r="CW8" i="17"/>
  <c r="CX8" i="17" s="1"/>
  <c r="CT8" i="17"/>
  <c r="CV8" i="17" s="1"/>
  <c r="CP8" i="17"/>
  <c r="CI8" i="17"/>
  <c r="CE8" i="17"/>
  <c r="CC8" i="17"/>
  <c r="BV8" i="17"/>
  <c r="BL8" i="17" s="1"/>
  <c r="BU8" i="17"/>
  <c r="BI8" i="17"/>
  <c r="AX8" i="17"/>
  <c r="AU8" i="17"/>
  <c r="AR8" i="17" s="1"/>
  <c r="AT8" i="17"/>
  <c r="AP8" i="17"/>
  <c r="BQ8" i="17" s="1"/>
  <c r="AO8" i="17"/>
  <c r="AN8" i="17"/>
  <c r="AJ8" i="17"/>
  <c r="W8" i="17"/>
  <c r="DK7" i="17"/>
  <c r="DJ7" i="17"/>
  <c r="DI7" i="17"/>
  <c r="DH7" i="17"/>
  <c r="DM7" i="17" s="1"/>
  <c r="CW7" i="17"/>
  <c r="CX7" i="17" s="1"/>
  <c r="DD7" i="17" s="1"/>
  <c r="CT7" i="17"/>
  <c r="CV7" i="17" s="1"/>
  <c r="CP7" i="17"/>
  <c r="CI7" i="17"/>
  <c r="CE7" i="17"/>
  <c r="CC7" i="17"/>
  <c r="AT7" i="17" s="1"/>
  <c r="BV7" i="17"/>
  <c r="BL7" i="17" s="1"/>
  <c r="BU7" i="17"/>
  <c r="BI7" i="17"/>
  <c r="AX7" i="17"/>
  <c r="AU7" i="17"/>
  <c r="AP7" i="17"/>
  <c r="BB7" i="17" s="1"/>
  <c r="AO7" i="17"/>
  <c r="AN7" i="17"/>
  <c r="AJ7" i="17"/>
  <c r="W7" i="17"/>
  <c r="DJ6" i="17"/>
  <c r="DI6" i="17"/>
  <c r="DH6" i="17"/>
  <c r="DL6" i="17" s="1"/>
  <c r="CW6" i="17"/>
  <c r="CX6" i="17" s="1"/>
  <c r="DC6" i="17" s="1"/>
  <c r="CT6" i="17"/>
  <c r="CV6" i="17" s="1"/>
  <c r="CI6" i="17"/>
  <c r="CE6" i="17"/>
  <c r="CC6" i="17"/>
  <c r="BV6" i="17"/>
  <c r="BU6" i="17"/>
  <c r="BL6" i="17"/>
  <c r="BI6" i="17"/>
  <c r="AX6" i="17"/>
  <c r="AU6" i="17"/>
  <c r="AR6" i="17" s="1"/>
  <c r="AP6" i="17"/>
  <c r="BB6" i="17" s="1"/>
  <c r="AO6" i="17"/>
  <c r="AN6" i="17"/>
  <c r="AJ6" i="17"/>
  <c r="AE6" i="17"/>
  <c r="W6" i="17"/>
  <c r="V6" i="17"/>
  <c r="V22" i="17" s="1"/>
  <c r="AT22" i="17" s="1"/>
  <c r="O6" i="17"/>
  <c r="N6" i="17"/>
  <c r="CQ6" i="17" s="1"/>
  <c r="CP6" i="17" s="1"/>
  <c r="K6" i="17"/>
  <c r="I6" i="17"/>
  <c r="H6" i="17"/>
  <c r="L6" i="17" s="1"/>
  <c r="DJ5" i="17"/>
  <c r="DM5" i="17" s="1"/>
  <c r="DI5" i="17"/>
  <c r="DH5" i="17"/>
  <c r="CW5" i="17"/>
  <c r="CX5" i="17" s="1"/>
  <c r="DB5" i="17" s="1"/>
  <c r="CT5" i="17"/>
  <c r="CV5" i="17" s="1"/>
  <c r="CP5" i="17"/>
  <c r="CI5" i="17"/>
  <c r="CE5" i="17"/>
  <c r="CC5" i="17"/>
  <c r="BV5" i="17"/>
  <c r="BL5" i="17" s="1"/>
  <c r="BU5" i="17"/>
  <c r="BI5" i="17"/>
  <c r="AX5" i="17"/>
  <c r="AU5" i="17"/>
  <c r="AP5" i="17"/>
  <c r="BB5" i="17" s="1"/>
  <c r="AO5" i="17"/>
  <c r="AN5" i="17"/>
  <c r="AJ5" i="17"/>
  <c r="AH5" i="17"/>
  <c r="W5" i="17"/>
  <c r="AN20" i="16"/>
  <c r="AN21" i="16"/>
  <c r="AN22" i="16"/>
  <c r="AN19" i="16"/>
  <c r="AN6" i="16"/>
  <c r="AN7" i="16"/>
  <c r="AN8" i="16"/>
  <c r="AN9" i="16"/>
  <c r="AN10" i="16"/>
  <c r="AN11" i="16"/>
  <c r="AN12" i="16"/>
  <c r="AN13" i="16"/>
  <c r="AN14" i="16"/>
  <c r="AN15" i="16"/>
  <c r="AN16" i="16"/>
  <c r="AN17" i="16"/>
  <c r="AN18" i="16"/>
  <c r="AN5" i="16"/>
  <c r="AP20" i="16"/>
  <c r="V18" i="16"/>
  <c r="V21" i="16"/>
  <c r="V20" i="16"/>
  <c r="V19" i="16"/>
  <c r="AP5" i="16"/>
  <c r="O37" i="17" l="1"/>
  <c r="C11" i="17" s="1"/>
  <c r="AI11" i="17" s="1"/>
  <c r="BA5" i="17"/>
  <c r="BA19" i="17"/>
  <c r="BA13" i="17"/>
  <c r="BA7" i="17"/>
  <c r="BB21" i="17"/>
  <c r="BB17" i="17"/>
  <c r="BB13" i="17"/>
  <c r="BB8" i="17"/>
  <c r="BC23" i="17"/>
  <c r="BC19" i="17"/>
  <c r="BC15" i="17"/>
  <c r="BC11" i="17"/>
  <c r="BC7" i="17"/>
  <c r="BC5" i="17"/>
  <c r="BA22" i="17"/>
  <c r="BA18" i="17"/>
  <c r="BA10" i="17"/>
  <c r="BA6" i="17"/>
  <c r="BB20" i="17"/>
  <c r="BB16" i="17"/>
  <c r="BB12" i="17"/>
  <c r="BC22" i="17"/>
  <c r="BC18" i="17"/>
  <c r="BC14" i="17"/>
  <c r="BC10" i="17"/>
  <c r="BC6" i="17"/>
  <c r="L21" i="17"/>
  <c r="CJ6" i="17"/>
  <c r="DL7" i="17"/>
  <c r="CA9" i="17"/>
  <c r="CK9" i="17"/>
  <c r="DM9" i="17"/>
  <c r="DM10" i="17"/>
  <c r="DK12" i="17"/>
  <c r="DM13" i="17"/>
  <c r="DL5" i="17"/>
  <c r="DB8" i="17"/>
  <c r="DB21" i="17"/>
  <c r="DB22" i="17"/>
  <c r="DB23" i="17"/>
  <c r="DB24" i="17"/>
  <c r="L9" i="17"/>
  <c r="DM11" i="17"/>
  <c r="BZ13" i="17"/>
  <c r="CO13" i="17"/>
  <c r="CA14" i="17"/>
  <c r="CO14" i="17"/>
  <c r="L18" i="17"/>
  <c r="BZ21" i="17"/>
  <c r="G37" i="17"/>
  <c r="G35" i="17"/>
  <c r="BA21" i="17"/>
  <c r="BA15" i="17"/>
  <c r="BA9" i="17"/>
  <c r="BB19" i="17"/>
  <c r="BC21" i="17"/>
  <c r="BC13" i="17"/>
  <c r="BC9" i="17"/>
  <c r="BA23" i="17"/>
  <c r="AP38" i="8"/>
  <c r="AK38" i="8" s="1"/>
  <c r="DB26" i="17"/>
  <c r="DA27" i="17"/>
  <c r="BA20" i="17"/>
  <c r="BA14" i="17"/>
  <c r="BA8" i="17"/>
  <c r="BB22" i="17"/>
  <c r="BB18" i="17"/>
  <c r="BC20" i="17"/>
  <c r="BC8" i="17"/>
  <c r="BB23" i="17"/>
  <c r="AP40" i="8"/>
  <c r="AK40" i="8" s="1"/>
  <c r="BC40" i="8"/>
  <c r="DB25" i="17"/>
  <c r="BY39" i="18"/>
  <c r="J17" i="18"/>
  <c r="J25" i="18"/>
  <c r="H41" i="18"/>
  <c r="J12" i="18"/>
  <c r="J18" i="18"/>
  <c r="J21" i="18"/>
  <c r="J23" i="18"/>
  <c r="J14" i="18"/>
  <c r="J31" i="18"/>
  <c r="BJ26" i="18"/>
  <c r="BK3" i="18"/>
  <c r="BN3" i="18" s="1"/>
  <c r="BO3" i="18" s="1"/>
  <c r="J6" i="18"/>
  <c r="BJ30" i="18"/>
  <c r="BK14" i="18"/>
  <c r="BN14" i="18" s="1"/>
  <c r="BO14" i="18" s="1"/>
  <c r="AY14" i="18"/>
  <c r="BK7" i="18"/>
  <c r="BN7" i="18" s="1"/>
  <c r="BO7" i="18" s="1"/>
  <c r="AY7" i="18"/>
  <c r="T36" i="18"/>
  <c r="AF36" i="18" s="1"/>
  <c r="BK37" i="18"/>
  <c r="BN37" i="18" s="1"/>
  <c r="BO37" i="18" s="1"/>
  <c r="AY37" i="18"/>
  <c r="AF41" i="18"/>
  <c r="BJ39" i="18"/>
  <c r="H5" i="18"/>
  <c r="H19" i="18"/>
  <c r="BJ23" i="18"/>
  <c r="BJ24" i="18"/>
  <c r="H27" i="18"/>
  <c r="BJ32" i="18"/>
  <c r="BJ41" i="18"/>
  <c r="BJ2" i="18"/>
  <c r="BH11" i="18"/>
  <c r="H34" i="18"/>
  <c r="H36" i="18"/>
  <c r="J22" i="18"/>
  <c r="BH31" i="18"/>
  <c r="BJ34" i="18"/>
  <c r="BH25" i="18"/>
  <c r="BJ8" i="18"/>
  <c r="AF18" i="18"/>
  <c r="BH41" i="18"/>
  <c r="BA41" i="18" s="1"/>
  <c r="J15" i="18"/>
  <c r="BH28" i="18"/>
  <c r="BH34" i="18"/>
  <c r="J5" i="18"/>
  <c r="BH20" i="18"/>
  <c r="BH22" i="18"/>
  <c r="H3" i="18"/>
  <c r="AG5" i="18"/>
  <c r="J8" i="18"/>
  <c r="BH17" i="18"/>
  <c r="BJ18" i="18"/>
  <c r="J29" i="18"/>
  <c r="H37" i="18"/>
  <c r="J16" i="18"/>
  <c r="BH18" i="18"/>
  <c r="BJ10" i="18"/>
  <c r="BJ13" i="18"/>
  <c r="H25" i="18"/>
  <c r="J30" i="18"/>
  <c r="H31" i="18"/>
  <c r="J32" i="18"/>
  <c r="J33" i="18"/>
  <c r="BJ33" i="18"/>
  <c r="J36" i="18"/>
  <c r="BJ36" i="18"/>
  <c r="BY38" i="18"/>
  <c r="H10" i="18"/>
  <c r="BJ28" i="18"/>
  <c r="BJ35" i="18"/>
  <c r="BJ9" i="18"/>
  <c r="H23" i="18"/>
  <c r="AG37" i="18"/>
  <c r="BJ4" i="18"/>
  <c r="BH6" i="18"/>
  <c r="AF10" i="18"/>
  <c r="BY11" i="18"/>
  <c r="BJ16" i="18"/>
  <c r="H29" i="18"/>
  <c r="BH33" i="18"/>
  <c r="AG36" i="18"/>
  <c r="H9" i="18"/>
  <c r="H12" i="18"/>
  <c r="H13" i="18"/>
  <c r="BJ17" i="18"/>
  <c r="H18" i="18"/>
  <c r="AF21" i="18"/>
  <c r="J28" i="18"/>
  <c r="BJ31" i="18"/>
  <c r="BH32" i="18"/>
  <c r="J34" i="18"/>
  <c r="J35" i="18"/>
  <c r="J37" i="18"/>
  <c r="BJ37" i="18"/>
  <c r="BY40" i="18"/>
  <c r="AG15" i="18"/>
  <c r="AF3" i="18"/>
  <c r="AG6" i="18"/>
  <c r="H21" i="18"/>
  <c r="BH23" i="18"/>
  <c r="J27" i="18"/>
  <c r="BH27" i="18"/>
  <c r="J2" i="18"/>
  <c r="BK4" i="18"/>
  <c r="BN4" i="18" s="1"/>
  <c r="BO4" i="18" s="1"/>
  <c r="H7" i="18"/>
  <c r="AF8" i="18"/>
  <c r="BJ11" i="18"/>
  <c r="BY12" i="18"/>
  <c r="BY15" i="18"/>
  <c r="AG17" i="18"/>
  <c r="J20" i="18"/>
  <c r="J26" i="18"/>
  <c r="H28" i="18"/>
  <c r="H32" i="18"/>
  <c r="BJ40" i="18"/>
  <c r="BH2" i="18"/>
  <c r="AG8" i="18"/>
  <c r="AF9" i="18"/>
  <c r="BJ3" i="18"/>
  <c r="J4" i="18"/>
  <c r="BJ7" i="18"/>
  <c r="J9" i="18"/>
  <c r="BY13" i="18"/>
  <c r="BJ14" i="18"/>
  <c r="J24" i="18"/>
  <c r="BK32" i="18"/>
  <c r="BN32" i="18" s="1"/>
  <c r="BO32" i="18" s="1"/>
  <c r="H33" i="18"/>
  <c r="BH37" i="18"/>
  <c r="BJ29" i="18"/>
  <c r="BK2" i="18"/>
  <c r="BN2" i="18" s="1"/>
  <c r="BO2" i="18" s="1"/>
  <c r="J3" i="18"/>
  <c r="BH3" i="18"/>
  <c r="H8" i="18"/>
  <c r="BH8" i="18"/>
  <c r="BK9" i="18"/>
  <c r="BN9" i="18" s="1"/>
  <c r="BO9" i="18" s="1"/>
  <c r="BJ27" i="18"/>
  <c r="BK41" i="18"/>
  <c r="BN41" i="18" s="1"/>
  <c r="BO41" i="18" s="1"/>
  <c r="J41" i="18"/>
  <c r="BH19" i="18"/>
  <c r="AF19" i="18"/>
  <c r="BH13" i="18"/>
  <c r="AF13" i="18"/>
  <c r="AF16" i="18"/>
  <c r="BH16" i="18"/>
  <c r="AG16" i="18"/>
  <c r="AG14" i="18"/>
  <c r="AF14" i="18"/>
  <c r="BH14" i="18"/>
  <c r="AG7" i="18"/>
  <c r="BH7" i="18"/>
  <c r="AF7" i="18"/>
  <c r="BH12" i="18"/>
  <c r="AF12" i="18"/>
  <c r="T28" i="18"/>
  <c r="AF28" i="18" s="1"/>
  <c r="T25" i="18"/>
  <c r="T27" i="18"/>
  <c r="AF27" i="18" s="1"/>
  <c r="T35" i="18"/>
  <c r="T29" i="18"/>
  <c r="AF29" i="18" s="1"/>
  <c r="T24" i="18"/>
  <c r="AF24" i="18" s="1"/>
  <c r="BK35" i="18"/>
  <c r="BN35" i="18" s="1"/>
  <c r="BO35" i="18" s="1"/>
  <c r="H2" i="18"/>
  <c r="AG3" i="18"/>
  <c r="BH5" i="18"/>
  <c r="H6" i="18"/>
  <c r="AF6" i="18"/>
  <c r="J7" i="18"/>
  <c r="BK8" i="18"/>
  <c r="BN8" i="18" s="1"/>
  <c r="BO8" i="18" s="1"/>
  <c r="J10" i="18"/>
  <c r="BK10" i="18"/>
  <c r="BN10" i="18" s="1"/>
  <c r="BO10" i="18" s="1"/>
  <c r="J11" i="18"/>
  <c r="BJ12" i="18"/>
  <c r="J13" i="18"/>
  <c r="H14" i="18"/>
  <c r="BY16" i="18"/>
  <c r="BK17" i="18"/>
  <c r="BN17" i="18" s="1"/>
  <c r="BO17" i="18" s="1"/>
  <c r="BH21" i="18"/>
  <c r="AF22" i="18"/>
  <c r="BK27" i="18"/>
  <c r="BN27" i="18" s="1"/>
  <c r="BO27" i="18" s="1"/>
  <c r="BH30" i="18"/>
  <c r="BK33" i="18"/>
  <c r="BN33" i="18" s="1"/>
  <c r="BO33" i="18" s="1"/>
  <c r="BJ38" i="18"/>
  <c r="BH24" i="18"/>
  <c r="AG24" i="18"/>
  <c r="AF2" i="18"/>
  <c r="H4" i="18"/>
  <c r="AF4" i="18"/>
  <c r="BH4" i="18"/>
  <c r="AG4" i="18"/>
  <c r="H15" i="18"/>
  <c r="AF15" i="18"/>
  <c r="H35" i="18"/>
  <c r="BH35" i="18"/>
  <c r="AG35" i="18"/>
  <c r="BK36" i="18"/>
  <c r="BN36" i="18" s="1"/>
  <c r="BO36" i="18" s="1"/>
  <c r="BK26" i="18"/>
  <c r="BN26" i="18" s="1"/>
  <c r="BO26" i="18" s="1"/>
  <c r="T31" i="18"/>
  <c r="AF31" i="18" s="1"/>
  <c r="H11" i="18"/>
  <c r="H16" i="18"/>
  <c r="BK16" i="18"/>
  <c r="BN16" i="18" s="1"/>
  <c r="BO16" i="18" s="1"/>
  <c r="H17" i="18"/>
  <c r="J19" i="18"/>
  <c r="AF20" i="18"/>
  <c r="T23" i="18"/>
  <c r="H24" i="18"/>
  <c r="BK24" i="18"/>
  <c r="BN24" i="18" s="1"/>
  <c r="BO24" i="18" s="1"/>
  <c r="BH26" i="18"/>
  <c r="H30" i="18"/>
  <c r="T30" i="18"/>
  <c r="AF30" i="18" s="1"/>
  <c r="BK25" i="18"/>
  <c r="BN25" i="18" s="1"/>
  <c r="BO25" i="18" s="1"/>
  <c r="T40" i="18"/>
  <c r="T33" i="18"/>
  <c r="AF33" i="18" s="1"/>
  <c r="T39" i="18"/>
  <c r="T38" i="18"/>
  <c r="AF5" i="18"/>
  <c r="H20" i="18"/>
  <c r="BK29" i="18"/>
  <c r="BN29" i="18" s="1"/>
  <c r="BO29" i="18" s="1"/>
  <c r="BK30" i="18"/>
  <c r="BN30" i="18" s="1"/>
  <c r="BO30" i="18" s="1"/>
  <c r="BY5" i="18"/>
  <c r="AG9" i="18"/>
  <c r="BH9" i="18"/>
  <c r="AF11" i="18"/>
  <c r="BY14" i="18"/>
  <c r="BH15" i="18"/>
  <c r="AF17" i="18"/>
  <c r="H22" i="18"/>
  <c r="AG25" i="18"/>
  <c r="H26" i="18"/>
  <c r="T26" i="18"/>
  <c r="AF26" i="18" s="1"/>
  <c r="BK31" i="18"/>
  <c r="BN31" i="18" s="1"/>
  <c r="BO31" i="18" s="1"/>
  <c r="AF34" i="18"/>
  <c r="BH36" i="18"/>
  <c r="AX41" i="18"/>
  <c r="BP41" i="18"/>
  <c r="BS41" i="18" s="1"/>
  <c r="BT41" i="18" s="1"/>
  <c r="T37" i="18"/>
  <c r="AF37" i="18" s="1"/>
  <c r="T32" i="18"/>
  <c r="C6" i="17"/>
  <c r="AI6" i="17" s="1"/>
  <c r="C9" i="17"/>
  <c r="AI9" i="17" s="1"/>
  <c r="DC5" i="17"/>
  <c r="DF5" i="17" s="1"/>
  <c r="CK8" i="17"/>
  <c r="CH8" i="17"/>
  <c r="CN8" i="17" s="1"/>
  <c r="BJ8" i="17"/>
  <c r="BW9" i="17"/>
  <c r="BG9" i="17" s="1"/>
  <c r="CJ5" i="17"/>
  <c r="CA8" i="17"/>
  <c r="CO8" i="17"/>
  <c r="BF9" i="17"/>
  <c r="CK10" i="17"/>
  <c r="CU30" i="17"/>
  <c r="BM13" i="17"/>
  <c r="J6" i="17"/>
  <c r="DM6" i="17"/>
  <c r="AS7" i="17"/>
  <c r="BF8" i="17"/>
  <c r="AS8" i="17"/>
  <c r="AS9" i="17"/>
  <c r="BZ10" i="17"/>
  <c r="CJ10" i="17"/>
  <c r="BG13" i="17"/>
  <c r="CF13" i="17"/>
  <c r="CL13" i="17" s="1"/>
  <c r="DL15" i="17"/>
  <c r="AS18" i="17"/>
  <c r="AS19" i="17"/>
  <c r="BZ22" i="17"/>
  <c r="L23" i="17"/>
  <c r="CQ28" i="17"/>
  <c r="AS22" i="17"/>
  <c r="CQ29" i="17"/>
  <c r="CV29" i="17" s="1"/>
  <c r="B35" i="17"/>
  <c r="C8" i="17" s="1"/>
  <c r="AI8" i="17" s="1"/>
  <c r="CV28" i="17"/>
  <c r="DB6" i="17"/>
  <c r="DF6" i="17" s="1"/>
  <c r="DL10" i="17"/>
  <c r="BQ15" i="17"/>
  <c r="CN15" i="17"/>
  <c r="J18" i="17"/>
  <c r="J20" i="17"/>
  <c r="AS21" i="17"/>
  <c r="AS23" i="17"/>
  <c r="AR7" i="17"/>
  <c r="BW8" i="17"/>
  <c r="DL11" i="17"/>
  <c r="CA15" i="17"/>
  <c r="DD6" i="17"/>
  <c r="DG6" i="17" s="1"/>
  <c r="BL9" i="17"/>
  <c r="BR9" i="17" s="1"/>
  <c r="BZ8" i="17"/>
  <c r="CJ8" i="17"/>
  <c r="DK8" i="17"/>
  <c r="DL9" i="17"/>
  <c r="CN10" i="17"/>
  <c r="DK10" i="17"/>
  <c r="AS13" i="17"/>
  <c r="DL13" i="17"/>
  <c r="CN14" i="17"/>
  <c r="DM14" i="17"/>
  <c r="BZ15" i="17"/>
  <c r="AR19" i="17"/>
  <c r="AT23" i="17"/>
  <c r="CQ26" i="17"/>
  <c r="CV26" i="17" s="1"/>
  <c r="DD15" i="17"/>
  <c r="DC15" i="17"/>
  <c r="L19" i="17"/>
  <c r="J19" i="17"/>
  <c r="BS10" i="17"/>
  <c r="BR6" i="17"/>
  <c r="CO5" i="17"/>
  <c r="CA5" i="17"/>
  <c r="BR5" i="17"/>
  <c r="BR10" i="17"/>
  <c r="BZ5" i="17"/>
  <c r="BQ5" i="17"/>
  <c r="BS14" i="17"/>
  <c r="BR13" i="17"/>
  <c r="BS13" i="17"/>
  <c r="BR7" i="17"/>
  <c r="BR14" i="17"/>
  <c r="CK5" i="17"/>
  <c r="AT6" i="17"/>
  <c r="AS6" i="17"/>
  <c r="BJ7" i="17"/>
  <c r="CQ27" i="17"/>
  <c r="CH7" i="17"/>
  <c r="CN7" i="17" s="1"/>
  <c r="BW7" i="17"/>
  <c r="BM7" i="17" s="1"/>
  <c r="BS7" i="17" s="1"/>
  <c r="BF7" i="17"/>
  <c r="DD12" i="17"/>
  <c r="DB12" i="17"/>
  <c r="DC12" i="17"/>
  <c r="DC13" i="17"/>
  <c r="DD13" i="17"/>
  <c r="DB13" i="17"/>
  <c r="DD14" i="17"/>
  <c r="DG14" i="17" s="1"/>
  <c r="DC14" i="17"/>
  <c r="DB15" i="17"/>
  <c r="AR5" i="17"/>
  <c r="DK5" i="17"/>
  <c r="DK6" i="17"/>
  <c r="DC9" i="17"/>
  <c r="DD9" i="17"/>
  <c r="DB9" i="17"/>
  <c r="AS10" i="17"/>
  <c r="AT21" i="17"/>
  <c r="CH5" i="17"/>
  <c r="CN5" i="17" s="1"/>
  <c r="BW5" i="17"/>
  <c r="BG5" i="17" s="1"/>
  <c r="BM5" i="17"/>
  <c r="BS5" i="17" s="1"/>
  <c r="BF5" i="17"/>
  <c r="BJ5" i="17"/>
  <c r="DC11" i="17"/>
  <c r="DD11" i="17"/>
  <c r="DB11" i="17"/>
  <c r="AT5" i="17"/>
  <c r="AS5" i="17"/>
  <c r="CO6" i="17"/>
  <c r="CA6" i="17"/>
  <c r="BZ6" i="17"/>
  <c r="BQ6" i="17"/>
  <c r="CK6" i="17"/>
  <c r="DE6" i="17"/>
  <c r="CK7" i="17"/>
  <c r="CJ7" i="17"/>
  <c r="BZ7" i="17"/>
  <c r="BQ7" i="17"/>
  <c r="CO7" i="17"/>
  <c r="CA7" i="17"/>
  <c r="CV27" i="17"/>
  <c r="BR8" i="17"/>
  <c r="DM8" i="17"/>
  <c r="CM13" i="17"/>
  <c r="DM15" i="17"/>
  <c r="AT18" i="17"/>
  <c r="AS20" i="17"/>
  <c r="L22" i="17"/>
  <c r="J22" i="17"/>
  <c r="BT23" i="17"/>
  <c r="BZ23" i="17" s="1"/>
  <c r="CH6" i="17"/>
  <c r="CN6" i="17" s="1"/>
  <c r="CQ25" i="17"/>
  <c r="CV25" i="17" s="1"/>
  <c r="BW6" i="17"/>
  <c r="BM6" i="17" s="1"/>
  <c r="BS6" i="17" s="1"/>
  <c r="BF6" i="17"/>
  <c r="BJ6" i="17"/>
  <c r="DD8" i="17"/>
  <c r="DG8" i="17" s="1"/>
  <c r="DC8" i="17"/>
  <c r="DD5" i="17"/>
  <c r="DG5" i="17" s="1"/>
  <c r="CG10" i="17"/>
  <c r="CM10" i="17"/>
  <c r="DM12" i="17"/>
  <c r="BH14" i="17"/>
  <c r="CJ14" i="17"/>
  <c r="CJ18" i="17"/>
  <c r="BQ20" i="17"/>
  <c r="CR29" i="17"/>
  <c r="CU29" i="17" s="1"/>
  <c r="CV30" i="17"/>
  <c r="DB7" i="17"/>
  <c r="DG7" i="17" s="1"/>
  <c r="CF8" i="17"/>
  <c r="CL8" i="17" s="1"/>
  <c r="J9" i="17"/>
  <c r="BG10" i="17"/>
  <c r="BQ10" i="17"/>
  <c r="CA10" i="17"/>
  <c r="CO10" i="17"/>
  <c r="DB10" i="17"/>
  <c r="DG10" i="17" s="1"/>
  <c r="CK13" i="17"/>
  <c r="CF14" i="17"/>
  <c r="CL14" i="17"/>
  <c r="BQ18" i="17"/>
  <c r="CJ19" i="17"/>
  <c r="BZ20" i="17"/>
  <c r="CJ22" i="17"/>
  <c r="CR28" i="17"/>
  <c r="CU28" i="17" s="1"/>
  <c r="DC7" i="17"/>
  <c r="CG8" i="17"/>
  <c r="CM8" i="17" s="1"/>
  <c r="CG9" i="17"/>
  <c r="CM9" i="17" s="1"/>
  <c r="DK9" i="17"/>
  <c r="DC10" i="17"/>
  <c r="DK11" i="17"/>
  <c r="DK13" i="17"/>
  <c r="CG14" i="17"/>
  <c r="CM14" i="17"/>
  <c r="BQ23" i="17"/>
  <c r="K37" i="17"/>
  <c r="C7" i="17" s="1"/>
  <c r="AI7" i="17" s="1"/>
  <c r="BZ14" i="17"/>
  <c r="AP6" i="16"/>
  <c r="AP7" i="16"/>
  <c r="AP8" i="16"/>
  <c r="AP9" i="16"/>
  <c r="AP10" i="16"/>
  <c r="AP11" i="16"/>
  <c r="AP12" i="16"/>
  <c r="AP13" i="16"/>
  <c r="AP14" i="16"/>
  <c r="AP15" i="16"/>
  <c r="AP16" i="16"/>
  <c r="AP17" i="16"/>
  <c r="AO6" i="16"/>
  <c r="AO7" i="16"/>
  <c r="AO8" i="16"/>
  <c r="AO9" i="16"/>
  <c r="AO10" i="16"/>
  <c r="AO11" i="16"/>
  <c r="AO12" i="16"/>
  <c r="AO13" i="16"/>
  <c r="AO14" i="16"/>
  <c r="AO15" i="16"/>
  <c r="AO16" i="16"/>
  <c r="AO17" i="16"/>
  <c r="AO5" i="16"/>
  <c r="AT11" i="16"/>
  <c r="AT12" i="16"/>
  <c r="AT16" i="16"/>
  <c r="AT17" i="16"/>
  <c r="AU11" i="16"/>
  <c r="AU12" i="16"/>
  <c r="AU16" i="16"/>
  <c r="AU17" i="16"/>
  <c r="AV5" i="16"/>
  <c r="AP18" i="16"/>
  <c r="AP19" i="16"/>
  <c r="AP21" i="16"/>
  <c r="AP22" i="16"/>
  <c r="AP23" i="16"/>
  <c r="AO20" i="16"/>
  <c r="DA28" i="17" l="1"/>
  <c r="DB28" i="17" s="1"/>
  <c r="DB27" i="17"/>
  <c r="BH6" i="17"/>
  <c r="BM9" i="17"/>
  <c r="BS9" i="17" s="1"/>
  <c r="AY41" i="18"/>
  <c r="AF39" i="18"/>
  <c r="AF25" i="18"/>
  <c r="AF23" i="18"/>
  <c r="AF38" i="18"/>
  <c r="AF35" i="18"/>
  <c r="AF40" i="18"/>
  <c r="AF32" i="18"/>
  <c r="C5" i="17"/>
  <c r="AI5" i="17" s="1"/>
  <c r="BH7" i="17"/>
  <c r="BG8" i="17"/>
  <c r="BH8" i="17"/>
  <c r="BH9" i="17"/>
  <c r="CF9" i="17"/>
  <c r="CL9" i="17" s="1"/>
  <c r="BM8" i="17"/>
  <c r="BS8" i="17" s="1"/>
  <c r="DF7" i="17"/>
  <c r="DE7" i="17"/>
  <c r="DE5" i="17"/>
  <c r="DG11" i="17"/>
  <c r="DG9" i="17"/>
  <c r="C10" i="17"/>
  <c r="AI10" i="17" s="1"/>
  <c r="DF13" i="17"/>
  <c r="DE13" i="17"/>
  <c r="CG5" i="17"/>
  <c r="CM5" i="17" s="1"/>
  <c r="CR26" i="17"/>
  <c r="CU26" i="17" s="1"/>
  <c r="CF5" i="17"/>
  <c r="CL5" i="17" s="1"/>
  <c r="DG13" i="17"/>
  <c r="DF10" i="17"/>
  <c r="DE10" i="17"/>
  <c r="CR25" i="17"/>
  <c r="CU25" i="17" s="1"/>
  <c r="CG6" i="17"/>
  <c r="CM6" i="17" s="1"/>
  <c r="CF6" i="17"/>
  <c r="CL6" i="17" s="1"/>
  <c r="DF11" i="17"/>
  <c r="DE11" i="17"/>
  <c r="DF9" i="17"/>
  <c r="DE9" i="17"/>
  <c r="DE12" i="17"/>
  <c r="DF12" i="17"/>
  <c r="CR27" i="17"/>
  <c r="CU27" i="17" s="1"/>
  <c r="CG7" i="17"/>
  <c r="CM7" i="17" s="1"/>
  <c r="CF7" i="17"/>
  <c r="CL7" i="17" s="1"/>
  <c r="BG7" i="17"/>
  <c r="DF8" i="17"/>
  <c r="DE8" i="17"/>
  <c r="BH5" i="17"/>
  <c r="DF14" i="17"/>
  <c r="DE14" i="17"/>
  <c r="DF15" i="17"/>
  <c r="DE15" i="17"/>
  <c r="BG6" i="17"/>
  <c r="DG12" i="17"/>
  <c r="DG15" i="17"/>
  <c r="AS11" i="16"/>
  <c r="AS12" i="16"/>
  <c r="AS17" i="16"/>
  <c r="AO18" i="16"/>
  <c r="AO19" i="16"/>
  <c r="AO21" i="16"/>
  <c r="AO22" i="16"/>
  <c r="AO23" i="16"/>
  <c r="AV9" i="16"/>
  <c r="AY5" i="16" l="1"/>
  <c r="BE18" i="15"/>
  <c r="X4" i="11" l="1"/>
  <c r="X5" i="11"/>
  <c r="X6" i="11"/>
  <c r="W6" i="11" s="1"/>
  <c r="X7" i="11"/>
  <c r="W7" i="11" s="1"/>
  <c r="X8" i="11"/>
  <c r="X9" i="11"/>
  <c r="X10" i="11"/>
  <c r="X11" i="11"/>
  <c r="X12" i="11"/>
  <c r="X13" i="11"/>
  <c r="X14" i="11"/>
  <c r="X15" i="11"/>
  <c r="X16" i="11"/>
  <c r="W16" i="11" s="1"/>
  <c r="X17" i="11"/>
  <c r="X18" i="11"/>
  <c r="X19" i="11"/>
  <c r="X20" i="11"/>
  <c r="W20" i="11" s="1"/>
  <c r="X21" i="11"/>
  <c r="W21" i="11" s="1"/>
  <c r="X22" i="11"/>
  <c r="W22" i="11" s="1"/>
  <c r="X23" i="11"/>
  <c r="W23" i="11" s="1"/>
  <c r="X24" i="11"/>
  <c r="X25" i="11"/>
  <c r="X26" i="11"/>
  <c r="X27" i="11"/>
  <c r="X28" i="11"/>
  <c r="X29" i="11"/>
  <c r="X30" i="11"/>
  <c r="X31" i="11"/>
  <c r="X32" i="11"/>
  <c r="X33" i="11"/>
  <c r="X34" i="11"/>
  <c r="X35" i="11"/>
  <c r="X36" i="11"/>
  <c r="X37" i="11"/>
  <c r="X38" i="11"/>
  <c r="X42" i="11"/>
  <c r="X3" i="11"/>
  <c r="T23" i="11" l="1"/>
  <c r="T4" i="11"/>
  <c r="T5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3" i="11"/>
  <c r="AY7" i="16" l="1"/>
  <c r="AY10" i="16" l="1"/>
  <c r="AY9" i="16"/>
  <c r="AY6" i="16"/>
  <c r="AY8" i="16" l="1"/>
  <c r="AY14" i="16" l="1"/>
  <c r="AY15" i="16"/>
  <c r="BX8" i="16"/>
  <c r="R52" i="16"/>
  <c r="N52" i="16"/>
  <c r="F52" i="16"/>
  <c r="R51" i="16"/>
  <c r="N51" i="16"/>
  <c r="J51" i="16"/>
  <c r="F51" i="16"/>
  <c r="R50" i="16"/>
  <c r="N50" i="16"/>
  <c r="J50" i="16"/>
  <c r="F50" i="16"/>
  <c r="R49" i="16"/>
  <c r="N49" i="16"/>
  <c r="J49" i="16"/>
  <c r="F49" i="16"/>
  <c r="R48" i="16"/>
  <c r="N48" i="16"/>
  <c r="J48" i="16"/>
  <c r="F48" i="16"/>
  <c r="R47" i="16"/>
  <c r="N47" i="16"/>
  <c r="J47" i="16"/>
  <c r="F47" i="16"/>
  <c r="R46" i="16"/>
  <c r="N46" i="16"/>
  <c r="J46" i="16"/>
  <c r="F46" i="16"/>
  <c r="R45" i="16"/>
  <c r="N45" i="16"/>
  <c r="J45" i="16"/>
  <c r="F45" i="16"/>
  <c r="R44" i="16"/>
  <c r="N44" i="16"/>
  <c r="J44" i="16"/>
  <c r="F44" i="16"/>
  <c r="R43" i="16"/>
  <c r="N43" i="16"/>
  <c r="J43" i="16"/>
  <c r="F43" i="16"/>
  <c r="R42" i="16"/>
  <c r="N42" i="16"/>
  <c r="J42" i="16"/>
  <c r="F42" i="16"/>
  <c r="R41" i="16"/>
  <c r="N41" i="16"/>
  <c r="J41" i="16"/>
  <c r="F41" i="16"/>
  <c r="R40" i="16"/>
  <c r="N40" i="16"/>
  <c r="J40" i="16"/>
  <c r="F40" i="16"/>
  <c r="R39" i="16"/>
  <c r="N39" i="16"/>
  <c r="J39" i="16"/>
  <c r="F39" i="16"/>
  <c r="R38" i="16"/>
  <c r="N38" i="16"/>
  <c r="J38" i="16"/>
  <c r="F38" i="16"/>
  <c r="R37" i="16"/>
  <c r="N37" i="16"/>
  <c r="J37" i="16"/>
  <c r="F37" i="16"/>
  <c r="R36" i="16"/>
  <c r="N36" i="16"/>
  <c r="J36" i="16"/>
  <c r="F36" i="16"/>
  <c r="R35" i="16"/>
  <c r="N35" i="16"/>
  <c r="J35" i="16"/>
  <c r="F35" i="16"/>
  <c r="R34" i="16"/>
  <c r="N34" i="16"/>
  <c r="J34" i="16"/>
  <c r="G37" i="16" s="1"/>
  <c r="F34" i="16"/>
  <c r="B37" i="16" s="1"/>
  <c r="CO30" i="16"/>
  <c r="CT30" i="16" s="1"/>
  <c r="CO25" i="16"/>
  <c r="CT25" i="16" s="1"/>
  <c r="CU23" i="16"/>
  <c r="CV23" i="16" s="1"/>
  <c r="CO23" i="16"/>
  <c r="CN23" i="16"/>
  <c r="CH23" i="16"/>
  <c r="CA23" i="16"/>
  <c r="BT23" i="16"/>
  <c r="AS23" i="16" s="1"/>
  <c r="BO23" i="16"/>
  <c r="BN23" i="16"/>
  <c r="BI23" i="16"/>
  <c r="BC23" i="16" s="1"/>
  <c r="BR23" i="16" s="1"/>
  <c r="BX23" i="16" s="1"/>
  <c r="O23" i="16"/>
  <c r="K23" i="16"/>
  <c r="I23" i="16"/>
  <c r="H23" i="16"/>
  <c r="CU22" i="16"/>
  <c r="CV22" i="16" s="1"/>
  <c r="CH22" i="16"/>
  <c r="CA22" i="16"/>
  <c r="BX22" i="16"/>
  <c r="BT22" i="16"/>
  <c r="BO22" i="16"/>
  <c r="BB22" i="16"/>
  <c r="AV22" i="16"/>
  <c r="AE22" i="16"/>
  <c r="O22" i="16"/>
  <c r="N22" i="16"/>
  <c r="CO22" i="16" s="1"/>
  <c r="CN22" i="16" s="1"/>
  <c r="K22" i="16"/>
  <c r="I22" i="16"/>
  <c r="H22" i="16"/>
  <c r="CU21" i="16"/>
  <c r="CV21" i="16" s="1"/>
  <c r="CH21" i="16"/>
  <c r="CA21" i="16"/>
  <c r="BX21" i="16"/>
  <c r="BT21" i="16"/>
  <c r="BO21" i="16"/>
  <c r="BB21" i="16"/>
  <c r="AV21" i="16"/>
  <c r="AE21" i="16"/>
  <c r="O21" i="16"/>
  <c r="N21" i="16"/>
  <c r="CO21" i="16" s="1"/>
  <c r="CN21" i="16" s="1"/>
  <c r="K21" i="16"/>
  <c r="I21" i="16"/>
  <c r="J21" i="16" s="1"/>
  <c r="H21" i="16"/>
  <c r="CU20" i="16"/>
  <c r="CV20" i="16" s="1"/>
  <c r="CH20" i="16"/>
  <c r="CA20" i="16"/>
  <c r="BX20" i="16"/>
  <c r="BT20" i="16"/>
  <c r="BO20" i="16"/>
  <c r="BB20" i="16"/>
  <c r="AV20" i="16"/>
  <c r="AE20" i="16"/>
  <c r="O20" i="16"/>
  <c r="N20" i="16"/>
  <c r="CO20" i="16" s="1"/>
  <c r="CN20" i="16" s="1"/>
  <c r="K20" i="16"/>
  <c r="I20" i="16"/>
  <c r="H20" i="16"/>
  <c r="CU19" i="16"/>
  <c r="CV19" i="16" s="1"/>
  <c r="CH19" i="16"/>
  <c r="CA19" i="16"/>
  <c r="BX19" i="16"/>
  <c r="BT19" i="16"/>
  <c r="BO19" i="16"/>
  <c r="BB19" i="16"/>
  <c r="AV19" i="16"/>
  <c r="AS19" i="16" s="1"/>
  <c r="AE19" i="16"/>
  <c r="O19" i="16"/>
  <c r="N19" i="16"/>
  <c r="CO19" i="16" s="1"/>
  <c r="CN19" i="16" s="1"/>
  <c r="K19" i="16"/>
  <c r="I19" i="16"/>
  <c r="H19" i="16"/>
  <c r="J19" i="16" s="1"/>
  <c r="CU18" i="16"/>
  <c r="CV18" i="16" s="1"/>
  <c r="CH18" i="16"/>
  <c r="CA18" i="16"/>
  <c r="BX18" i="16"/>
  <c r="BT18" i="16"/>
  <c r="AS18" i="16" s="1"/>
  <c r="BO18" i="16"/>
  <c r="BB18" i="16"/>
  <c r="AE18" i="16"/>
  <c r="O18" i="16"/>
  <c r="N18" i="16"/>
  <c r="CO18" i="16" s="1"/>
  <c r="CN18" i="16" s="1"/>
  <c r="K18" i="16"/>
  <c r="I18" i="16"/>
  <c r="H18" i="16"/>
  <c r="J18" i="16" s="1"/>
  <c r="CU17" i="16"/>
  <c r="CV17" i="16" s="1"/>
  <c r="CN17" i="16"/>
  <c r="W17" i="16"/>
  <c r="CU16" i="16"/>
  <c r="CV16" i="16" s="1"/>
  <c r="CN16" i="16"/>
  <c r="CF16" i="16"/>
  <c r="BB16" i="16"/>
  <c r="AV16" i="16"/>
  <c r="AS16" i="16" s="1"/>
  <c r="W16" i="16"/>
  <c r="DH15" i="16"/>
  <c r="DG15" i="16"/>
  <c r="DF15" i="16"/>
  <c r="CU15" i="16"/>
  <c r="CV15" i="16" s="1"/>
  <c r="CR15" i="16"/>
  <c r="CT15" i="16" s="1"/>
  <c r="CN15" i="16"/>
  <c r="CH15" i="16"/>
  <c r="CF15" i="16"/>
  <c r="CL15" i="16" s="1"/>
  <c r="CA15" i="16"/>
  <c r="BX15" i="16"/>
  <c r="BS15" i="16"/>
  <c r="BY15" i="16" s="1"/>
  <c r="BO15" i="16"/>
  <c r="BG15" i="16"/>
  <c r="BB15" i="16"/>
  <c r="AV15" i="16"/>
  <c r="AS15" i="16" s="1"/>
  <c r="W15" i="16"/>
  <c r="DH14" i="16"/>
  <c r="DG14" i="16"/>
  <c r="DF14" i="16"/>
  <c r="DK14" i="16" s="1"/>
  <c r="CU14" i="16"/>
  <c r="CV14" i="16" s="1"/>
  <c r="CR14" i="16"/>
  <c r="CT14" i="16" s="1"/>
  <c r="CN14" i="16"/>
  <c r="CH14" i="16"/>
  <c r="CG14" i="16"/>
  <c r="CM14" i="16" s="1"/>
  <c r="CF14" i="16"/>
  <c r="CL14" i="16" s="1"/>
  <c r="CC14" i="16"/>
  <c r="CI14" i="16" s="1"/>
  <c r="CA14" i="16"/>
  <c r="BX14" i="16"/>
  <c r="BU14" i="16"/>
  <c r="CE14" i="16" s="1"/>
  <c r="CK14" i="16" s="1"/>
  <c r="BS14" i="16"/>
  <c r="BY14" i="16" s="1"/>
  <c r="BP14" i="16"/>
  <c r="BO14" i="16"/>
  <c r="BK14" i="16"/>
  <c r="BQ14" i="16" s="1"/>
  <c r="BJ14" i="16"/>
  <c r="BH14" i="16"/>
  <c r="BG14" i="16"/>
  <c r="BE14" i="16"/>
  <c r="BD14" i="16"/>
  <c r="BB14" i="16"/>
  <c r="AV14" i="16"/>
  <c r="AS14" i="16" s="1"/>
  <c r="W14" i="16"/>
  <c r="DH13" i="16"/>
  <c r="DG13" i="16"/>
  <c r="DF13" i="16"/>
  <c r="CU13" i="16"/>
  <c r="CV13" i="16" s="1"/>
  <c r="CR13" i="16"/>
  <c r="CT13" i="16" s="1"/>
  <c r="CN13" i="16"/>
  <c r="CH13" i="16"/>
  <c r="CG13" i="16"/>
  <c r="CM13" i="16" s="1"/>
  <c r="CF13" i="16"/>
  <c r="CL13" i="16" s="1"/>
  <c r="CC13" i="16"/>
  <c r="CI13" i="16" s="1"/>
  <c r="CA13" i="16"/>
  <c r="BX13" i="16"/>
  <c r="BU13" i="16"/>
  <c r="CE13" i="16" s="1"/>
  <c r="CK13" i="16" s="1"/>
  <c r="BS13" i="16"/>
  <c r="BY13" i="16" s="1"/>
  <c r="BP13" i="16"/>
  <c r="BO13" i="16"/>
  <c r="BK13" i="16"/>
  <c r="BQ13" i="16" s="1"/>
  <c r="BJ13" i="16"/>
  <c r="BH13" i="16"/>
  <c r="BG13" i="16"/>
  <c r="BE13" i="16"/>
  <c r="BD13" i="16"/>
  <c r="BB13" i="16"/>
  <c r="AV13" i="16"/>
  <c r="AS13" i="16" s="1"/>
  <c r="W13" i="16"/>
  <c r="DH12" i="16"/>
  <c r="DK12" i="16" s="1"/>
  <c r="DG12" i="16"/>
  <c r="DF12" i="16"/>
  <c r="CU12" i="16"/>
  <c r="CV12" i="16" s="1"/>
  <c r="DB12" i="16" s="1"/>
  <c r="CN12" i="16"/>
  <c r="CF12" i="16"/>
  <c r="BU12" i="16"/>
  <c r="CE12" i="16" s="1"/>
  <c r="W12" i="16"/>
  <c r="DH11" i="16"/>
  <c r="DK11" i="16" s="1"/>
  <c r="DG11" i="16"/>
  <c r="DF11" i="16"/>
  <c r="CU11" i="16"/>
  <c r="CV11" i="16" s="1"/>
  <c r="CN11" i="16"/>
  <c r="CF11" i="16"/>
  <c r="BU11" i="16"/>
  <c r="CE11" i="16" s="1"/>
  <c r="AH11" i="16"/>
  <c r="W11" i="16"/>
  <c r="DH10" i="16"/>
  <c r="DG10" i="16"/>
  <c r="DF10" i="16"/>
  <c r="CU10" i="16"/>
  <c r="CV10" i="16" s="1"/>
  <c r="DB10" i="16" s="1"/>
  <c r="CR10" i="16"/>
  <c r="CT10" i="16" s="1"/>
  <c r="CN10" i="16"/>
  <c r="CH10" i="16"/>
  <c r="CG10" i="16"/>
  <c r="CM10" i="16" s="1"/>
  <c r="CF10" i="16"/>
  <c r="CL10" i="16" s="1"/>
  <c r="CC10" i="16"/>
  <c r="CI10" i="16" s="1"/>
  <c r="CA10" i="16"/>
  <c r="BX10" i="16"/>
  <c r="BU10" i="16"/>
  <c r="CP30" i="16" s="1"/>
  <c r="CS30" i="16" s="1"/>
  <c r="BS10" i="16"/>
  <c r="BY10" i="16" s="1"/>
  <c r="BO10" i="16"/>
  <c r="BJ10" i="16"/>
  <c r="BP10" i="16" s="1"/>
  <c r="BH10" i="16"/>
  <c r="BG10" i="16"/>
  <c r="BD10" i="16"/>
  <c r="BB10" i="16"/>
  <c r="AV10" i="16"/>
  <c r="AS10" i="16" s="1"/>
  <c r="AJ10" i="16"/>
  <c r="W10" i="16"/>
  <c r="DH9" i="16"/>
  <c r="DG9" i="16"/>
  <c r="DF9" i="16"/>
  <c r="CV9" i="16"/>
  <c r="DB9" i="16" s="1"/>
  <c r="CU9" i="16"/>
  <c r="CR9" i="16"/>
  <c r="CT9" i="16" s="1"/>
  <c r="CH9" i="16"/>
  <c r="CG9" i="16"/>
  <c r="CM9" i="16" s="1"/>
  <c r="CC9" i="16"/>
  <c r="CI9" i="16" s="1"/>
  <c r="CA9" i="16"/>
  <c r="BX9" i="16"/>
  <c r="BT9" i="16"/>
  <c r="AS9" i="16" s="1"/>
  <c r="BS9" i="16"/>
  <c r="BY9" i="16" s="1"/>
  <c r="BO9" i="16"/>
  <c r="BH9" i="16"/>
  <c r="BG9" i="16"/>
  <c r="BB9" i="16"/>
  <c r="AJ9" i="16"/>
  <c r="AE9" i="16"/>
  <c r="W9" i="16"/>
  <c r="V9" i="16"/>
  <c r="O9" i="16"/>
  <c r="N9" i="16"/>
  <c r="CO9" i="16" s="1"/>
  <c r="CN9" i="16" s="1"/>
  <c r="K9" i="16"/>
  <c r="I9" i="16"/>
  <c r="H9" i="16"/>
  <c r="L9" i="16" s="1"/>
  <c r="DH8" i="16"/>
  <c r="DK8" i="16" s="1"/>
  <c r="DG8" i="16"/>
  <c r="DF8" i="16"/>
  <c r="CU8" i="16"/>
  <c r="CV8" i="16" s="1"/>
  <c r="DB8" i="16" s="1"/>
  <c r="CR8" i="16"/>
  <c r="CT8" i="16" s="1"/>
  <c r="CN8" i="16"/>
  <c r="CH8" i="16"/>
  <c r="CG8" i="16"/>
  <c r="CM8" i="16" s="1"/>
  <c r="CC8" i="16"/>
  <c r="CI8" i="16" s="1"/>
  <c r="CA8" i="16"/>
  <c r="BT8" i="16"/>
  <c r="BJ8" i="16" s="1"/>
  <c r="BP8" i="16" s="1"/>
  <c r="BS8" i="16"/>
  <c r="BY8" i="16" s="1"/>
  <c r="BO8" i="16"/>
  <c r="BG8" i="16"/>
  <c r="BB8" i="16"/>
  <c r="AV8" i="16"/>
  <c r="AS8" i="16" s="1"/>
  <c r="AJ8" i="16"/>
  <c r="W8" i="16"/>
  <c r="DH7" i="16"/>
  <c r="DG7" i="16"/>
  <c r="DJ7" i="16" s="1"/>
  <c r="DF7" i="16"/>
  <c r="CU7" i="16"/>
  <c r="CV7" i="16" s="1"/>
  <c r="CR7" i="16"/>
  <c r="CT7" i="16" s="1"/>
  <c r="CN7" i="16"/>
  <c r="CH7" i="16"/>
  <c r="CG7" i="16"/>
  <c r="CM7" i="16" s="1"/>
  <c r="CC7" i="16"/>
  <c r="CI7" i="16" s="1"/>
  <c r="CA7" i="16"/>
  <c r="BX7" i="16"/>
  <c r="BT7" i="16"/>
  <c r="BU7" i="16" s="1"/>
  <c r="BS7" i="16"/>
  <c r="BY7" i="16" s="1"/>
  <c r="BO7" i="16"/>
  <c r="BG7" i="16"/>
  <c r="BB7" i="16"/>
  <c r="AV7" i="16"/>
  <c r="AS7" i="16" s="1"/>
  <c r="AJ7" i="16"/>
  <c r="W7" i="16"/>
  <c r="DH6" i="16"/>
  <c r="DK6" i="16" s="1"/>
  <c r="DG6" i="16"/>
  <c r="DF6" i="16"/>
  <c r="CU6" i="16"/>
  <c r="CV6" i="16" s="1"/>
  <c r="CR6" i="16"/>
  <c r="CT6" i="16" s="1"/>
  <c r="CI6" i="16"/>
  <c r="CH6" i="16"/>
  <c r="CG6" i="16"/>
  <c r="CM6" i="16" s="1"/>
  <c r="CC6" i="16"/>
  <c r="CA6" i="16"/>
  <c r="BX6" i="16"/>
  <c r="BT6" i="16"/>
  <c r="CF6" i="16" s="1"/>
  <c r="CL6" i="16" s="1"/>
  <c r="BS6" i="16"/>
  <c r="BY6" i="16" s="1"/>
  <c r="BO6" i="16"/>
  <c r="BH6" i="16"/>
  <c r="BG6" i="16"/>
  <c r="BB6" i="16"/>
  <c r="AV6" i="16"/>
  <c r="AS6" i="16" s="1"/>
  <c r="AJ6" i="16"/>
  <c r="AE6" i="16"/>
  <c r="W6" i="16"/>
  <c r="V6" i="16"/>
  <c r="V22" i="16" s="1"/>
  <c r="O6" i="16"/>
  <c r="N6" i="16"/>
  <c r="CO6" i="16" s="1"/>
  <c r="CN6" i="16" s="1"/>
  <c r="K6" i="16"/>
  <c r="I6" i="16"/>
  <c r="H6" i="16"/>
  <c r="L6" i="16" s="1"/>
  <c r="DH5" i="16"/>
  <c r="DG5" i="16"/>
  <c r="DF5" i="16"/>
  <c r="CV5" i="16"/>
  <c r="CZ5" i="16" s="1"/>
  <c r="CU5" i="16"/>
  <c r="CR5" i="16"/>
  <c r="CT5" i="16" s="1"/>
  <c r="CN5" i="16"/>
  <c r="CH5" i="16"/>
  <c r="CG5" i="16"/>
  <c r="CM5" i="16" s="1"/>
  <c r="CC5" i="16"/>
  <c r="CI5" i="16" s="1"/>
  <c r="BX5" i="16"/>
  <c r="BT5" i="16"/>
  <c r="BS5" i="16"/>
  <c r="BY5" i="16" s="1"/>
  <c r="BO5" i="16"/>
  <c r="BG5" i="16"/>
  <c r="BB5" i="16"/>
  <c r="AJ5" i="16"/>
  <c r="AH5" i="16"/>
  <c r="W5" i="16"/>
  <c r="AU22" i="16" l="1"/>
  <c r="CF7" i="16"/>
  <c r="CL7" i="16" s="1"/>
  <c r="DK7" i="16"/>
  <c r="DJ13" i="16"/>
  <c r="L20" i="16"/>
  <c r="AS21" i="16"/>
  <c r="O35" i="16"/>
  <c r="DJ5" i="16"/>
  <c r="BJ6" i="16"/>
  <c r="BP6" i="16" s="1"/>
  <c r="BU6" i="16"/>
  <c r="BF6" i="16" s="1"/>
  <c r="DJ8" i="16"/>
  <c r="J9" i="16"/>
  <c r="DJ10" i="16"/>
  <c r="DK13" i="16"/>
  <c r="DJ15" i="16"/>
  <c r="DK5" i="16"/>
  <c r="BD6" i="16"/>
  <c r="DI9" i="16"/>
  <c r="DI11" i="16"/>
  <c r="CZ6" i="16"/>
  <c r="DA6" i="16"/>
  <c r="CZ14" i="16"/>
  <c r="DA14" i="16"/>
  <c r="AT13" i="16"/>
  <c r="AU13" i="16"/>
  <c r="AT15" i="16"/>
  <c r="AU15" i="16"/>
  <c r="DA5" i="16"/>
  <c r="BJ7" i="16"/>
  <c r="BP7" i="16" s="1"/>
  <c r="BD9" i="16"/>
  <c r="AU9" i="16"/>
  <c r="AT9" i="16"/>
  <c r="AT10" i="16"/>
  <c r="AU10" i="16"/>
  <c r="L18" i="16"/>
  <c r="B35" i="16"/>
  <c r="CO26" i="16"/>
  <c r="CT26" i="16" s="1"/>
  <c r="BH5" i="16"/>
  <c r="AS5" i="16"/>
  <c r="J6" i="16"/>
  <c r="DJ9" i="16"/>
  <c r="DJ12" i="16"/>
  <c r="AU19" i="16"/>
  <c r="AT19" i="16"/>
  <c r="J20" i="16"/>
  <c r="G35" i="16"/>
  <c r="C6" i="16" s="1"/>
  <c r="AI6" i="16" s="1"/>
  <c r="O37" i="16"/>
  <c r="C11" i="16" s="1"/>
  <c r="AI11" i="16" s="1"/>
  <c r="BK6" i="16"/>
  <c r="BQ6" i="16" s="1"/>
  <c r="BJ9" i="16"/>
  <c r="BP9" i="16" s="1"/>
  <c r="DI12" i="16"/>
  <c r="L19" i="16"/>
  <c r="AT21" i="16"/>
  <c r="AU21" i="16"/>
  <c r="AT6" i="16"/>
  <c r="AU6" i="16"/>
  <c r="AU8" i="16"/>
  <c r="AT8" i="16"/>
  <c r="DI8" i="16"/>
  <c r="BK9" i="16"/>
  <c r="BQ9" i="16" s="1"/>
  <c r="DK9" i="16"/>
  <c r="DJ11" i="16"/>
  <c r="BF13" i="16"/>
  <c r="CD13" i="16"/>
  <c r="CJ13" i="16" s="1"/>
  <c r="BF14" i="16"/>
  <c r="CD14" i="16"/>
  <c r="CJ14" i="16" s="1"/>
  <c r="L21" i="16"/>
  <c r="L23" i="16"/>
  <c r="K35" i="16"/>
  <c r="BU9" i="16"/>
  <c r="CE9" i="16" s="1"/>
  <c r="CK9" i="16" s="1"/>
  <c r="CF9" i="16"/>
  <c r="CL9" i="16" s="1"/>
  <c r="AT18" i="16"/>
  <c r="AU18" i="16"/>
  <c r="AT20" i="16"/>
  <c r="AU20" i="16"/>
  <c r="AT22" i="16"/>
  <c r="AU14" i="16"/>
  <c r="AT14" i="16"/>
  <c r="AU5" i="16"/>
  <c r="AT5" i="16"/>
  <c r="AU7" i="16"/>
  <c r="AT7" i="16"/>
  <c r="AS20" i="16"/>
  <c r="AS22" i="16"/>
  <c r="AU23" i="16"/>
  <c r="AT23" i="16"/>
  <c r="CO29" i="16"/>
  <c r="CT29" i="16" s="1"/>
  <c r="AY13" i="16"/>
  <c r="DD5" i="16"/>
  <c r="DB7" i="16"/>
  <c r="DA7" i="16"/>
  <c r="CZ7" i="16"/>
  <c r="DK10" i="16"/>
  <c r="DI10" i="16"/>
  <c r="DD14" i="16"/>
  <c r="DA15" i="16"/>
  <c r="CZ15" i="16"/>
  <c r="L22" i="16"/>
  <c r="J22" i="16"/>
  <c r="CD9" i="16"/>
  <c r="CJ9" i="16" s="1"/>
  <c r="BF9" i="16"/>
  <c r="CP29" i="16"/>
  <c r="CS29" i="16" s="1"/>
  <c r="DB11" i="16"/>
  <c r="DA11" i="16"/>
  <c r="CZ11" i="16"/>
  <c r="DB15" i="16"/>
  <c r="DB13" i="16"/>
  <c r="DA13" i="16"/>
  <c r="CZ13" i="16"/>
  <c r="DK15" i="16"/>
  <c r="DI15" i="16"/>
  <c r="DJ14" i="16"/>
  <c r="DI14" i="16"/>
  <c r="CF5" i="16"/>
  <c r="CL5" i="16" s="1"/>
  <c r="BU5" i="16"/>
  <c r="BK5" i="16" s="1"/>
  <c r="BQ5" i="16" s="1"/>
  <c r="BD5" i="16"/>
  <c r="DI5" i="16"/>
  <c r="CP27" i="16"/>
  <c r="CS27" i="16" s="1"/>
  <c r="CE7" i="16"/>
  <c r="CK7" i="16" s="1"/>
  <c r="CD7" i="16"/>
  <c r="CJ7" i="16" s="1"/>
  <c r="BH8" i="16"/>
  <c r="CO28" i="16"/>
  <c r="CT28" i="16" s="1"/>
  <c r="CF8" i="16"/>
  <c r="CL8" i="16" s="1"/>
  <c r="BU8" i="16"/>
  <c r="BF8" i="16" s="1"/>
  <c r="BD8" i="16"/>
  <c r="DA10" i="16"/>
  <c r="CZ10" i="16"/>
  <c r="DE10" i="16" s="1"/>
  <c r="DJ6" i="16"/>
  <c r="DI6" i="16"/>
  <c r="BJ5" i="16"/>
  <c r="BP5" i="16" s="1"/>
  <c r="BE7" i="16"/>
  <c r="DB5" i="16"/>
  <c r="DE5" i="16" s="1"/>
  <c r="CD6" i="16"/>
  <c r="CJ6" i="16" s="1"/>
  <c r="DB6" i="16"/>
  <c r="BF7" i="16"/>
  <c r="CD10" i="16"/>
  <c r="CJ10" i="16" s="1"/>
  <c r="DB14" i="16"/>
  <c r="DE14" i="16" s="1"/>
  <c r="CE6" i="16"/>
  <c r="CK6" i="16" s="1"/>
  <c r="CE10" i="16"/>
  <c r="CK10" i="16" s="1"/>
  <c r="BE6" i="16"/>
  <c r="BH7" i="16"/>
  <c r="CZ8" i="16"/>
  <c r="DE8" i="16" s="1"/>
  <c r="C9" i="16"/>
  <c r="AI9" i="16" s="1"/>
  <c r="CZ9" i="16"/>
  <c r="DE9" i="16" s="1"/>
  <c r="BK10" i="16"/>
  <c r="BQ10" i="16" s="1"/>
  <c r="CZ12" i="16"/>
  <c r="DE12" i="16" s="1"/>
  <c r="J23" i="16"/>
  <c r="CP25" i="16"/>
  <c r="CS25" i="16" s="1"/>
  <c r="K37" i="16"/>
  <c r="DI7" i="16"/>
  <c r="DA8" i="16"/>
  <c r="DA9" i="16"/>
  <c r="BE10" i="16"/>
  <c r="DA12" i="16"/>
  <c r="DI13" i="16"/>
  <c r="CO27" i="16"/>
  <c r="CT27" i="16" s="1"/>
  <c r="BD7" i="16"/>
  <c r="BK7" i="16"/>
  <c r="BQ7" i="16" s="1"/>
  <c r="BF10" i="16"/>
  <c r="AR22" i="15"/>
  <c r="AR21" i="15"/>
  <c r="AR8" i="15"/>
  <c r="AR20" i="15"/>
  <c r="AR19" i="15"/>
  <c r="AR18" i="15"/>
  <c r="AR6" i="15"/>
  <c r="AR7" i="15"/>
  <c r="AR9" i="15"/>
  <c r="AR10" i="15"/>
  <c r="AR13" i="15"/>
  <c r="AR14" i="15"/>
  <c r="AR15" i="15"/>
  <c r="AR16" i="15"/>
  <c r="AR5" i="15"/>
  <c r="BX5" i="15"/>
  <c r="C7" i="16" l="1"/>
  <c r="AI7" i="16" s="1"/>
  <c r="BK8" i="16"/>
  <c r="BQ8" i="16" s="1"/>
  <c r="DE7" i="16"/>
  <c r="DD6" i="16"/>
  <c r="BF5" i="16"/>
  <c r="DE6" i="16"/>
  <c r="DE13" i="16"/>
  <c r="BE5" i="16"/>
  <c r="DE11" i="16"/>
  <c r="C8" i="16"/>
  <c r="AI8" i="16" s="1"/>
  <c r="C5" i="16"/>
  <c r="AI5" i="16" s="1"/>
  <c r="C10" i="16"/>
  <c r="AI10" i="16" s="1"/>
  <c r="BE9" i="16"/>
  <c r="DD10" i="16"/>
  <c r="DC10" i="16"/>
  <c r="DD12" i="16"/>
  <c r="DC12" i="16"/>
  <c r="DC5" i="16"/>
  <c r="DD13" i="16"/>
  <c r="DC13" i="16"/>
  <c r="DE15" i="16"/>
  <c r="DD15" i="16"/>
  <c r="DC15" i="16"/>
  <c r="DD7" i="16"/>
  <c r="DC7" i="16"/>
  <c r="DC14" i="16"/>
  <c r="DD9" i="16"/>
  <c r="DC9" i="16"/>
  <c r="CP28" i="16"/>
  <c r="CS28" i="16" s="1"/>
  <c r="CE8" i="16"/>
  <c r="CK8" i="16" s="1"/>
  <c r="CD8" i="16"/>
  <c r="CJ8" i="16" s="1"/>
  <c r="DC6" i="16"/>
  <c r="DD8" i="16"/>
  <c r="DC8" i="16"/>
  <c r="BE8" i="16"/>
  <c r="CE5" i="16"/>
  <c r="CK5" i="16" s="1"/>
  <c r="CP26" i="16"/>
  <c r="CS26" i="16" s="1"/>
  <c r="CD5" i="16"/>
  <c r="CJ5" i="16" s="1"/>
  <c r="DC11" i="16"/>
  <c r="DD11" i="16"/>
  <c r="AM19" i="15"/>
  <c r="AM20" i="15"/>
  <c r="AM21" i="15"/>
  <c r="AM22" i="15"/>
  <c r="AM6" i="15"/>
  <c r="AM7" i="15"/>
  <c r="AM8" i="15"/>
  <c r="AM9" i="15"/>
  <c r="AM10" i="15"/>
  <c r="AM13" i="15"/>
  <c r="AM14" i="15"/>
  <c r="AM15" i="15"/>
  <c r="AM16" i="15"/>
  <c r="AM5" i="15"/>
  <c r="CV6" i="15" l="1"/>
  <c r="CW6" i="15"/>
  <c r="CX6" i="15"/>
  <c r="DA6" i="15" s="1"/>
  <c r="CV7" i="15"/>
  <c r="CW7" i="15"/>
  <c r="CX7" i="15"/>
  <c r="CV8" i="15"/>
  <c r="DA8" i="15" s="1"/>
  <c r="CW8" i="15"/>
  <c r="CX8" i="15"/>
  <c r="CV9" i="15"/>
  <c r="CW9" i="15"/>
  <c r="CX9" i="15"/>
  <c r="CV10" i="15"/>
  <c r="CW10" i="15"/>
  <c r="CX10" i="15"/>
  <c r="CV11" i="15"/>
  <c r="CW11" i="15"/>
  <c r="CX11" i="15"/>
  <c r="CV12" i="15"/>
  <c r="CW12" i="15"/>
  <c r="CY12" i="15" s="1"/>
  <c r="CX12" i="15"/>
  <c r="CV13" i="15"/>
  <c r="CW13" i="15"/>
  <c r="CX13" i="15"/>
  <c r="CV14" i="15"/>
  <c r="CW14" i="15"/>
  <c r="CX14" i="15"/>
  <c r="CV15" i="15"/>
  <c r="CW15" i="15"/>
  <c r="CX15" i="15"/>
  <c r="CX5" i="15"/>
  <c r="DA5" i="15" s="1"/>
  <c r="CW5" i="15"/>
  <c r="CZ5" i="15" s="1"/>
  <c r="CV5" i="15"/>
  <c r="CK17" i="15"/>
  <c r="CL17" i="15" s="1"/>
  <c r="CK18" i="15"/>
  <c r="CL18" i="15" s="1"/>
  <c r="CK19" i="15"/>
  <c r="CL19" i="15" s="1"/>
  <c r="CK20" i="15"/>
  <c r="CL20" i="15" s="1"/>
  <c r="CK21" i="15"/>
  <c r="CL21" i="15" s="1"/>
  <c r="CK22" i="15"/>
  <c r="CL22" i="15" s="1"/>
  <c r="CK23" i="15"/>
  <c r="CL23" i="15" s="1"/>
  <c r="CK10" i="15"/>
  <c r="CL10" i="15" s="1"/>
  <c r="CQ10" i="15" s="1"/>
  <c r="CK11" i="15"/>
  <c r="CL11" i="15" s="1"/>
  <c r="CK12" i="15"/>
  <c r="CL12" i="15" s="1"/>
  <c r="CR12" i="15" s="1"/>
  <c r="CK13" i="15"/>
  <c r="CL13" i="15" s="1"/>
  <c r="CP13" i="15" s="1"/>
  <c r="CK14" i="15"/>
  <c r="CL14" i="15" s="1"/>
  <c r="CR14" i="15" s="1"/>
  <c r="CK15" i="15"/>
  <c r="CL15" i="15" s="1"/>
  <c r="CP15" i="15" s="1"/>
  <c r="CK16" i="15"/>
  <c r="CL16" i="15" s="1"/>
  <c r="CK5" i="15"/>
  <c r="CL5" i="15" s="1"/>
  <c r="CK6" i="15"/>
  <c r="CL6" i="15" s="1"/>
  <c r="CQ6" i="15" s="1"/>
  <c r="CK7" i="15"/>
  <c r="CL7" i="15" s="1"/>
  <c r="CP7" i="15" s="1"/>
  <c r="CK8" i="15"/>
  <c r="CL8" i="15" s="1"/>
  <c r="CQ8" i="15" s="1"/>
  <c r="CK9" i="15"/>
  <c r="CL9" i="15" s="1"/>
  <c r="CP9" i="15" s="1"/>
  <c r="CY14" i="15" l="1"/>
  <c r="CY10" i="15"/>
  <c r="CY6" i="15"/>
  <c r="CQ9" i="15"/>
  <c r="CT9" i="15" s="1"/>
  <c r="CY8" i="15"/>
  <c r="CY7" i="15"/>
  <c r="CY5" i="15"/>
  <c r="CY13" i="15"/>
  <c r="CY9" i="15"/>
  <c r="DA15" i="15"/>
  <c r="DA11" i="15"/>
  <c r="DA9" i="15"/>
  <c r="CQ14" i="15"/>
  <c r="DA14" i="15"/>
  <c r="DA10" i="15"/>
  <c r="CP6" i="15"/>
  <c r="CT6" i="15" s="1"/>
  <c r="CY15" i="15"/>
  <c r="CY11" i="15"/>
  <c r="DA13" i="15"/>
  <c r="DA7" i="15"/>
  <c r="CP14" i="15"/>
  <c r="CU14" i="15" s="1"/>
  <c r="DA12" i="15"/>
  <c r="CZ7" i="15"/>
  <c r="CZ15" i="15"/>
  <c r="CZ13" i="15"/>
  <c r="CZ11" i="15"/>
  <c r="CZ9" i="15"/>
  <c r="CR9" i="15"/>
  <c r="CS9" i="15" s="1"/>
  <c r="CZ14" i="15"/>
  <c r="CZ12" i="15"/>
  <c r="CZ10" i="15"/>
  <c r="CZ8" i="15"/>
  <c r="CZ6" i="15"/>
  <c r="CQ15" i="15"/>
  <c r="CR8" i="15"/>
  <c r="CU8" i="15" s="1"/>
  <c r="CP5" i="15"/>
  <c r="CR5" i="15"/>
  <c r="CQ5" i="15"/>
  <c r="CP11" i="15"/>
  <c r="CQ11" i="15"/>
  <c r="CS11" i="15" s="1"/>
  <c r="CR11" i="15"/>
  <c r="CQ12" i="15"/>
  <c r="CS12" i="15" s="1"/>
  <c r="CR15" i="15"/>
  <c r="CU15" i="15" s="1"/>
  <c r="CP8" i="15"/>
  <c r="CT8" i="15" s="1"/>
  <c r="CS14" i="15"/>
  <c r="CP10" i="15"/>
  <c r="CT10" i="15" s="1"/>
  <c r="CP12" i="15"/>
  <c r="CU12" i="15" s="1"/>
  <c r="CR7" i="15"/>
  <c r="CR10" i="15"/>
  <c r="CR13" i="15"/>
  <c r="CQ7" i="15"/>
  <c r="CT7" i="15" s="1"/>
  <c r="CQ13" i="15"/>
  <c r="CT13" i="15" s="1"/>
  <c r="CR6" i="15"/>
  <c r="CT14" i="15"/>
  <c r="CD7" i="15"/>
  <c r="CD8" i="15"/>
  <c r="CD10" i="15"/>
  <c r="CD11" i="15"/>
  <c r="CD12" i="15"/>
  <c r="CD13" i="15"/>
  <c r="CD14" i="15"/>
  <c r="CD15" i="15"/>
  <c r="CD16" i="15"/>
  <c r="CD17" i="15"/>
  <c r="CD5" i="15"/>
  <c r="CE23" i="15"/>
  <c r="CD23" i="15" s="1"/>
  <c r="CS15" i="15" l="1"/>
  <c r="CU6" i="15"/>
  <c r="CS8" i="15"/>
  <c r="CU9" i="15"/>
  <c r="CU5" i="15"/>
  <c r="CT15" i="15"/>
  <c r="CU11" i="15"/>
  <c r="CS5" i="15"/>
  <c r="CT5" i="15"/>
  <c r="CT11" i="15"/>
  <c r="CS10" i="15"/>
  <c r="CU10" i="15"/>
  <c r="CT12" i="15"/>
  <c r="CS7" i="15"/>
  <c r="CU7" i="15"/>
  <c r="CS13" i="15"/>
  <c r="CU13" i="15"/>
  <c r="CS6" i="15"/>
  <c r="AW5" i="15"/>
  <c r="BK13" i="15"/>
  <c r="BA13" i="15" s="1"/>
  <c r="BG13" i="15" s="1"/>
  <c r="BK10" i="15"/>
  <c r="AU10" i="15" s="1"/>
  <c r="BK11" i="15"/>
  <c r="BU11" i="15" s="1"/>
  <c r="BK12" i="15"/>
  <c r="BU12" i="15" s="1"/>
  <c r="BK14" i="15"/>
  <c r="BT14" i="15" s="1"/>
  <c r="BZ14" i="15" s="1"/>
  <c r="BE15" i="15"/>
  <c r="BS13" i="15"/>
  <c r="BY13" i="15" s="1"/>
  <c r="BS14" i="15"/>
  <c r="BY14" i="15" s="1"/>
  <c r="BS10" i="15"/>
  <c r="BY10" i="15" s="1"/>
  <c r="AW14" i="15"/>
  <c r="AT14" i="15"/>
  <c r="BX13" i="15"/>
  <c r="BX14" i="15"/>
  <c r="CC14" i="15"/>
  <c r="BX15" i="15"/>
  <c r="BX6" i="15"/>
  <c r="BX7" i="15"/>
  <c r="BX8" i="15"/>
  <c r="BX9" i="15"/>
  <c r="BX10" i="15"/>
  <c r="BW6" i="15"/>
  <c r="CC6" i="15" s="1"/>
  <c r="BW7" i="15"/>
  <c r="CC7" i="15" s="1"/>
  <c r="BW8" i="15"/>
  <c r="CC8" i="15" s="1"/>
  <c r="BW9" i="15"/>
  <c r="CC9" i="15" s="1"/>
  <c r="BW10" i="15"/>
  <c r="CC10" i="15" s="1"/>
  <c r="BW13" i="15"/>
  <c r="CC13" i="15" s="1"/>
  <c r="BW14" i="15"/>
  <c r="BW5" i="15"/>
  <c r="CC5" i="15" s="1"/>
  <c r="BV16" i="15"/>
  <c r="BV11" i="15"/>
  <c r="BV10" i="15"/>
  <c r="CB10" i="15" s="1"/>
  <c r="BV12" i="15"/>
  <c r="BV13" i="15"/>
  <c r="CB13" i="15" s="1"/>
  <c r="BV14" i="15"/>
  <c r="CB14" i="15" s="1"/>
  <c r="BV15" i="15"/>
  <c r="CB15" i="15" s="1"/>
  <c r="BS5" i="15"/>
  <c r="BY5" i="15" s="1"/>
  <c r="BN5" i="15"/>
  <c r="BI15" i="15"/>
  <c r="BO15" i="15" s="1"/>
  <c r="BI6" i="15"/>
  <c r="BO6" i="15" s="1"/>
  <c r="BI7" i="15"/>
  <c r="BO7" i="15" s="1"/>
  <c r="BI8" i="15"/>
  <c r="BO8" i="15" s="1"/>
  <c r="BI9" i="15"/>
  <c r="BO9" i="15" s="1"/>
  <c r="BI10" i="15"/>
  <c r="BO10" i="15" s="1"/>
  <c r="BI13" i="15"/>
  <c r="BO13" i="15" s="1"/>
  <c r="BI14" i="15"/>
  <c r="BO14" i="15" s="1"/>
  <c r="BI5" i="15"/>
  <c r="BO5" i="15" s="1"/>
  <c r="BE5" i="15"/>
  <c r="AT13" i="15"/>
  <c r="AZ10" i="15"/>
  <c r="BF10" i="15" s="1"/>
  <c r="AZ13" i="15"/>
  <c r="BF13" i="15" s="1"/>
  <c r="AZ14" i="15"/>
  <c r="BF14" i="15" s="1"/>
  <c r="AX10" i="15"/>
  <c r="AX13" i="15"/>
  <c r="AX14" i="15"/>
  <c r="AW6" i="15"/>
  <c r="AW7" i="15"/>
  <c r="AW8" i="15"/>
  <c r="AW9" i="15"/>
  <c r="AW10" i="15"/>
  <c r="AW13" i="15"/>
  <c r="AW15" i="15"/>
  <c r="BS9" i="15"/>
  <c r="BY9" i="15" s="1"/>
  <c r="BS6" i="15"/>
  <c r="BY6" i="15" s="1"/>
  <c r="BS7" i="15"/>
  <c r="BY7" i="15" s="1"/>
  <c r="BS8" i="15"/>
  <c r="BY8" i="15" s="1"/>
  <c r="BT13" i="15" l="1"/>
  <c r="BZ13" i="15" s="1"/>
  <c r="AV14" i="15"/>
  <c r="AU13" i="15"/>
  <c r="AV13" i="15"/>
  <c r="BU14" i="15"/>
  <c r="CA14" i="15" s="1"/>
  <c r="AV10" i="15"/>
  <c r="BU13" i="15"/>
  <c r="CA13" i="15" s="1"/>
  <c r="BU10" i="15"/>
  <c r="CA10" i="15" s="1"/>
  <c r="BA10" i="15"/>
  <c r="BG10" i="15" s="1"/>
  <c r="BT10" i="15"/>
  <c r="BZ10" i="15" s="1"/>
  <c r="BA14" i="15"/>
  <c r="BG14" i="15" s="1"/>
  <c r="AU14" i="15"/>
  <c r="AT10" i="15"/>
  <c r="AJ5" i="15"/>
  <c r="AJ6" i="15"/>
  <c r="AJ7" i="15"/>
  <c r="AJ8" i="15"/>
  <c r="AJ9" i="15"/>
  <c r="AJ10" i="15"/>
  <c r="R35" i="15"/>
  <c r="R36" i="15"/>
  <c r="R37" i="15"/>
  <c r="R38" i="15"/>
  <c r="R39" i="15"/>
  <c r="R40" i="15"/>
  <c r="R41" i="15"/>
  <c r="R42" i="15"/>
  <c r="R43" i="15"/>
  <c r="R44" i="15"/>
  <c r="R45" i="15"/>
  <c r="R46" i="15"/>
  <c r="R47" i="15"/>
  <c r="R48" i="15"/>
  <c r="R49" i="15"/>
  <c r="R50" i="15"/>
  <c r="R51" i="15"/>
  <c r="R52" i="15"/>
  <c r="R34" i="15"/>
  <c r="N35" i="15"/>
  <c r="N36" i="15"/>
  <c r="N37" i="15"/>
  <c r="N38" i="15"/>
  <c r="N39" i="15"/>
  <c r="N40" i="15"/>
  <c r="N41" i="15"/>
  <c r="N42" i="15"/>
  <c r="N43" i="15"/>
  <c r="N44" i="15"/>
  <c r="N45" i="15"/>
  <c r="N46" i="15"/>
  <c r="N47" i="15"/>
  <c r="N48" i="15"/>
  <c r="N49" i="15"/>
  <c r="N50" i="15"/>
  <c r="N51" i="15"/>
  <c r="N52" i="15"/>
  <c r="N34" i="15"/>
  <c r="J35" i="15"/>
  <c r="J36" i="15"/>
  <c r="J37" i="15"/>
  <c r="J38" i="15"/>
  <c r="J39" i="15"/>
  <c r="J40" i="15"/>
  <c r="J41" i="15"/>
  <c r="J42" i="15"/>
  <c r="J43" i="15"/>
  <c r="J44" i="15"/>
  <c r="J45" i="15"/>
  <c r="J46" i="15"/>
  <c r="J47" i="15"/>
  <c r="J48" i="15"/>
  <c r="J49" i="15"/>
  <c r="J50" i="15"/>
  <c r="J51" i="15"/>
  <c r="J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52" i="15"/>
  <c r="F34" i="15"/>
  <c r="AH5" i="15"/>
  <c r="AH11" i="15"/>
  <c r="O35" i="15" l="1"/>
  <c r="O37" i="15"/>
  <c r="CF30" i="15"/>
  <c r="CK30" i="15" s="1"/>
  <c r="CH6" i="15"/>
  <c r="CJ6" i="15" s="1"/>
  <c r="CH7" i="15"/>
  <c r="CJ7" i="15" s="1"/>
  <c r="CH8" i="15"/>
  <c r="CJ8" i="15" s="1"/>
  <c r="CH9" i="15"/>
  <c r="CJ9" i="15" s="1"/>
  <c r="CH10" i="15"/>
  <c r="CJ10" i="15" s="1"/>
  <c r="CH13" i="15"/>
  <c r="CJ13" i="15" s="1"/>
  <c r="CH14" i="15"/>
  <c r="CJ14" i="15" s="1"/>
  <c r="CH15" i="15"/>
  <c r="CJ15" i="15" s="1"/>
  <c r="CH5" i="15"/>
  <c r="CJ5" i="15" s="1"/>
  <c r="W6" i="15"/>
  <c r="W7" i="15"/>
  <c r="W8" i="15"/>
  <c r="W9" i="15"/>
  <c r="W10" i="15"/>
  <c r="W11" i="15"/>
  <c r="W12" i="15"/>
  <c r="W13" i="15"/>
  <c r="W14" i="15"/>
  <c r="W15" i="15"/>
  <c r="W16" i="15"/>
  <c r="W17" i="15"/>
  <c r="W5" i="15"/>
  <c r="BX23" i="15"/>
  <c r="BQ23" i="15"/>
  <c r="BE23" i="15" s="1"/>
  <c r="BJ23" i="15"/>
  <c r="BD23" i="15"/>
  <c r="O23" i="15"/>
  <c r="K23" i="15"/>
  <c r="I23" i="15"/>
  <c r="H23" i="15"/>
  <c r="BX22" i="15"/>
  <c r="BQ22" i="15"/>
  <c r="BN22" i="15"/>
  <c r="BJ22" i="15"/>
  <c r="BE22" i="15"/>
  <c r="AE22" i="15"/>
  <c r="O22" i="15"/>
  <c r="N22" i="15"/>
  <c r="CE22" i="15" s="1"/>
  <c r="CD22" i="15" s="1"/>
  <c r="K22" i="15"/>
  <c r="I22" i="15"/>
  <c r="H22" i="15"/>
  <c r="BX21" i="15"/>
  <c r="BQ21" i="15"/>
  <c r="BN21" i="15"/>
  <c r="BJ21" i="15"/>
  <c r="BE21" i="15"/>
  <c r="AE21" i="15"/>
  <c r="O21" i="15"/>
  <c r="N21" i="15"/>
  <c r="CE21" i="15" s="1"/>
  <c r="CD21" i="15" s="1"/>
  <c r="K21" i="15"/>
  <c r="I21" i="15"/>
  <c r="H21" i="15"/>
  <c r="BX20" i="15"/>
  <c r="BQ20" i="15"/>
  <c r="BN20" i="15"/>
  <c r="BJ20" i="15"/>
  <c r="BE20" i="15"/>
  <c r="AE20" i="15"/>
  <c r="O20" i="15"/>
  <c r="N20" i="15"/>
  <c r="CE20" i="15" s="1"/>
  <c r="CD20" i="15" s="1"/>
  <c r="K20" i="15"/>
  <c r="I20" i="15"/>
  <c r="H20" i="15"/>
  <c r="BX19" i="15"/>
  <c r="BQ19" i="15"/>
  <c r="BN19" i="15"/>
  <c r="BJ19" i="15"/>
  <c r="BE19" i="15"/>
  <c r="AE19" i="15"/>
  <c r="O19" i="15"/>
  <c r="N19" i="15"/>
  <c r="CE19" i="15" s="1"/>
  <c r="CD19" i="15" s="1"/>
  <c r="K19" i="15"/>
  <c r="I19" i="15"/>
  <c r="H19" i="15"/>
  <c r="BX18" i="15"/>
  <c r="BQ18" i="15"/>
  <c r="BN18" i="15"/>
  <c r="BJ18" i="15"/>
  <c r="AE18" i="15"/>
  <c r="O18" i="15"/>
  <c r="N18" i="15"/>
  <c r="CE18" i="15" s="1"/>
  <c r="CD18" i="15" s="1"/>
  <c r="K18" i="15"/>
  <c r="I18" i="15"/>
  <c r="H18" i="15"/>
  <c r="BQ15" i="15"/>
  <c r="BN15" i="15"/>
  <c r="BQ14" i="15"/>
  <c r="BN14" i="15"/>
  <c r="BE14" i="15"/>
  <c r="BQ13" i="15"/>
  <c r="BN13" i="15"/>
  <c r="BE13" i="15"/>
  <c r="BQ10" i="15"/>
  <c r="BN10" i="15"/>
  <c r="BE10" i="15"/>
  <c r="BQ9" i="15"/>
  <c r="BN9" i="15"/>
  <c r="BJ9" i="15"/>
  <c r="BE9" i="15"/>
  <c r="AE9" i="15"/>
  <c r="V9" i="15"/>
  <c r="O9" i="15"/>
  <c r="N9" i="15"/>
  <c r="CE9" i="15" s="1"/>
  <c r="CD9" i="15" s="1"/>
  <c r="K9" i="15"/>
  <c r="I9" i="15"/>
  <c r="H9" i="15"/>
  <c r="BQ8" i="15"/>
  <c r="BN8" i="15"/>
  <c r="BJ8" i="15"/>
  <c r="BE8" i="15"/>
  <c r="BQ7" i="15"/>
  <c r="BN7" i="15"/>
  <c r="BJ7" i="15"/>
  <c r="BE7" i="15"/>
  <c r="BQ6" i="15"/>
  <c r="BN6" i="15"/>
  <c r="BJ6" i="15"/>
  <c r="BE6" i="15"/>
  <c r="AE6" i="15"/>
  <c r="V6" i="15"/>
  <c r="O6" i="15"/>
  <c r="N6" i="15"/>
  <c r="CE6" i="15" s="1"/>
  <c r="CD6" i="15" s="1"/>
  <c r="K6" i="15"/>
  <c r="I6" i="15"/>
  <c r="H6" i="15"/>
  <c r="BQ5" i="15"/>
  <c r="BJ5" i="15"/>
  <c r="AT8" i="14"/>
  <c r="BI13" i="14"/>
  <c r="BH13" i="14"/>
  <c r="BF13" i="14"/>
  <c r="BE13" i="14"/>
  <c r="AX13" i="14"/>
  <c r="AW13" i="14"/>
  <c r="AV13" i="14"/>
  <c r="AN13" i="14"/>
  <c r="AO13" i="14" s="1"/>
  <c r="AN11" i="14"/>
  <c r="AO11" i="14" s="1"/>
  <c r="AN12" i="14"/>
  <c r="AO12" i="14" s="1"/>
  <c r="AV11" i="14"/>
  <c r="AW11" i="14"/>
  <c r="AX11" i="14"/>
  <c r="AV12" i="14"/>
  <c r="AW12" i="14"/>
  <c r="AX12" i="14"/>
  <c r="BE11" i="14"/>
  <c r="BE12" i="14"/>
  <c r="BF11" i="14"/>
  <c r="BF12" i="14"/>
  <c r="BH11" i="14"/>
  <c r="BH12" i="14"/>
  <c r="BI11" i="14"/>
  <c r="BI12" i="14"/>
  <c r="BI8" i="14"/>
  <c r="BI7" i="14"/>
  <c r="BH7" i="14"/>
  <c r="BH8" i="14"/>
  <c r="BF7" i="14"/>
  <c r="BF8" i="14"/>
  <c r="BE7" i="14"/>
  <c r="BE8" i="14"/>
  <c r="AX7" i="14"/>
  <c r="AX8" i="14"/>
  <c r="AW7" i="14"/>
  <c r="AW8" i="14"/>
  <c r="AV7" i="14"/>
  <c r="AV8" i="14"/>
  <c r="AV6" i="14"/>
  <c r="AN7" i="14"/>
  <c r="AO7" i="14" s="1"/>
  <c r="AN8" i="14"/>
  <c r="AO8" i="14" s="1"/>
  <c r="AN6" i="14"/>
  <c r="AO6" i="14" s="1"/>
  <c r="AS7" i="14"/>
  <c r="AT7" i="14" s="1"/>
  <c r="AB7" i="14"/>
  <c r="T7" i="14"/>
  <c r="M7" i="14"/>
  <c r="L7" i="14"/>
  <c r="BJ7" i="14" s="1"/>
  <c r="I7" i="14"/>
  <c r="G7" i="14"/>
  <c r="F7" i="14"/>
  <c r="AT6" i="15" l="1"/>
  <c r="AZ6" i="15"/>
  <c r="BF6" i="15" s="1"/>
  <c r="BV6" i="15"/>
  <c r="CB6" i="15" s="1"/>
  <c r="AX6" i="15"/>
  <c r="BK6" i="15"/>
  <c r="AU6" i="15" s="1"/>
  <c r="AZ9" i="15"/>
  <c r="BF9" i="15" s="1"/>
  <c r="AX9" i="15"/>
  <c r="BK9" i="15"/>
  <c r="AV9" i="15" s="1"/>
  <c r="BV9" i="15"/>
  <c r="CB9" i="15" s="1"/>
  <c r="BK8" i="15"/>
  <c r="AU8" i="15" s="1"/>
  <c r="BV8" i="15"/>
  <c r="CB8" i="15" s="1"/>
  <c r="AZ8" i="15"/>
  <c r="BF8" i="15" s="1"/>
  <c r="AX8" i="15"/>
  <c r="BK5" i="15"/>
  <c r="AZ5" i="15"/>
  <c r="BF5" i="15" s="1"/>
  <c r="AU5" i="15"/>
  <c r="BV5" i="15"/>
  <c r="CB5" i="15" s="1"/>
  <c r="AX5" i="15"/>
  <c r="AT5" i="15"/>
  <c r="AV5" i="15"/>
  <c r="BV7" i="15"/>
  <c r="CB7" i="15" s="1"/>
  <c r="AZ7" i="15"/>
  <c r="BF7" i="15" s="1"/>
  <c r="AX7" i="15"/>
  <c r="BK7" i="15"/>
  <c r="AV7" i="15" s="1"/>
  <c r="C11" i="15"/>
  <c r="AI11" i="15" s="1"/>
  <c r="AT8" i="15"/>
  <c r="CF29" i="15"/>
  <c r="CK29" i="15" s="1"/>
  <c r="AT9" i="15"/>
  <c r="CF27" i="15"/>
  <c r="CK27" i="15" s="1"/>
  <c r="AT7" i="15"/>
  <c r="B37" i="15"/>
  <c r="B35" i="15"/>
  <c r="G37" i="15"/>
  <c r="G35" i="15"/>
  <c r="K37" i="15"/>
  <c r="K35" i="15"/>
  <c r="CF25" i="15"/>
  <c r="CK25" i="15" s="1"/>
  <c r="CF28" i="15"/>
  <c r="CK28" i="15" s="1"/>
  <c r="CG30" i="15"/>
  <c r="CJ30" i="15" s="1"/>
  <c r="L23" i="15"/>
  <c r="L18" i="15"/>
  <c r="L22" i="15"/>
  <c r="L6" i="15"/>
  <c r="J6" i="15"/>
  <c r="J19" i="15"/>
  <c r="L21" i="15"/>
  <c r="AY23" i="15"/>
  <c r="J18" i="15"/>
  <c r="L20" i="15"/>
  <c r="J23" i="15"/>
  <c r="L9" i="15"/>
  <c r="J22" i="15"/>
  <c r="CF26" i="15"/>
  <c r="CK26" i="15" s="1"/>
  <c r="J9" i="15"/>
  <c r="J20" i="15"/>
  <c r="L19" i="15"/>
  <c r="J21" i="15"/>
  <c r="J7" i="14"/>
  <c r="H7" i="14"/>
  <c r="BE4" i="14"/>
  <c r="BH4" i="14"/>
  <c r="BE3" i="14"/>
  <c r="BE5" i="14"/>
  <c r="BE6" i="14"/>
  <c r="BE16" i="14"/>
  <c r="BE17" i="14"/>
  <c r="BE18" i="14"/>
  <c r="BE19" i="14"/>
  <c r="BE20" i="14"/>
  <c r="BE21" i="14"/>
  <c r="AI21" i="14" s="1"/>
  <c r="BJ21" i="14"/>
  <c r="BF21" i="14"/>
  <c r="AS21" i="14"/>
  <c r="AM21" i="14"/>
  <c r="M21" i="14"/>
  <c r="I21" i="14"/>
  <c r="G21" i="14"/>
  <c r="F21" i="14"/>
  <c r="BI20" i="14"/>
  <c r="BH20" i="14"/>
  <c r="BF20" i="14"/>
  <c r="AX20" i="14"/>
  <c r="AW20" i="14"/>
  <c r="AV20" i="14"/>
  <c r="AS20" i="14"/>
  <c r="AN20" i="14"/>
  <c r="AO20" i="14" s="1"/>
  <c r="AB20" i="14"/>
  <c r="M20" i="14"/>
  <c r="L20" i="14"/>
  <c r="BJ20" i="14" s="1"/>
  <c r="I20" i="14"/>
  <c r="G20" i="14"/>
  <c r="F20" i="14"/>
  <c r="BI19" i="14"/>
  <c r="BH19" i="14"/>
  <c r="BF19" i="14"/>
  <c r="AX19" i="14"/>
  <c r="AW19" i="14"/>
  <c r="AV19" i="14"/>
  <c r="AS19" i="14"/>
  <c r="AN19" i="14"/>
  <c r="AO19" i="14" s="1"/>
  <c r="AB19" i="14"/>
  <c r="M19" i="14"/>
  <c r="L19" i="14"/>
  <c r="BJ19" i="14" s="1"/>
  <c r="I19" i="14"/>
  <c r="G19" i="14"/>
  <c r="F19" i="14"/>
  <c r="BI18" i="14"/>
  <c r="BH18" i="14"/>
  <c r="BF18" i="14"/>
  <c r="AX18" i="14"/>
  <c r="AW18" i="14"/>
  <c r="AV18" i="14"/>
  <c r="AS18" i="14"/>
  <c r="AN18" i="14"/>
  <c r="AO18" i="14" s="1"/>
  <c r="AB18" i="14"/>
  <c r="M18" i="14"/>
  <c r="L18" i="14"/>
  <c r="BJ18" i="14" s="1"/>
  <c r="I18" i="14"/>
  <c r="G18" i="14"/>
  <c r="F18" i="14"/>
  <c r="BI17" i="14"/>
  <c r="BH17" i="14"/>
  <c r="BF17" i="14"/>
  <c r="AX17" i="14"/>
  <c r="AW17" i="14"/>
  <c r="AV17" i="14"/>
  <c r="AS17" i="14"/>
  <c r="AN17" i="14"/>
  <c r="AO17" i="14" s="1"/>
  <c r="AB17" i="14"/>
  <c r="M17" i="14"/>
  <c r="L17" i="14"/>
  <c r="BJ17" i="14" s="1"/>
  <c r="I17" i="14"/>
  <c r="G17" i="14"/>
  <c r="F17" i="14"/>
  <c r="BI16" i="14"/>
  <c r="BH16" i="14"/>
  <c r="BF16" i="14"/>
  <c r="AX16" i="14"/>
  <c r="AW16" i="14"/>
  <c r="AV16" i="14"/>
  <c r="AS16" i="14"/>
  <c r="AN16" i="14"/>
  <c r="AO16" i="14" s="1"/>
  <c r="AB16" i="14"/>
  <c r="M16" i="14"/>
  <c r="L16" i="14"/>
  <c r="BJ16" i="14" s="1"/>
  <c r="I16" i="14"/>
  <c r="G16" i="14"/>
  <c r="F16" i="14"/>
  <c r="BI6" i="14"/>
  <c r="BH6" i="14"/>
  <c r="BF6" i="14"/>
  <c r="AX6" i="14"/>
  <c r="AW6" i="14"/>
  <c r="AS6" i="14"/>
  <c r="AT6" i="14" s="1"/>
  <c r="BI5" i="14"/>
  <c r="BH5" i="14"/>
  <c r="BF5" i="14"/>
  <c r="AX5" i="14"/>
  <c r="AW5" i="14"/>
  <c r="AV5" i="14"/>
  <c r="AS5" i="14"/>
  <c r="AY25" i="14" s="1"/>
  <c r="BH25" i="14" s="1"/>
  <c r="AN5" i="14"/>
  <c r="AO5" i="14" s="1"/>
  <c r="BI3" i="14"/>
  <c r="BH3" i="14"/>
  <c r="BF3" i="14"/>
  <c r="AX3" i="14"/>
  <c r="AW3" i="14"/>
  <c r="AV3" i="14"/>
  <c r="AS3" i="14"/>
  <c r="AN3" i="14"/>
  <c r="AO3" i="14" s="1"/>
  <c r="BI4" i="14"/>
  <c r="BF4" i="14"/>
  <c r="AX4" i="14"/>
  <c r="AW4" i="14"/>
  <c r="AV4" i="14"/>
  <c r="AS4" i="14"/>
  <c r="AT4" i="14" s="1"/>
  <c r="AZ4" i="14" s="1"/>
  <c r="BG4" i="14" s="1"/>
  <c r="AN4" i="14"/>
  <c r="AO4" i="14" s="1"/>
  <c r="AB4" i="14"/>
  <c r="T4" i="14"/>
  <c r="M4" i="14"/>
  <c r="L4" i="14"/>
  <c r="BJ4" i="14" s="1"/>
  <c r="I4" i="14"/>
  <c r="G4" i="14"/>
  <c r="F4" i="14"/>
  <c r="AL9" i="13"/>
  <c r="AM9" i="13" s="1"/>
  <c r="BC3" i="13"/>
  <c r="BE12" i="13"/>
  <c r="AQ12" i="13"/>
  <c r="AL12" i="13"/>
  <c r="AK12" i="13"/>
  <c r="AG12" i="13"/>
  <c r="AF12" i="13" s="1"/>
  <c r="M12" i="13"/>
  <c r="I12" i="13"/>
  <c r="G12" i="13"/>
  <c r="F12" i="13"/>
  <c r="H12" i="13" s="1"/>
  <c r="BD11" i="13"/>
  <c r="BC11" i="13"/>
  <c r="BB11" i="13"/>
  <c r="AQ11" i="13"/>
  <c r="AV11" i="13" s="1"/>
  <c r="AU11" i="13"/>
  <c r="AT11" i="13"/>
  <c r="AL11" i="13"/>
  <c r="AM11" i="13" s="1"/>
  <c r="AB11" i="13"/>
  <c r="M11" i="13"/>
  <c r="L11" i="13"/>
  <c r="BE11" i="13" s="1"/>
  <c r="I11" i="13"/>
  <c r="G11" i="13"/>
  <c r="F11" i="13"/>
  <c r="H11" i="13" s="1"/>
  <c r="BD10" i="13"/>
  <c r="BC10" i="13"/>
  <c r="BB10" i="13"/>
  <c r="AQ10" i="13"/>
  <c r="AV10" i="13"/>
  <c r="AU10" i="13"/>
  <c r="AT10" i="13"/>
  <c r="AL10" i="13"/>
  <c r="AM10" i="13" s="1"/>
  <c r="AB10" i="13"/>
  <c r="M10" i="13"/>
  <c r="L10" i="13"/>
  <c r="BE10" i="13" s="1"/>
  <c r="I10" i="13"/>
  <c r="G10" i="13"/>
  <c r="F10" i="13"/>
  <c r="J10" i="13" s="1"/>
  <c r="BD9" i="13"/>
  <c r="BC9" i="13"/>
  <c r="BB9" i="13"/>
  <c r="AQ9" i="13"/>
  <c r="AT9" i="13" s="1"/>
  <c r="AV9" i="13"/>
  <c r="AU9" i="13"/>
  <c r="AB9" i="13"/>
  <c r="M9" i="13"/>
  <c r="L9" i="13"/>
  <c r="BE9" i="13" s="1"/>
  <c r="I9" i="13"/>
  <c r="G9" i="13"/>
  <c r="F9" i="13"/>
  <c r="J9" i="13" s="1"/>
  <c r="BB8" i="13"/>
  <c r="BD8" i="13"/>
  <c r="BC8" i="13"/>
  <c r="AQ8" i="13"/>
  <c r="AU8" i="13" s="1"/>
  <c r="AV8" i="13"/>
  <c r="AL8" i="13"/>
  <c r="AM8" i="13" s="1"/>
  <c r="AB8" i="13"/>
  <c r="M8" i="13"/>
  <c r="L8" i="13"/>
  <c r="BE8" i="13" s="1"/>
  <c r="I8" i="13"/>
  <c r="G8" i="13"/>
  <c r="F8" i="13"/>
  <c r="H8" i="13" s="1"/>
  <c r="BB7" i="13"/>
  <c r="BD7" i="13"/>
  <c r="BC7" i="13"/>
  <c r="AQ7" i="13"/>
  <c r="AV7" i="13" s="1"/>
  <c r="AL7" i="13"/>
  <c r="AM7" i="13" s="1"/>
  <c r="AB7" i="13"/>
  <c r="M7" i="13"/>
  <c r="L7" i="13"/>
  <c r="BE7" i="13" s="1"/>
  <c r="I7" i="13"/>
  <c r="G7" i="13"/>
  <c r="F7" i="13"/>
  <c r="H7" i="13" s="1"/>
  <c r="BB6" i="13"/>
  <c r="BD6" i="13"/>
  <c r="BC6" i="13"/>
  <c r="AQ6" i="13"/>
  <c r="AR6" i="13" s="1"/>
  <c r="AL6" i="13"/>
  <c r="AM6" i="13" s="1"/>
  <c r="BD5" i="13"/>
  <c r="BC5" i="13"/>
  <c r="BB5" i="13"/>
  <c r="AQ5" i="13"/>
  <c r="AL5" i="13"/>
  <c r="AM5" i="13" s="1"/>
  <c r="BD4" i="13"/>
  <c r="BC4" i="13"/>
  <c r="BB4" i="13"/>
  <c r="AQ4" i="13"/>
  <c r="AT4" i="13" s="1"/>
  <c r="AV4" i="13"/>
  <c r="AU4" i="13"/>
  <c r="AL4" i="13"/>
  <c r="AM4" i="13" s="1"/>
  <c r="BD3" i="13"/>
  <c r="BB3" i="13"/>
  <c r="AQ3" i="13"/>
  <c r="AV3" i="13" s="1"/>
  <c r="AL3" i="13"/>
  <c r="AM3" i="13" s="1"/>
  <c r="AB3" i="13"/>
  <c r="T3" i="13"/>
  <c r="M3" i="13"/>
  <c r="L3" i="13"/>
  <c r="BE3" i="13" s="1"/>
  <c r="I3" i="13"/>
  <c r="G3" i="13"/>
  <c r="F3" i="13"/>
  <c r="J3" i="13" l="1"/>
  <c r="BA7" i="15"/>
  <c r="BG7" i="15" s="1"/>
  <c r="AU7" i="15"/>
  <c r="AV8" i="15"/>
  <c r="BT6" i="15"/>
  <c r="BZ6" i="15" s="1"/>
  <c r="BU6" i="15"/>
  <c r="CA6" i="15" s="1"/>
  <c r="BT7" i="15"/>
  <c r="BZ7" i="15" s="1"/>
  <c r="BU7" i="15"/>
  <c r="CA7" i="15" s="1"/>
  <c r="BT5" i="15"/>
  <c r="BZ5" i="15" s="1"/>
  <c r="BU5" i="15"/>
  <c r="CA5" i="15" s="1"/>
  <c r="BT8" i="15"/>
  <c r="BZ8" i="15" s="1"/>
  <c r="BU8" i="15"/>
  <c r="CA8" i="15" s="1"/>
  <c r="BA9" i="15"/>
  <c r="BG9" i="15" s="1"/>
  <c r="BU9" i="15"/>
  <c r="CA9" i="15" s="1"/>
  <c r="BT9" i="15"/>
  <c r="BZ9" i="15" s="1"/>
  <c r="CG26" i="15"/>
  <c r="CJ26" i="15" s="1"/>
  <c r="CG28" i="15"/>
  <c r="CJ28" i="15" s="1"/>
  <c r="BA8" i="15"/>
  <c r="BG8" i="15" s="1"/>
  <c r="AU9" i="15"/>
  <c r="BA6" i="15"/>
  <c r="BG6" i="15" s="1"/>
  <c r="BA5" i="15"/>
  <c r="BG5" i="15" s="1"/>
  <c r="AV6" i="15"/>
  <c r="C5" i="15"/>
  <c r="AI5" i="15" s="1"/>
  <c r="C8" i="15"/>
  <c r="AI8" i="15" s="1"/>
  <c r="C10" i="15"/>
  <c r="AI10" i="15" s="1"/>
  <c r="C7" i="15"/>
  <c r="AI7" i="15" s="1"/>
  <c r="CG29" i="15"/>
  <c r="CJ29" i="15" s="1"/>
  <c r="C6" i="15"/>
  <c r="AI6" i="15" s="1"/>
  <c r="CG27" i="15"/>
  <c r="CJ27" i="15" s="1"/>
  <c r="AM12" i="13"/>
  <c r="J7" i="13"/>
  <c r="H3" i="13"/>
  <c r="J12" i="13"/>
  <c r="AS23" i="15"/>
  <c r="BH23" i="15" s="1"/>
  <c r="BN23" i="15" s="1"/>
  <c r="CG25" i="15"/>
  <c r="CJ25" i="15" s="1"/>
  <c r="AT3" i="14"/>
  <c r="AZ24" i="14" s="1"/>
  <c r="BG24" i="14" s="1"/>
  <c r="AZ6" i="14"/>
  <c r="BG6" i="14" s="1"/>
  <c r="AF6" i="14"/>
  <c r="AT5" i="14"/>
  <c r="AZ5" i="14" s="1"/>
  <c r="BG5" i="14" s="1"/>
  <c r="H16" i="14"/>
  <c r="H19" i="14"/>
  <c r="AZ23" i="14"/>
  <c r="BG23" i="14" s="1"/>
  <c r="AY23" i="14"/>
  <c r="BH23" i="14" s="1"/>
  <c r="AN21" i="14"/>
  <c r="AO21" i="14" s="1"/>
  <c r="AY26" i="14"/>
  <c r="BH26" i="14" s="1"/>
  <c r="AF4" i="14"/>
  <c r="AZ26" i="14"/>
  <c r="BG26" i="14" s="1"/>
  <c r="AY24" i="14"/>
  <c r="BH24" i="14" s="1"/>
  <c r="J4" i="14"/>
  <c r="J21" i="14"/>
  <c r="H18" i="14"/>
  <c r="H21" i="14"/>
  <c r="J17" i="14"/>
  <c r="J20" i="14"/>
  <c r="AE21" i="14"/>
  <c r="AP21" i="14" s="1"/>
  <c r="AV21" i="14" s="1"/>
  <c r="AG21" i="14"/>
  <c r="AQ21" i="14" s="1"/>
  <c r="AW21" i="14" s="1"/>
  <c r="H17" i="14"/>
  <c r="H20" i="14"/>
  <c r="H4" i="14"/>
  <c r="J18" i="14"/>
  <c r="J16" i="14"/>
  <c r="J19" i="14"/>
  <c r="AH21" i="14"/>
  <c r="BI21" i="14" s="1"/>
  <c r="BH21" i="14"/>
  <c r="AV6" i="13"/>
  <c r="AV5" i="13"/>
  <c r="AZ12" i="13"/>
  <c r="BD12" i="13" s="1"/>
  <c r="AP12" i="13"/>
  <c r="AV12" i="13" s="1"/>
  <c r="J11" i="13"/>
  <c r="AR5" i="13"/>
  <c r="AT3" i="13"/>
  <c r="AT5" i="13"/>
  <c r="AU6" i="13"/>
  <c r="AT7" i="13"/>
  <c r="J8" i="13"/>
  <c r="H10" i="13"/>
  <c r="AD12" i="13"/>
  <c r="AR3" i="13"/>
  <c r="AR4" i="13"/>
  <c r="AT6" i="13"/>
  <c r="H9" i="13"/>
  <c r="AU3" i="13"/>
  <c r="AU5" i="13"/>
  <c r="AU7" i="13"/>
  <c r="AT8" i="13"/>
  <c r="AE12" i="13"/>
  <c r="AF3" i="14" l="1"/>
  <c r="AZ3" i="14"/>
  <c r="BG3" i="14" s="1"/>
  <c r="AZ25" i="14"/>
  <c r="BG25" i="14" s="1"/>
  <c r="AF5" i="14"/>
  <c r="AR21" i="14"/>
  <c r="AX21" i="14" s="1"/>
  <c r="AW12" i="13"/>
  <c r="BB12" i="13" s="1"/>
  <c r="AN12" i="13"/>
  <c r="AT12" i="13" s="1"/>
  <c r="AO12" i="13"/>
  <c r="AU12" i="13" s="1"/>
  <c r="AX12" i="13"/>
  <c r="BC12" i="13" s="1"/>
  <c r="AY3" i="13"/>
  <c r="BL42" i="11" l="1"/>
  <c r="AU42" i="11"/>
  <c r="AP42" i="11"/>
  <c r="W42" i="11" s="1"/>
  <c r="AO42" i="11"/>
  <c r="AK42" i="11"/>
  <c r="AJ42" i="11" s="1"/>
  <c r="M42" i="11"/>
  <c r="I42" i="11"/>
  <c r="G42" i="11"/>
  <c r="F42" i="11"/>
  <c r="BA41" i="11"/>
  <c r="BK41" i="11" s="1"/>
  <c r="AR41" i="11"/>
  <c r="AV41" i="11" s="1"/>
  <c r="AP41" i="11"/>
  <c r="AE41" i="11"/>
  <c r="Y41" i="11"/>
  <c r="X41" i="11" s="1"/>
  <c r="L41" i="11"/>
  <c r="BA40" i="11"/>
  <c r="BK40" i="11" s="1"/>
  <c r="AR40" i="11"/>
  <c r="AV40" i="11" s="1"/>
  <c r="AP40" i="11"/>
  <c r="W40" i="11" s="1"/>
  <c r="AE40" i="11"/>
  <c r="Y40" i="11"/>
  <c r="X40" i="11" s="1"/>
  <c r="L40" i="11"/>
  <c r="BA39" i="11"/>
  <c r="BK39" i="11" s="1"/>
  <c r="AR39" i="11"/>
  <c r="AV39" i="11" s="1"/>
  <c r="AP39" i="11"/>
  <c r="AE39" i="11"/>
  <c r="Y39" i="11"/>
  <c r="X39" i="11" s="1"/>
  <c r="L39" i="11"/>
  <c r="BA38" i="11"/>
  <c r="BK38" i="11" s="1"/>
  <c r="AU38" i="11"/>
  <c r="AR38" i="11" s="1"/>
  <c r="AV38" i="11" s="1"/>
  <c r="AP38" i="11"/>
  <c r="AE38" i="11"/>
  <c r="M38" i="11"/>
  <c r="L38" i="11"/>
  <c r="BL38" i="11" s="1"/>
  <c r="I38" i="11"/>
  <c r="G38" i="11"/>
  <c r="F38" i="11"/>
  <c r="BA37" i="11"/>
  <c r="BK37" i="11" s="1"/>
  <c r="AU37" i="11"/>
  <c r="AR37" i="11" s="1"/>
  <c r="AV37" i="11" s="1"/>
  <c r="AP37" i="11"/>
  <c r="AE37" i="11"/>
  <c r="M37" i="11"/>
  <c r="L37" i="11"/>
  <c r="BL37" i="11" s="1"/>
  <c r="I37" i="11"/>
  <c r="G37" i="11"/>
  <c r="F37" i="11"/>
  <c r="BA36" i="11"/>
  <c r="BK36" i="11" s="1"/>
  <c r="AU36" i="11"/>
  <c r="AR36" i="11" s="1"/>
  <c r="AV36" i="11" s="1"/>
  <c r="AP36" i="11"/>
  <c r="AE36" i="11"/>
  <c r="M36" i="11"/>
  <c r="L36" i="11"/>
  <c r="BL36" i="11" s="1"/>
  <c r="I36" i="11"/>
  <c r="G36" i="11"/>
  <c r="F36" i="11"/>
  <c r="BA35" i="11"/>
  <c r="BK35" i="11" s="1"/>
  <c r="AU35" i="11"/>
  <c r="AR35" i="11" s="1"/>
  <c r="AV35" i="11" s="1"/>
  <c r="AP35" i="11"/>
  <c r="AE35" i="11"/>
  <c r="M35" i="11"/>
  <c r="L35" i="11"/>
  <c r="BL35" i="11" s="1"/>
  <c r="I35" i="11"/>
  <c r="G35" i="11"/>
  <c r="F35" i="11"/>
  <c r="BA34" i="11"/>
  <c r="BK34" i="11" s="1"/>
  <c r="AU34" i="11"/>
  <c r="AR34" i="11" s="1"/>
  <c r="AV34" i="11" s="1"/>
  <c r="AP34" i="11"/>
  <c r="AE34" i="11"/>
  <c r="M34" i="11"/>
  <c r="I34" i="11"/>
  <c r="G34" i="11"/>
  <c r="F34" i="11"/>
  <c r="H34" i="11" s="1"/>
  <c r="BA33" i="11"/>
  <c r="BK33" i="11" s="1"/>
  <c r="AU33" i="11"/>
  <c r="AR33" i="11" s="1"/>
  <c r="AV33" i="11" s="1"/>
  <c r="AP33" i="11"/>
  <c r="AE33" i="11"/>
  <c r="M33" i="11"/>
  <c r="I33" i="11"/>
  <c r="G33" i="11"/>
  <c r="F33" i="11"/>
  <c r="BA32" i="11"/>
  <c r="BK32" i="11" s="1"/>
  <c r="AU32" i="11"/>
  <c r="AR32" i="11" s="1"/>
  <c r="AV32" i="11" s="1"/>
  <c r="AP32" i="11"/>
  <c r="AE32" i="11"/>
  <c r="M32" i="11"/>
  <c r="I32" i="11"/>
  <c r="G32" i="11"/>
  <c r="F32" i="11"/>
  <c r="BA31" i="11"/>
  <c r="BK31" i="11" s="1"/>
  <c r="AU31" i="11"/>
  <c r="AR31" i="11" s="1"/>
  <c r="AV31" i="11" s="1"/>
  <c r="AP31" i="11"/>
  <c r="AE31" i="11"/>
  <c r="M31" i="11"/>
  <c r="L31" i="11"/>
  <c r="BL31" i="11" s="1"/>
  <c r="I31" i="11"/>
  <c r="G31" i="11"/>
  <c r="F31" i="11"/>
  <c r="BA30" i="11"/>
  <c r="BK30" i="11" s="1"/>
  <c r="AU30" i="11"/>
  <c r="AR30" i="11" s="1"/>
  <c r="AV30" i="11" s="1"/>
  <c r="AP30" i="11"/>
  <c r="AE30" i="11"/>
  <c r="M30" i="11"/>
  <c r="L30" i="11"/>
  <c r="BL30" i="11" s="1"/>
  <c r="I30" i="11"/>
  <c r="G30" i="11"/>
  <c r="F30" i="11"/>
  <c r="BA29" i="11"/>
  <c r="BK29" i="11" s="1"/>
  <c r="AU29" i="11"/>
  <c r="AR29" i="11" s="1"/>
  <c r="AV29" i="11" s="1"/>
  <c r="AP29" i="11"/>
  <c r="AE29" i="11"/>
  <c r="M29" i="11"/>
  <c r="L29" i="11"/>
  <c r="BL29" i="11" s="1"/>
  <c r="I29" i="11"/>
  <c r="G29" i="11"/>
  <c r="F29" i="11"/>
  <c r="BA28" i="11"/>
  <c r="BK28" i="11" s="1"/>
  <c r="AU28" i="11"/>
  <c r="AR28" i="11" s="1"/>
  <c r="AV28" i="11" s="1"/>
  <c r="AP28" i="11"/>
  <c r="AE28" i="11"/>
  <c r="M28" i="11"/>
  <c r="I28" i="11"/>
  <c r="G28" i="11"/>
  <c r="F28" i="11"/>
  <c r="BA27" i="11"/>
  <c r="BK27" i="11" s="1"/>
  <c r="AU27" i="11"/>
  <c r="AR27" i="11" s="1"/>
  <c r="AV27" i="11" s="1"/>
  <c r="AP27" i="11"/>
  <c r="AE27" i="11"/>
  <c r="M27" i="11"/>
  <c r="L27" i="11"/>
  <c r="BL27" i="11" s="1"/>
  <c r="I27" i="11"/>
  <c r="G27" i="11"/>
  <c r="F27" i="11"/>
  <c r="BA26" i="11"/>
  <c r="BK26" i="11" s="1"/>
  <c r="AU26" i="11"/>
  <c r="AR26" i="11" s="1"/>
  <c r="AV26" i="11" s="1"/>
  <c r="AP26" i="11"/>
  <c r="AE26" i="11"/>
  <c r="M26" i="11"/>
  <c r="L26" i="11"/>
  <c r="BL26" i="11" s="1"/>
  <c r="I26" i="11"/>
  <c r="G26" i="11"/>
  <c r="F26" i="11"/>
  <c r="BA25" i="11"/>
  <c r="BK25" i="11" s="1"/>
  <c r="AU25" i="11"/>
  <c r="AR25" i="11" s="1"/>
  <c r="AV25" i="11" s="1"/>
  <c r="AP25" i="11"/>
  <c r="AE25" i="11"/>
  <c r="M25" i="11"/>
  <c r="L25" i="11"/>
  <c r="BL25" i="11" s="1"/>
  <c r="I25" i="11"/>
  <c r="G25" i="11"/>
  <c r="F25" i="11"/>
  <c r="BA24" i="11"/>
  <c r="BK24" i="11" s="1"/>
  <c r="AU24" i="11"/>
  <c r="AR24" i="11" s="1"/>
  <c r="AV24" i="11" s="1"/>
  <c r="AP24" i="11"/>
  <c r="AE24" i="11"/>
  <c r="M24" i="11"/>
  <c r="L24" i="11"/>
  <c r="BL24" i="11" s="1"/>
  <c r="I24" i="11"/>
  <c r="G24" i="11"/>
  <c r="F24" i="11"/>
  <c r="BA23" i="11"/>
  <c r="AU23" i="11"/>
  <c r="U23" i="11"/>
  <c r="O23" i="11"/>
  <c r="M23" i="11"/>
  <c r="L23" i="11"/>
  <c r="BL23" i="11" s="1"/>
  <c r="I23" i="11"/>
  <c r="G23" i="11"/>
  <c r="F23" i="11"/>
  <c r="BA22" i="11"/>
  <c r="AU22" i="11"/>
  <c r="U22" i="11"/>
  <c r="O22" i="11"/>
  <c r="M22" i="11"/>
  <c r="L22" i="11"/>
  <c r="BL22" i="11" s="1"/>
  <c r="I22" i="11"/>
  <c r="G22" i="11"/>
  <c r="F22" i="11"/>
  <c r="BA21" i="11"/>
  <c r="AU21" i="11"/>
  <c r="U21" i="11"/>
  <c r="O21" i="11"/>
  <c r="M21" i="11"/>
  <c r="I21" i="11"/>
  <c r="G21" i="11"/>
  <c r="F21" i="11"/>
  <c r="BA20" i="11"/>
  <c r="AU20" i="11"/>
  <c r="V20" i="11"/>
  <c r="O20" i="11" s="1"/>
  <c r="U20" i="11"/>
  <c r="M20" i="11"/>
  <c r="I20" i="11"/>
  <c r="G20" i="11"/>
  <c r="F20" i="11"/>
  <c r="BA19" i="11"/>
  <c r="BK19" i="11" s="1"/>
  <c r="AU19" i="11"/>
  <c r="AR19" i="11" s="1"/>
  <c r="AV19" i="11" s="1"/>
  <c r="AP19" i="11"/>
  <c r="AE19" i="11"/>
  <c r="V19" i="11"/>
  <c r="U19" i="11"/>
  <c r="M19" i="11"/>
  <c r="I19" i="11"/>
  <c r="G19" i="11"/>
  <c r="F19" i="11"/>
  <c r="BA18" i="11"/>
  <c r="BK18" i="11" s="1"/>
  <c r="AU18" i="11"/>
  <c r="AR18" i="11" s="1"/>
  <c r="AV18" i="11" s="1"/>
  <c r="AP18" i="11"/>
  <c r="AE18" i="11"/>
  <c r="V18" i="11"/>
  <c r="U18" i="11"/>
  <c r="M18" i="11"/>
  <c r="I18" i="11"/>
  <c r="G18" i="11"/>
  <c r="F18" i="11"/>
  <c r="BA17" i="11"/>
  <c r="BK17" i="11" s="1"/>
  <c r="AU17" i="11"/>
  <c r="AR17" i="11" s="1"/>
  <c r="AV17" i="11" s="1"/>
  <c r="AP17" i="11"/>
  <c r="AE17" i="11"/>
  <c r="V17" i="11"/>
  <c r="O17" i="11" s="1"/>
  <c r="U17" i="11"/>
  <c r="M17" i="11"/>
  <c r="L17" i="11"/>
  <c r="I17" i="11"/>
  <c r="G17" i="11"/>
  <c r="F17" i="11"/>
  <c r="BA16" i="11"/>
  <c r="AU16" i="11"/>
  <c r="V16" i="11"/>
  <c r="O16" i="11" s="1"/>
  <c r="U16" i="11"/>
  <c r="M16" i="11"/>
  <c r="L16" i="11"/>
  <c r="I16" i="11"/>
  <c r="G16" i="11"/>
  <c r="F16" i="11"/>
  <c r="BA15" i="11"/>
  <c r="BK15" i="11" s="1"/>
  <c r="AU15" i="11"/>
  <c r="AR15" i="11" s="1"/>
  <c r="AV15" i="11" s="1"/>
  <c r="AP15" i="11"/>
  <c r="AE15" i="11"/>
  <c r="V15" i="11"/>
  <c r="O15" i="11" s="1"/>
  <c r="U15" i="11"/>
  <c r="M15" i="11"/>
  <c r="L15" i="11"/>
  <c r="I15" i="11"/>
  <c r="G15" i="11"/>
  <c r="F15" i="11"/>
  <c r="BA14" i="11"/>
  <c r="BK14" i="11" s="1"/>
  <c r="AU14" i="11"/>
  <c r="AR14" i="11" s="1"/>
  <c r="AV14" i="11" s="1"/>
  <c r="AP14" i="11"/>
  <c r="AE14" i="11"/>
  <c r="V14" i="11"/>
  <c r="O14" i="11" s="1"/>
  <c r="U14" i="11"/>
  <c r="M14" i="11"/>
  <c r="L14" i="11"/>
  <c r="I14" i="11"/>
  <c r="G14" i="11"/>
  <c r="F14" i="11"/>
  <c r="BA13" i="11"/>
  <c r="BK13" i="11" s="1"/>
  <c r="AU13" i="11"/>
  <c r="AR13" i="11" s="1"/>
  <c r="AV13" i="11" s="1"/>
  <c r="AP13" i="11"/>
  <c r="AE13" i="11"/>
  <c r="V13" i="11"/>
  <c r="O13" i="11" s="1"/>
  <c r="U13" i="11"/>
  <c r="M13" i="11"/>
  <c r="L13" i="11"/>
  <c r="I13" i="11"/>
  <c r="G13" i="11"/>
  <c r="F13" i="11"/>
  <c r="BA12" i="11"/>
  <c r="BK12" i="11" s="1"/>
  <c r="AU12" i="11"/>
  <c r="AR12" i="11" s="1"/>
  <c r="AV12" i="11" s="1"/>
  <c r="AP12" i="11"/>
  <c r="AE12" i="11"/>
  <c r="V12" i="11"/>
  <c r="O12" i="11" s="1"/>
  <c r="U12" i="11"/>
  <c r="M12" i="11"/>
  <c r="L12" i="11"/>
  <c r="I12" i="11"/>
  <c r="G12" i="11"/>
  <c r="F12" i="11"/>
  <c r="BA11" i="11"/>
  <c r="BK11" i="11" s="1"/>
  <c r="AU11" i="11"/>
  <c r="AR11" i="11" s="1"/>
  <c r="AV11" i="11" s="1"/>
  <c r="AP11" i="11"/>
  <c r="AE11" i="11"/>
  <c r="U11" i="11"/>
  <c r="M11" i="11"/>
  <c r="L11" i="11"/>
  <c r="I11" i="11"/>
  <c r="G11" i="11"/>
  <c r="F11" i="11"/>
  <c r="BA10" i="11"/>
  <c r="BK10" i="11" s="1"/>
  <c r="AU10" i="11"/>
  <c r="AR10" i="11" s="1"/>
  <c r="AV10" i="11" s="1"/>
  <c r="AP10" i="11"/>
  <c r="AE10" i="11"/>
  <c r="U10" i="11"/>
  <c r="M10" i="11"/>
  <c r="L10" i="11"/>
  <c r="BL10" i="11" s="1"/>
  <c r="I10" i="11"/>
  <c r="G10" i="11"/>
  <c r="F10" i="11"/>
  <c r="BA9" i="11"/>
  <c r="BK9" i="11" s="1"/>
  <c r="AU9" i="11"/>
  <c r="AR9" i="11" s="1"/>
  <c r="AV9" i="11" s="1"/>
  <c r="AP9" i="11"/>
  <c r="AE9" i="11"/>
  <c r="U9" i="11"/>
  <c r="M9" i="11"/>
  <c r="L9" i="11"/>
  <c r="BL9" i="11" s="1"/>
  <c r="I9" i="11"/>
  <c r="G9" i="11"/>
  <c r="F9" i="11"/>
  <c r="BA8" i="11"/>
  <c r="BK8" i="11" s="1"/>
  <c r="AU8" i="11"/>
  <c r="AR8" i="11" s="1"/>
  <c r="AV8" i="11" s="1"/>
  <c r="AP8" i="11"/>
  <c r="AE8" i="11"/>
  <c r="U8" i="11"/>
  <c r="O8" i="11"/>
  <c r="M8" i="11"/>
  <c r="L8" i="11"/>
  <c r="BL8" i="11" s="1"/>
  <c r="I8" i="11"/>
  <c r="G8" i="11"/>
  <c r="F8" i="11"/>
  <c r="BA7" i="11"/>
  <c r="AU7" i="11"/>
  <c r="U7" i="11"/>
  <c r="M7" i="11"/>
  <c r="L7" i="11"/>
  <c r="BL7" i="11" s="1"/>
  <c r="I7" i="11"/>
  <c r="G7" i="11"/>
  <c r="F7" i="11"/>
  <c r="BA6" i="11"/>
  <c r="AU6" i="11"/>
  <c r="V6" i="11"/>
  <c r="AA6" i="11" s="1"/>
  <c r="U6" i="11"/>
  <c r="M6" i="11"/>
  <c r="L6" i="11"/>
  <c r="I6" i="11"/>
  <c r="G6" i="11"/>
  <c r="F6" i="11"/>
  <c r="BA5" i="11"/>
  <c r="BK5" i="11" s="1"/>
  <c r="AU5" i="11"/>
  <c r="AR5" i="11" s="1"/>
  <c r="AV5" i="11" s="1"/>
  <c r="AP5" i="11"/>
  <c r="AE5" i="11"/>
  <c r="U5" i="11"/>
  <c r="M5" i="11"/>
  <c r="L5" i="11"/>
  <c r="BL5" i="11" s="1"/>
  <c r="I5" i="11"/>
  <c r="G5" i="11"/>
  <c r="F5" i="11"/>
  <c r="BA4" i="11"/>
  <c r="BK4" i="11" s="1"/>
  <c r="AU4" i="11"/>
  <c r="AR4" i="11" s="1"/>
  <c r="AV4" i="11" s="1"/>
  <c r="AP4" i="11"/>
  <c r="AE4" i="11"/>
  <c r="U4" i="11"/>
  <c r="M4" i="11"/>
  <c r="L4" i="11"/>
  <c r="BL4" i="11" s="1"/>
  <c r="I4" i="11"/>
  <c r="G4" i="11"/>
  <c r="F4" i="11"/>
  <c r="BA3" i="11"/>
  <c r="BK3" i="11" s="1"/>
  <c r="AU3" i="11"/>
  <c r="AR3" i="11" s="1"/>
  <c r="AV3" i="11" s="1"/>
  <c r="AP3" i="11"/>
  <c r="AE3" i="11"/>
  <c r="U3" i="11"/>
  <c r="M3" i="11"/>
  <c r="L3" i="11"/>
  <c r="BL3" i="11" s="1"/>
  <c r="I3" i="11"/>
  <c r="G3" i="11"/>
  <c r="F3" i="11"/>
  <c r="BG41" i="8"/>
  <c r="AT41" i="8"/>
  <c r="BC41" i="8" s="1"/>
  <c r="BD41" i="8" s="1"/>
  <c r="AQ41" i="8"/>
  <c r="AM41" i="8"/>
  <c r="AL41" i="8"/>
  <c r="AH41" i="8" s="1"/>
  <c r="AI41" i="8" s="1"/>
  <c r="M41" i="8"/>
  <c r="I41" i="8"/>
  <c r="G41" i="8"/>
  <c r="F41" i="8"/>
  <c r="AX40" i="8"/>
  <c r="BA40" i="8" s="1"/>
  <c r="BB40" i="8" s="1"/>
  <c r="AS40" i="8"/>
  <c r="AV40" i="8" s="1"/>
  <c r="AW40" i="8" s="1"/>
  <c r="AQ40" i="8"/>
  <c r="AM40" i="8"/>
  <c r="AI40" i="8"/>
  <c r="AB40" i="8"/>
  <c r="V40" i="8"/>
  <c r="L40" i="8"/>
  <c r="BG40" i="8" s="1"/>
  <c r="AX39" i="8"/>
  <c r="BA39" i="8" s="1"/>
  <c r="BB39" i="8" s="1"/>
  <c r="AS39" i="8"/>
  <c r="AV39" i="8" s="1"/>
  <c r="AW39" i="8" s="1"/>
  <c r="AQ39" i="8"/>
  <c r="AM39" i="8"/>
  <c r="AI39" i="8"/>
  <c r="AB39" i="8"/>
  <c r="V39" i="8"/>
  <c r="L39" i="8"/>
  <c r="BG39" i="8" s="1"/>
  <c r="AX38" i="8"/>
  <c r="BA38" i="8" s="1"/>
  <c r="BB38" i="8" s="1"/>
  <c r="AS38" i="8"/>
  <c r="AV38" i="8" s="1"/>
  <c r="AW38" i="8" s="1"/>
  <c r="AQ38" i="8"/>
  <c r="AM38" i="8"/>
  <c r="AI38" i="8"/>
  <c r="AB38" i="8"/>
  <c r="V38" i="8"/>
  <c r="L38" i="8"/>
  <c r="AX37" i="8"/>
  <c r="BA37" i="8" s="1"/>
  <c r="BB37" i="8" s="1"/>
  <c r="AT37" i="8"/>
  <c r="BC37" i="8" s="1"/>
  <c r="AQ37" i="8"/>
  <c r="AM37" i="8"/>
  <c r="AI37" i="8"/>
  <c r="AB37" i="8"/>
  <c r="M37" i="8"/>
  <c r="L37" i="8"/>
  <c r="BG37" i="8" s="1"/>
  <c r="I37" i="8"/>
  <c r="G37" i="8"/>
  <c r="F37" i="8"/>
  <c r="AX36" i="8"/>
  <c r="BA36" i="8" s="1"/>
  <c r="BB36" i="8" s="1"/>
  <c r="AT36" i="8"/>
  <c r="BC36" i="8" s="1"/>
  <c r="AQ36" i="8"/>
  <c r="AM36" i="8"/>
  <c r="AI36" i="8"/>
  <c r="AB36" i="8"/>
  <c r="M36" i="8"/>
  <c r="L36" i="8"/>
  <c r="BG36" i="8" s="1"/>
  <c r="I36" i="8"/>
  <c r="G36" i="8"/>
  <c r="F36" i="8"/>
  <c r="AX35" i="8"/>
  <c r="BA35" i="8" s="1"/>
  <c r="BB35" i="8" s="1"/>
  <c r="AT35" i="8"/>
  <c r="BC35" i="8" s="1"/>
  <c r="AQ35" i="8"/>
  <c r="AM35" i="8"/>
  <c r="AI35" i="8"/>
  <c r="AB35" i="8"/>
  <c r="M35" i="8"/>
  <c r="L35" i="8"/>
  <c r="BG35" i="8" s="1"/>
  <c r="I35" i="8"/>
  <c r="G35" i="8"/>
  <c r="F35" i="8"/>
  <c r="AX34" i="8"/>
  <c r="BA34" i="8" s="1"/>
  <c r="BB34" i="8" s="1"/>
  <c r="AT34" i="8"/>
  <c r="BC34" i="8" s="1"/>
  <c r="AQ34" i="8"/>
  <c r="AM34" i="8"/>
  <c r="AI34" i="8"/>
  <c r="AB34" i="8"/>
  <c r="M34" i="8"/>
  <c r="L34" i="8"/>
  <c r="BG34" i="8" s="1"/>
  <c r="I34" i="8"/>
  <c r="G34" i="8"/>
  <c r="F34" i="8"/>
  <c r="AX33" i="8"/>
  <c r="BA33" i="8" s="1"/>
  <c r="BB33" i="8" s="1"/>
  <c r="AT33" i="8"/>
  <c r="BC33" i="8" s="1"/>
  <c r="AQ33" i="8"/>
  <c r="AM33" i="8"/>
  <c r="AI33" i="8"/>
  <c r="AB33" i="8"/>
  <c r="M33" i="8"/>
  <c r="I33" i="8"/>
  <c r="G33" i="8"/>
  <c r="F33" i="8"/>
  <c r="AX32" i="8"/>
  <c r="BA32" i="8" s="1"/>
  <c r="BB32" i="8" s="1"/>
  <c r="AT32" i="8"/>
  <c r="BC32" i="8" s="1"/>
  <c r="AQ32" i="8"/>
  <c r="AM32" i="8"/>
  <c r="AI32" i="8"/>
  <c r="AB32" i="8"/>
  <c r="M32" i="8"/>
  <c r="I32" i="8"/>
  <c r="G32" i="8"/>
  <c r="F32" i="8"/>
  <c r="AX31" i="8"/>
  <c r="BA31" i="8" s="1"/>
  <c r="BB31" i="8" s="1"/>
  <c r="AT31" i="8"/>
  <c r="BC31" i="8" s="1"/>
  <c r="AQ31" i="8"/>
  <c r="AM31" i="8"/>
  <c r="AI31" i="8"/>
  <c r="AB31" i="8"/>
  <c r="M31" i="8"/>
  <c r="I31" i="8"/>
  <c r="G31" i="8"/>
  <c r="F31" i="8"/>
  <c r="AX30" i="8"/>
  <c r="BA30" i="8" s="1"/>
  <c r="BB30" i="8" s="1"/>
  <c r="AT30" i="8"/>
  <c r="AQ30" i="8"/>
  <c r="AM30" i="8"/>
  <c r="AI30" i="8"/>
  <c r="AB30" i="8"/>
  <c r="M30" i="8"/>
  <c r="L30" i="8"/>
  <c r="BG30" i="8" s="1"/>
  <c r="I30" i="8"/>
  <c r="G30" i="8"/>
  <c r="F30" i="8"/>
  <c r="AX29" i="8"/>
  <c r="BA29" i="8" s="1"/>
  <c r="BB29" i="8" s="1"/>
  <c r="AT29" i="8"/>
  <c r="BC29" i="8" s="1"/>
  <c r="AQ29" i="8"/>
  <c r="AM29" i="8"/>
  <c r="AI29" i="8"/>
  <c r="AB29" i="8"/>
  <c r="M29" i="8"/>
  <c r="L29" i="8"/>
  <c r="BG29" i="8" s="1"/>
  <c r="I29" i="8"/>
  <c r="G29" i="8"/>
  <c r="F29" i="8"/>
  <c r="AX28" i="8"/>
  <c r="BA28" i="8" s="1"/>
  <c r="BB28" i="8" s="1"/>
  <c r="AT28" i="8"/>
  <c r="BC28" i="8" s="1"/>
  <c r="AQ28" i="8"/>
  <c r="AM28" i="8"/>
  <c r="AI28" i="8"/>
  <c r="AB28" i="8"/>
  <c r="M28" i="8"/>
  <c r="L28" i="8"/>
  <c r="BG28" i="8" s="1"/>
  <c r="I28" i="8"/>
  <c r="G28" i="8"/>
  <c r="F28" i="8"/>
  <c r="AX27" i="8"/>
  <c r="BA27" i="8" s="1"/>
  <c r="BB27" i="8" s="1"/>
  <c r="AT27" i="8"/>
  <c r="BC27" i="8" s="1"/>
  <c r="AQ27" i="8"/>
  <c r="AM27" i="8"/>
  <c r="AI27" i="8"/>
  <c r="AB27" i="8"/>
  <c r="M27" i="8"/>
  <c r="I27" i="8"/>
  <c r="G27" i="8"/>
  <c r="F27" i="8"/>
  <c r="AX26" i="8"/>
  <c r="BA26" i="8" s="1"/>
  <c r="BB26" i="8" s="1"/>
  <c r="AT26" i="8"/>
  <c r="BC26" i="8" s="1"/>
  <c r="AQ26" i="8"/>
  <c r="AM26" i="8"/>
  <c r="AI26" i="8"/>
  <c r="AB26" i="8"/>
  <c r="M26" i="8"/>
  <c r="L26" i="8"/>
  <c r="BG26" i="8" s="1"/>
  <c r="I26" i="8"/>
  <c r="G26" i="8"/>
  <c r="F26" i="8"/>
  <c r="AX25" i="8"/>
  <c r="BA25" i="8" s="1"/>
  <c r="BB25" i="8" s="1"/>
  <c r="AT25" i="8"/>
  <c r="BC25" i="8" s="1"/>
  <c r="AQ25" i="8"/>
  <c r="AM25" i="8"/>
  <c r="AI25" i="8"/>
  <c r="AB25" i="8"/>
  <c r="M25" i="8"/>
  <c r="L25" i="8"/>
  <c r="BG25" i="8" s="1"/>
  <c r="I25" i="8"/>
  <c r="G25" i="8"/>
  <c r="F25" i="8"/>
  <c r="AX24" i="8"/>
  <c r="BA24" i="8" s="1"/>
  <c r="BB24" i="8" s="1"/>
  <c r="AT24" i="8"/>
  <c r="BC24" i="8" s="1"/>
  <c r="AS24" i="8"/>
  <c r="AV24" i="8" s="1"/>
  <c r="AW24" i="8" s="1"/>
  <c r="AQ24" i="8"/>
  <c r="AM24" i="8"/>
  <c r="AI24" i="8"/>
  <c r="AB24" i="8"/>
  <c r="M24" i="8"/>
  <c r="L24" i="8"/>
  <c r="BG24" i="8" s="1"/>
  <c r="I24" i="8"/>
  <c r="G24" i="8"/>
  <c r="F24" i="8"/>
  <c r="AX23" i="8"/>
  <c r="BA23" i="8" s="1"/>
  <c r="BB23" i="8" s="1"/>
  <c r="AT23" i="8"/>
  <c r="BC23" i="8" s="1"/>
  <c r="AS23" i="8"/>
  <c r="AV23" i="8" s="1"/>
  <c r="AW23" i="8" s="1"/>
  <c r="AQ23" i="8"/>
  <c r="AM23" i="8"/>
  <c r="AI23" i="8"/>
  <c r="AB23" i="8"/>
  <c r="M23" i="8"/>
  <c r="L23" i="8"/>
  <c r="BG23" i="8" s="1"/>
  <c r="I23" i="8"/>
  <c r="G23" i="8"/>
  <c r="F23" i="8"/>
  <c r="AX22" i="8"/>
  <c r="AT22" i="8"/>
  <c r="BC22" i="8" s="1"/>
  <c r="T22" i="8"/>
  <c r="O22" i="8"/>
  <c r="AZ22" i="8" s="1"/>
  <c r="M22" i="8"/>
  <c r="L22" i="8"/>
  <c r="BG22" i="8" s="1"/>
  <c r="I22" i="8"/>
  <c r="G22" i="8"/>
  <c r="F22" i="8"/>
  <c r="AX21" i="8"/>
  <c r="AT21" i="8"/>
  <c r="BC21" i="8" s="1"/>
  <c r="BD21" i="8" s="1"/>
  <c r="T21" i="8"/>
  <c r="O21" i="8"/>
  <c r="AZ21" i="8" s="1"/>
  <c r="M21" i="8"/>
  <c r="L21" i="8"/>
  <c r="BG21" i="8" s="1"/>
  <c r="I21" i="8"/>
  <c r="G21" i="8"/>
  <c r="F21" i="8"/>
  <c r="AX20" i="8"/>
  <c r="AT20" i="8"/>
  <c r="T20" i="8"/>
  <c r="O20" i="8"/>
  <c r="AZ20" i="8" s="1"/>
  <c r="AP20" i="8" s="1"/>
  <c r="AK20" i="8" s="1"/>
  <c r="M20" i="8"/>
  <c r="I20" i="8"/>
  <c r="G20" i="8"/>
  <c r="F20" i="8"/>
  <c r="AX19" i="8"/>
  <c r="AT19" i="8"/>
  <c r="BC19" i="8" s="1"/>
  <c r="U19" i="8"/>
  <c r="O19" i="8" s="1"/>
  <c r="AZ19" i="8" s="1"/>
  <c r="T19" i="8"/>
  <c r="M19" i="8"/>
  <c r="I19" i="8"/>
  <c r="G19" i="8"/>
  <c r="F19" i="8"/>
  <c r="AX18" i="8"/>
  <c r="BA18" i="8" s="1"/>
  <c r="BB18" i="8" s="1"/>
  <c r="AT18" i="8"/>
  <c r="BC18" i="8" s="1"/>
  <c r="BD18" i="8" s="1"/>
  <c r="AM18" i="8"/>
  <c r="AI18" i="8"/>
  <c r="AB18" i="8"/>
  <c r="U18" i="8"/>
  <c r="T18" i="8"/>
  <c r="M18" i="8"/>
  <c r="I18" i="8"/>
  <c r="G18" i="8"/>
  <c r="F18" i="8"/>
  <c r="AX17" i="8"/>
  <c r="BA17" i="8" s="1"/>
  <c r="BB17" i="8" s="1"/>
  <c r="AT17" i="8"/>
  <c r="BC17" i="8" s="1"/>
  <c r="BD17" i="8" s="1"/>
  <c r="AM17" i="8"/>
  <c r="AI17" i="8"/>
  <c r="AB17" i="8"/>
  <c r="U17" i="8"/>
  <c r="T17" i="8"/>
  <c r="M17" i="8"/>
  <c r="I17" i="8"/>
  <c r="G17" i="8"/>
  <c r="F17" i="8"/>
  <c r="AX16" i="8"/>
  <c r="BA16" i="8" s="1"/>
  <c r="BB16" i="8" s="1"/>
  <c r="AT16" i="8"/>
  <c r="AM16" i="8"/>
  <c r="AI16" i="8"/>
  <c r="AB16" i="8"/>
  <c r="U16" i="8"/>
  <c r="O16" i="8" s="1"/>
  <c r="AZ16" i="8" s="1"/>
  <c r="T16" i="8"/>
  <c r="M16" i="8"/>
  <c r="L16" i="8"/>
  <c r="I16" i="8"/>
  <c r="G16" i="8"/>
  <c r="J16" i="8" s="1"/>
  <c r="F16" i="8"/>
  <c r="AX15" i="8"/>
  <c r="AT15" i="8"/>
  <c r="U15" i="8"/>
  <c r="O15" i="8" s="1"/>
  <c r="AZ15" i="8" s="1"/>
  <c r="T15" i="8"/>
  <c r="M15" i="8"/>
  <c r="L15" i="8"/>
  <c r="I15" i="8"/>
  <c r="G15" i="8"/>
  <c r="F15" i="8"/>
  <c r="AX14" i="8"/>
  <c r="BA14" i="8" s="1"/>
  <c r="BB14" i="8" s="1"/>
  <c r="AT14" i="8"/>
  <c r="AM14" i="8"/>
  <c r="AI14" i="8"/>
  <c r="AB14" i="8"/>
  <c r="U14" i="8"/>
  <c r="O14" i="8" s="1"/>
  <c r="AZ14" i="8" s="1"/>
  <c r="T14" i="8"/>
  <c r="T23" i="8" s="1"/>
  <c r="M14" i="8"/>
  <c r="L14" i="8"/>
  <c r="I14" i="8"/>
  <c r="G14" i="8"/>
  <c r="F14" i="8"/>
  <c r="AX13" i="8"/>
  <c r="BA13" i="8" s="1"/>
  <c r="BB13" i="8" s="1"/>
  <c r="AT13" i="8"/>
  <c r="BC13" i="8" s="1"/>
  <c r="BD13" i="8" s="1"/>
  <c r="AQ13" i="8"/>
  <c r="AM13" i="8"/>
  <c r="AI13" i="8"/>
  <c r="AB13" i="8"/>
  <c r="U13" i="8"/>
  <c r="O13" i="8" s="1"/>
  <c r="AZ13" i="8" s="1"/>
  <c r="T13" i="8"/>
  <c r="M13" i="8"/>
  <c r="L13" i="8"/>
  <c r="I13" i="8"/>
  <c r="G13" i="8"/>
  <c r="F13" i="8"/>
  <c r="AX12" i="8"/>
  <c r="BA12" i="8" s="1"/>
  <c r="BB12" i="8" s="1"/>
  <c r="AT12" i="8"/>
  <c r="AS12" i="8" s="1"/>
  <c r="AV12" i="8" s="1"/>
  <c r="AW12" i="8" s="1"/>
  <c r="AQ12" i="8"/>
  <c r="AM12" i="8"/>
  <c r="AI12" i="8"/>
  <c r="AB12" i="8"/>
  <c r="U12" i="8"/>
  <c r="T12" i="8"/>
  <c r="M12" i="8"/>
  <c r="L12" i="8"/>
  <c r="I12" i="8"/>
  <c r="G12" i="8"/>
  <c r="F12" i="8"/>
  <c r="AX11" i="8"/>
  <c r="BA11" i="8" s="1"/>
  <c r="BB11" i="8" s="1"/>
  <c r="AT11" i="8"/>
  <c r="AQ11" i="8"/>
  <c r="AM11" i="8"/>
  <c r="AI11" i="8"/>
  <c r="AB11" i="8"/>
  <c r="U11" i="8"/>
  <c r="O11" i="8" s="1"/>
  <c r="AZ11" i="8" s="1"/>
  <c r="AP11" i="8" s="1"/>
  <c r="AK11" i="8" s="1"/>
  <c r="T11" i="8"/>
  <c r="M11" i="8"/>
  <c r="L11" i="8"/>
  <c r="I11" i="8"/>
  <c r="G11" i="8"/>
  <c r="F11" i="8"/>
  <c r="AX10" i="8"/>
  <c r="BA10" i="8" s="1"/>
  <c r="BB10" i="8" s="1"/>
  <c r="AT10" i="8"/>
  <c r="BC10" i="8" s="1"/>
  <c r="BD10" i="8" s="1"/>
  <c r="AQ10" i="8"/>
  <c r="AM10" i="8"/>
  <c r="AI10" i="8"/>
  <c r="AB10" i="8"/>
  <c r="T10" i="8"/>
  <c r="M10" i="8"/>
  <c r="L10" i="8"/>
  <c r="I10" i="8"/>
  <c r="G10" i="8"/>
  <c r="F10" i="8"/>
  <c r="AX9" i="8"/>
  <c r="BA9" i="8" s="1"/>
  <c r="BB9" i="8" s="1"/>
  <c r="AT9" i="8"/>
  <c r="BC9" i="8" s="1"/>
  <c r="BD9" i="8" s="1"/>
  <c r="AQ9" i="8"/>
  <c r="AM9" i="8"/>
  <c r="AI9" i="8"/>
  <c r="AB9" i="8"/>
  <c r="M9" i="8"/>
  <c r="L9" i="8"/>
  <c r="BG9" i="8" s="1"/>
  <c r="I9" i="8"/>
  <c r="G9" i="8"/>
  <c r="F9" i="8"/>
  <c r="AX8" i="8"/>
  <c r="BA8" i="8" s="1"/>
  <c r="BB8" i="8" s="1"/>
  <c r="AT8" i="8"/>
  <c r="BC8" i="8" s="1"/>
  <c r="AQ8" i="8"/>
  <c r="AM8" i="8"/>
  <c r="AI8" i="8"/>
  <c r="AB8" i="8"/>
  <c r="T8" i="8"/>
  <c r="M8" i="8"/>
  <c r="L8" i="8"/>
  <c r="BG8" i="8" s="1"/>
  <c r="I8" i="8"/>
  <c r="G8" i="8"/>
  <c r="F8" i="8"/>
  <c r="AX7" i="8"/>
  <c r="BA7" i="8" s="1"/>
  <c r="BB7" i="8" s="1"/>
  <c r="AT7" i="8"/>
  <c r="BC7" i="8" s="1"/>
  <c r="AQ7" i="8"/>
  <c r="AM7" i="8"/>
  <c r="AI7" i="8"/>
  <c r="AB7" i="8"/>
  <c r="T7" i="8"/>
  <c r="O7" i="8"/>
  <c r="AZ7" i="8" s="1"/>
  <c r="M7" i="8"/>
  <c r="L7" i="8"/>
  <c r="BG7" i="8" s="1"/>
  <c r="I7" i="8"/>
  <c r="G7" i="8"/>
  <c r="F7" i="8"/>
  <c r="AX6" i="8"/>
  <c r="AT6" i="8"/>
  <c r="BC6" i="8" s="1"/>
  <c r="BD6" i="8" s="1"/>
  <c r="T6" i="8"/>
  <c r="M6" i="8"/>
  <c r="L6" i="8"/>
  <c r="BG6" i="8" s="1"/>
  <c r="I6" i="8"/>
  <c r="G6" i="8"/>
  <c r="F6" i="8"/>
  <c r="AX5" i="8"/>
  <c r="AT5" i="8"/>
  <c r="BC5" i="8" s="1"/>
  <c r="BD5" i="8" s="1"/>
  <c r="U5" i="8"/>
  <c r="X5" i="8" s="1"/>
  <c r="T5" i="8"/>
  <c r="M5" i="8"/>
  <c r="L5" i="8"/>
  <c r="I5" i="8"/>
  <c r="G5" i="8"/>
  <c r="F5" i="8"/>
  <c r="AX4" i="8"/>
  <c r="BA4" i="8" s="1"/>
  <c r="BB4" i="8" s="1"/>
  <c r="AT4" i="8"/>
  <c r="BC4" i="8" s="1"/>
  <c r="BD4" i="8" s="1"/>
  <c r="AQ4" i="8"/>
  <c r="AM4" i="8"/>
  <c r="AI4" i="8"/>
  <c r="AB4" i="8"/>
  <c r="T4" i="8"/>
  <c r="M4" i="8"/>
  <c r="L4" i="8"/>
  <c r="BG4" i="8" s="1"/>
  <c r="I4" i="8"/>
  <c r="G4" i="8"/>
  <c r="F4" i="8"/>
  <c r="AX3" i="8"/>
  <c r="BA3" i="8" s="1"/>
  <c r="BB3" i="8" s="1"/>
  <c r="AT3" i="8"/>
  <c r="BC3" i="8" s="1"/>
  <c r="AQ3" i="8"/>
  <c r="AM3" i="8"/>
  <c r="AI3" i="8"/>
  <c r="AB3" i="8"/>
  <c r="T3" i="8"/>
  <c r="M3" i="8"/>
  <c r="L3" i="8"/>
  <c r="BG3" i="8" s="1"/>
  <c r="I3" i="8"/>
  <c r="G3" i="8"/>
  <c r="F3" i="8"/>
  <c r="AX2" i="8"/>
  <c r="BA2" i="8" s="1"/>
  <c r="BB2" i="8" s="1"/>
  <c r="AT2" i="8"/>
  <c r="BC2" i="8" s="1"/>
  <c r="AR2" i="8"/>
  <c r="AI2" i="8"/>
  <c r="AB2" i="8"/>
  <c r="T2" i="8"/>
  <c r="M2" i="8"/>
  <c r="L2" i="8"/>
  <c r="BG2" i="8" s="1"/>
  <c r="I2" i="8"/>
  <c r="G2" i="8"/>
  <c r="F2" i="8"/>
  <c r="BC14" i="8" l="1"/>
  <c r="BD14" i="8" s="1"/>
  <c r="AQ4" i="11"/>
  <c r="W4" i="11"/>
  <c r="AQ9" i="11"/>
  <c r="W9" i="11"/>
  <c r="AQ15" i="11"/>
  <c r="W15" i="11"/>
  <c r="AQ30" i="11"/>
  <c r="W30" i="11"/>
  <c r="AQ37" i="11"/>
  <c r="W37" i="11"/>
  <c r="AQ41" i="11"/>
  <c r="W41" i="11"/>
  <c r="BD7" i="8"/>
  <c r="BC11" i="8"/>
  <c r="BD11" i="8" s="1"/>
  <c r="AJ15" i="8"/>
  <c r="BC15" i="8"/>
  <c r="BD15" i="8" s="1"/>
  <c r="BC16" i="8"/>
  <c r="BD16" i="8" s="1"/>
  <c r="BD22" i="8"/>
  <c r="BD23" i="8"/>
  <c r="BD27" i="8"/>
  <c r="AQ14" i="11"/>
  <c r="W14" i="11"/>
  <c r="AQ26" i="11"/>
  <c r="W26" i="11"/>
  <c r="AQ31" i="11"/>
  <c r="W31" i="11"/>
  <c r="AQ32" i="11"/>
  <c r="W32" i="11"/>
  <c r="AQ33" i="11"/>
  <c r="W33" i="11"/>
  <c r="AQ34" i="11"/>
  <c r="W34" i="11"/>
  <c r="AQ38" i="11"/>
  <c r="W38" i="11"/>
  <c r="AD13" i="8"/>
  <c r="AE13" i="8" s="1"/>
  <c r="J18" i="8"/>
  <c r="AP21" i="8"/>
  <c r="AK21" i="8" s="1"/>
  <c r="J22" i="8"/>
  <c r="J26" i="8"/>
  <c r="AS30" i="8"/>
  <c r="AV30" i="8" s="1"/>
  <c r="AW30" i="8" s="1"/>
  <c r="BC30" i="8"/>
  <c r="J32" i="8"/>
  <c r="BD32" i="8"/>
  <c r="AQ3" i="11"/>
  <c r="W3" i="11"/>
  <c r="AQ5" i="11"/>
  <c r="W5" i="11"/>
  <c r="AQ8" i="11"/>
  <c r="W8" i="11"/>
  <c r="AQ10" i="11"/>
  <c r="W10" i="11"/>
  <c r="AQ13" i="11"/>
  <c r="W13" i="11"/>
  <c r="AQ18" i="11"/>
  <c r="W18" i="11"/>
  <c r="AQ27" i="11"/>
  <c r="W27" i="11"/>
  <c r="AQ28" i="11"/>
  <c r="W28" i="11"/>
  <c r="AQ35" i="11"/>
  <c r="W35" i="11"/>
  <c r="AQ40" i="11"/>
  <c r="AQ11" i="11"/>
  <c r="W11" i="11"/>
  <c r="AQ17" i="11"/>
  <c r="W17" i="11"/>
  <c r="AQ19" i="11"/>
  <c r="W19" i="11"/>
  <c r="AQ25" i="11"/>
  <c r="W25" i="11"/>
  <c r="BD8" i="8"/>
  <c r="BD2" i="8"/>
  <c r="BD3" i="8"/>
  <c r="AD6" i="8"/>
  <c r="AE6" i="8" s="1"/>
  <c r="J8" i="8"/>
  <c r="BD19" i="8"/>
  <c r="BC20" i="8"/>
  <c r="BD20" i="8" s="1"/>
  <c r="AP22" i="8"/>
  <c r="AQ12" i="11"/>
  <c r="W12" i="11"/>
  <c r="J18" i="11"/>
  <c r="AQ24" i="11"/>
  <c r="W24" i="11"/>
  <c r="AQ29" i="11"/>
  <c r="W29" i="11"/>
  <c r="AQ36" i="11"/>
  <c r="W36" i="11"/>
  <c r="AQ39" i="11"/>
  <c r="W39" i="11"/>
  <c r="J42" i="11"/>
  <c r="AS13" i="8"/>
  <c r="AV13" i="8" s="1"/>
  <c r="AW13" i="8" s="1"/>
  <c r="AJ13" i="8"/>
  <c r="AS14" i="8"/>
  <c r="AV14" i="8" s="1"/>
  <c r="AW14" i="8" s="1"/>
  <c r="AJ14" i="8"/>
  <c r="AS28" i="8"/>
  <c r="AV28" i="8" s="1"/>
  <c r="AW28" i="8" s="1"/>
  <c r="AP28" i="8"/>
  <c r="AK28" i="8" s="1"/>
  <c r="AS33" i="8"/>
  <c r="AV33" i="8" s="1"/>
  <c r="AW33" i="8" s="1"/>
  <c r="AP33" i="8"/>
  <c r="AK33" i="8" s="1"/>
  <c r="AJ5" i="8"/>
  <c r="AP5" i="8"/>
  <c r="AK5" i="8" s="1"/>
  <c r="AF5" i="8"/>
  <c r="BG5" i="8"/>
  <c r="AJ6" i="8"/>
  <c r="AP6" i="8"/>
  <c r="AK6" i="8" s="1"/>
  <c r="AF6" i="8"/>
  <c r="AF9" i="8"/>
  <c r="AJ9" i="8"/>
  <c r="AP9" i="8"/>
  <c r="AK9" i="8" s="1"/>
  <c r="AG9" i="8"/>
  <c r="AS10" i="8"/>
  <c r="AV10" i="8" s="1"/>
  <c r="AW10" i="8" s="1"/>
  <c r="AJ10" i="8"/>
  <c r="AP10" i="8"/>
  <c r="AK10" i="8" s="1"/>
  <c r="AP13" i="8"/>
  <c r="AK13" i="8" s="1"/>
  <c r="AS18" i="8"/>
  <c r="AV18" i="8" s="1"/>
  <c r="AW18" i="8" s="1"/>
  <c r="AJ18" i="8"/>
  <c r="AP18" i="8"/>
  <c r="AK18" i="8" s="1"/>
  <c r="AS27" i="8"/>
  <c r="AV27" i="8" s="1"/>
  <c r="AW27" i="8" s="1"/>
  <c r="AP27" i="8"/>
  <c r="AK27" i="8" s="1"/>
  <c r="AJ2" i="8"/>
  <c r="AG2" i="8"/>
  <c r="AP2" i="8"/>
  <c r="AK2" i="8" s="1"/>
  <c r="AF2" i="8"/>
  <c r="AJ3" i="8"/>
  <c r="AP3" i="8"/>
  <c r="AK3" i="8" s="1"/>
  <c r="AG3" i="8"/>
  <c r="AJ4" i="8"/>
  <c r="AP4" i="8"/>
  <c r="AK4" i="8" s="1"/>
  <c r="AG4" i="8"/>
  <c r="AF7" i="8"/>
  <c r="AP7" i="8"/>
  <c r="AK7" i="8" s="1"/>
  <c r="AG7" i="8"/>
  <c r="AS7" i="8"/>
  <c r="AV7" i="8" s="1"/>
  <c r="AW7" i="8" s="1"/>
  <c r="AJ7" i="8"/>
  <c r="AJ8" i="8"/>
  <c r="AP8" i="8"/>
  <c r="AK8" i="8" s="1"/>
  <c r="AG8" i="8"/>
  <c r="H14" i="8"/>
  <c r="AG14" i="8"/>
  <c r="AP14" i="8"/>
  <c r="AK14" i="8" s="1"/>
  <c r="AF15" i="8"/>
  <c r="AG15" i="8"/>
  <c r="AP15" i="8"/>
  <c r="AK15" i="8" s="1"/>
  <c r="AJ17" i="8"/>
  <c r="AP17" i="8"/>
  <c r="AK17" i="8" s="1"/>
  <c r="AD18" i="8"/>
  <c r="AE18" i="8" s="1"/>
  <c r="AP19" i="8"/>
  <c r="AK19" i="8" s="1"/>
  <c r="AJ21" i="8"/>
  <c r="H30" i="8"/>
  <c r="AS32" i="8"/>
  <c r="AV32" i="8" s="1"/>
  <c r="AW32" i="8" s="1"/>
  <c r="AK32" i="8"/>
  <c r="AP32" i="8"/>
  <c r="AG37" i="8"/>
  <c r="AP37" i="8"/>
  <c r="AK37" i="8" s="1"/>
  <c r="AS26" i="8"/>
  <c r="AV26" i="8" s="1"/>
  <c r="AW26" i="8" s="1"/>
  <c r="AP26" i="8"/>
  <c r="AK26" i="8" s="1"/>
  <c r="AG36" i="8"/>
  <c r="AP36" i="8"/>
  <c r="AK36" i="8" s="1"/>
  <c r="AS11" i="8"/>
  <c r="AV11" i="8" s="1"/>
  <c r="AW11" i="8" s="1"/>
  <c r="AJ11" i="8"/>
  <c r="AS16" i="8"/>
  <c r="AV16" i="8" s="1"/>
  <c r="AW16" i="8" s="1"/>
  <c r="AJ16" i="8"/>
  <c r="AJ19" i="8"/>
  <c r="AG25" i="8"/>
  <c r="AP25" i="8"/>
  <c r="AK25" i="8" s="1"/>
  <c r="AS31" i="8"/>
  <c r="AV31" i="8" s="1"/>
  <c r="AW31" i="8" s="1"/>
  <c r="AP31" i="8"/>
  <c r="AK31" i="8" s="1"/>
  <c r="AP35" i="8"/>
  <c r="AK35" i="8" s="1"/>
  <c r="AG35" i="8"/>
  <c r="AJ12" i="8"/>
  <c r="AP16" i="8"/>
  <c r="AK16" i="8" s="1"/>
  <c r="AG16" i="8"/>
  <c r="AJ20" i="8"/>
  <c r="AJ22" i="8"/>
  <c r="AK22" i="8"/>
  <c r="AJ23" i="8"/>
  <c r="AP23" i="8"/>
  <c r="AK23" i="8" s="1"/>
  <c r="AF24" i="8"/>
  <c r="AG24" i="8"/>
  <c r="AP24" i="8"/>
  <c r="AK24" i="8" s="1"/>
  <c r="AS29" i="8"/>
  <c r="AV29" i="8" s="1"/>
  <c r="AW29" i="8" s="1"/>
  <c r="AP29" i="8"/>
  <c r="AK29" i="8" s="1"/>
  <c r="AP30" i="8"/>
  <c r="AK30" i="8" s="1"/>
  <c r="AS34" i="8"/>
  <c r="AV34" i="8" s="1"/>
  <c r="AW34" i="8" s="1"/>
  <c r="AP34" i="8"/>
  <c r="AK34" i="8" s="1"/>
  <c r="AD41" i="8"/>
  <c r="AE41" i="8" s="1"/>
  <c r="AJ41" i="8"/>
  <c r="AP41" i="8"/>
  <c r="AK41" i="8" s="1"/>
  <c r="AS3" i="8"/>
  <c r="AV3" i="8" s="1"/>
  <c r="AW3" i="8" s="1"/>
  <c r="AF3" i="8"/>
  <c r="AS4" i="8"/>
  <c r="AV4" i="8" s="1"/>
  <c r="AW4" i="8" s="1"/>
  <c r="AF4" i="8"/>
  <c r="J6" i="8"/>
  <c r="J13" i="8"/>
  <c r="AD15" i="8"/>
  <c r="AE15" i="8" s="1"/>
  <c r="H21" i="8"/>
  <c r="J23" i="8"/>
  <c r="H35" i="8"/>
  <c r="AR40" i="8"/>
  <c r="AS8" i="8"/>
  <c r="AV8" i="8" s="1"/>
  <c r="AW8" i="8" s="1"/>
  <c r="AF8" i="8"/>
  <c r="AF14" i="8"/>
  <c r="AS17" i="8"/>
  <c r="AV17" i="8" s="1"/>
  <c r="AW17" i="8" s="1"/>
  <c r="AF17" i="8"/>
  <c r="AS37" i="8"/>
  <c r="AV37" i="8" s="1"/>
  <c r="AW37" i="8" s="1"/>
  <c r="AF37" i="8"/>
  <c r="AD11" i="8"/>
  <c r="AE11" i="8" s="1"/>
  <c r="AD17" i="8"/>
  <c r="AE17" i="8" s="1"/>
  <c r="AR23" i="8"/>
  <c r="AR25" i="8"/>
  <c r="AR30" i="8"/>
  <c r="H34" i="8"/>
  <c r="AS36" i="8"/>
  <c r="AV36" i="8" s="1"/>
  <c r="AW36" i="8" s="1"/>
  <c r="AF36" i="8"/>
  <c r="AD16" i="8"/>
  <c r="AE16" i="8" s="1"/>
  <c r="AD22" i="8"/>
  <c r="AS25" i="8"/>
  <c r="AV25" i="8" s="1"/>
  <c r="AW25" i="8" s="1"/>
  <c r="AF25" i="8"/>
  <c r="AR29" i="8"/>
  <c r="AS35" i="8"/>
  <c r="AV35" i="8" s="1"/>
  <c r="AW35" i="8" s="1"/>
  <c r="AF35" i="8"/>
  <c r="H2" i="8"/>
  <c r="AR9" i="8"/>
  <c r="BG14" i="8"/>
  <c r="BG15" i="8"/>
  <c r="AF16" i="8"/>
  <c r="J37" i="8"/>
  <c r="H18" i="8"/>
  <c r="AD21" i="8"/>
  <c r="AR38" i="8"/>
  <c r="AD19" i="8"/>
  <c r="AD4" i="8"/>
  <c r="AE4" i="8" s="1"/>
  <c r="AD5" i="8"/>
  <c r="AE5" i="8" s="1"/>
  <c r="J12" i="8"/>
  <c r="BG12" i="8"/>
  <c r="J15" i="8"/>
  <c r="BG16" i="8"/>
  <c r="AR17" i="8"/>
  <c r="H26" i="8"/>
  <c r="J27" i="8"/>
  <c r="AR28" i="8"/>
  <c r="AS2" i="8"/>
  <c r="AV2" i="8" s="1"/>
  <c r="AW2" i="8" s="1"/>
  <c r="AD2" i="8"/>
  <c r="AE2" i="8" s="1"/>
  <c r="J2" i="8"/>
  <c r="H4" i="8"/>
  <c r="J5" i="8"/>
  <c r="AS9" i="8"/>
  <c r="AV9" i="8" s="1"/>
  <c r="AW9" i="8" s="1"/>
  <c r="AD9" i="8"/>
  <c r="AE9" i="8" s="1"/>
  <c r="AD20" i="8"/>
  <c r="J21" i="8"/>
  <c r="J34" i="8"/>
  <c r="J36" i="8"/>
  <c r="BG38" i="8"/>
  <c r="AR39" i="8"/>
  <c r="AR26" i="8"/>
  <c r="AR41" i="8"/>
  <c r="AR11" i="8"/>
  <c r="H13" i="8"/>
  <c r="AR14" i="8"/>
  <c r="H20" i="8"/>
  <c r="H29" i="8"/>
  <c r="J30" i="8"/>
  <c r="J33" i="8"/>
  <c r="AR36" i="8"/>
  <c r="T30" i="8"/>
  <c r="AD30" i="8" s="1"/>
  <c r="AE30" i="8" s="1"/>
  <c r="T28" i="8"/>
  <c r="AD28" i="8" s="1"/>
  <c r="AE28" i="8" s="1"/>
  <c r="T24" i="8"/>
  <c r="AD24" i="8" s="1"/>
  <c r="AE24" i="8" s="1"/>
  <c r="T27" i="8"/>
  <c r="AD27" i="8" s="1"/>
  <c r="AE27" i="8" s="1"/>
  <c r="T26" i="8"/>
  <c r="AD26" i="8" s="1"/>
  <c r="AE26" i="8" s="1"/>
  <c r="AD10" i="8"/>
  <c r="AE10" i="8" s="1"/>
  <c r="T29" i="8"/>
  <c r="AD29" i="8" s="1"/>
  <c r="AE29" i="8" s="1"/>
  <c r="AD23" i="8"/>
  <c r="AE23" i="8" s="1"/>
  <c r="AD14" i="8"/>
  <c r="AE14" i="8" s="1"/>
  <c r="T31" i="8"/>
  <c r="AD31" i="8" s="1"/>
  <c r="AE31" i="8" s="1"/>
  <c r="T35" i="8"/>
  <c r="AD35" i="8" s="1"/>
  <c r="AE35" i="8" s="1"/>
  <c r="T40" i="8"/>
  <c r="BD40" i="8" s="1"/>
  <c r="T33" i="8"/>
  <c r="AD33" i="8" s="1"/>
  <c r="AE33" i="8" s="1"/>
  <c r="AD3" i="8"/>
  <c r="AE3" i="8" s="1"/>
  <c r="T39" i="8"/>
  <c r="BD39" i="8" s="1"/>
  <c r="T38" i="8"/>
  <c r="BD38" i="8" s="1"/>
  <c r="T25" i="8"/>
  <c r="AD25" i="8" s="1"/>
  <c r="AE25" i="8" s="1"/>
  <c r="AD7" i="8"/>
  <c r="AE7" i="8" s="1"/>
  <c r="T34" i="8"/>
  <c r="AD34" i="8" s="1"/>
  <c r="AE34" i="8" s="1"/>
  <c r="T36" i="8"/>
  <c r="AD36" i="8" s="1"/>
  <c r="AE36" i="8" s="1"/>
  <c r="AD8" i="8"/>
  <c r="AE8" i="8" s="1"/>
  <c r="T32" i="8"/>
  <c r="AD32" i="8" s="1"/>
  <c r="AE32" i="8" s="1"/>
  <c r="T37" i="8"/>
  <c r="AD37" i="8" s="1"/>
  <c r="AE37" i="8" s="1"/>
  <c r="AR7" i="8"/>
  <c r="AR16" i="8"/>
  <c r="AR4" i="8"/>
  <c r="AR13" i="8"/>
  <c r="AR18" i="8"/>
  <c r="J7" i="8"/>
  <c r="BG11" i="8"/>
  <c r="AR12" i="8"/>
  <c r="J19" i="8"/>
  <c r="H6" i="8"/>
  <c r="H36" i="8"/>
  <c r="H12" i="8"/>
  <c r="H16" i="8"/>
  <c r="H8" i="8"/>
  <c r="J9" i="8"/>
  <c r="H23" i="8"/>
  <c r="H31" i="8"/>
  <c r="H17" i="8"/>
  <c r="H22" i="8"/>
  <c r="J24" i="8"/>
  <c r="AX41" i="8"/>
  <c r="BA41" i="8" s="1"/>
  <c r="BB41" i="8" s="1"/>
  <c r="H5" i="8"/>
  <c r="AR3" i="8"/>
  <c r="H9" i="8"/>
  <c r="H24" i="8"/>
  <c r="H25" i="8"/>
  <c r="H10" i="8"/>
  <c r="J11" i="8"/>
  <c r="BG13" i="8"/>
  <c r="J14" i="8"/>
  <c r="AR35" i="8"/>
  <c r="J3" i="8"/>
  <c r="J28" i="8"/>
  <c r="J3" i="11"/>
  <c r="J16" i="11"/>
  <c r="J17" i="11"/>
  <c r="BL15" i="11"/>
  <c r="J8" i="11"/>
  <c r="J31" i="11"/>
  <c r="BL40" i="11"/>
  <c r="H36" i="11"/>
  <c r="J19" i="11"/>
  <c r="J10" i="11"/>
  <c r="H28" i="11"/>
  <c r="BL12" i="11"/>
  <c r="BL13" i="11"/>
  <c r="H32" i="11"/>
  <c r="BL41" i="11"/>
  <c r="BL6" i="11"/>
  <c r="J4" i="11"/>
  <c r="J7" i="11"/>
  <c r="H10" i="11"/>
  <c r="J14" i="11"/>
  <c r="H20" i="11"/>
  <c r="J23" i="11"/>
  <c r="J25" i="11"/>
  <c r="J27" i="11"/>
  <c r="H33" i="11"/>
  <c r="H37" i="11"/>
  <c r="H9" i="11"/>
  <c r="J12" i="11"/>
  <c r="J13" i="11"/>
  <c r="H18" i="11"/>
  <c r="J21" i="11"/>
  <c r="J6" i="11"/>
  <c r="J11" i="11"/>
  <c r="H16" i="11"/>
  <c r="H26" i="11"/>
  <c r="BL14" i="11"/>
  <c r="H31" i="11"/>
  <c r="H19" i="11"/>
  <c r="J15" i="11"/>
  <c r="H30" i="11"/>
  <c r="J5" i="11"/>
  <c r="H13" i="11"/>
  <c r="H21" i="11"/>
  <c r="H17" i="11"/>
  <c r="J38" i="11"/>
  <c r="AQ42" i="11"/>
  <c r="H3" i="11"/>
  <c r="H6" i="11"/>
  <c r="H7" i="11"/>
  <c r="H12" i="11"/>
  <c r="J20" i="11"/>
  <c r="J22" i="11"/>
  <c r="J24" i="11"/>
  <c r="H25" i="11"/>
  <c r="J26" i="11"/>
  <c r="J29" i="11"/>
  <c r="J32" i="11"/>
  <c r="J33" i="11"/>
  <c r="J37" i="11"/>
  <c r="BL39" i="11"/>
  <c r="H42" i="11"/>
  <c r="H11" i="11"/>
  <c r="H4" i="11"/>
  <c r="H8" i="11"/>
  <c r="H15" i="11"/>
  <c r="J35" i="11"/>
  <c r="AR42" i="11"/>
  <c r="AV42" i="11" s="1"/>
  <c r="BA42" i="11"/>
  <c r="BK42" i="11" s="1"/>
  <c r="BL17" i="11"/>
  <c r="H5" i="11"/>
  <c r="H14" i="11"/>
  <c r="BL16" i="11"/>
  <c r="H22" i="11"/>
  <c r="H23" i="11"/>
  <c r="H24" i="11"/>
  <c r="J28" i="11"/>
  <c r="J30" i="11"/>
  <c r="J34" i="11"/>
  <c r="J36" i="11"/>
  <c r="H38" i="11"/>
  <c r="J9" i="11"/>
  <c r="AG42" i="11"/>
  <c r="H27" i="11"/>
  <c r="H29" i="11"/>
  <c r="H35" i="11"/>
  <c r="AH42" i="11"/>
  <c r="J10" i="8"/>
  <c r="O12" i="8"/>
  <c r="AZ12" i="8" s="1"/>
  <c r="BC12" i="8" s="1"/>
  <c r="BD12" i="8" s="1"/>
  <c r="J17" i="8"/>
  <c r="J25" i="8"/>
  <c r="J35" i="8"/>
  <c r="AS41" i="8"/>
  <c r="AV41" i="8" s="1"/>
  <c r="AW41" i="8" s="1"/>
  <c r="J4" i="8"/>
  <c r="AR10" i="8"/>
  <c r="J20" i="8"/>
  <c r="AR24" i="8"/>
  <c r="J31" i="8"/>
  <c r="AR34" i="8"/>
  <c r="H41" i="8"/>
  <c r="AR31" i="8"/>
  <c r="H3" i="8"/>
  <c r="AR8" i="8"/>
  <c r="H11" i="8"/>
  <c r="H27" i="8"/>
  <c r="AR27" i="8"/>
  <c r="H32" i="8"/>
  <c r="AR32" i="8"/>
  <c r="H37" i="8"/>
  <c r="J41" i="8"/>
  <c r="H7" i="8"/>
  <c r="H15" i="8"/>
  <c r="H19" i="8"/>
  <c r="H28" i="8"/>
  <c r="J29" i="8"/>
  <c r="H33" i="8"/>
  <c r="AR33" i="8"/>
  <c r="AR37" i="8"/>
  <c r="D41" i="7"/>
  <c r="D21" i="7"/>
  <c r="D17" i="7"/>
  <c r="D18" i="7"/>
  <c r="D19" i="7"/>
  <c r="D20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C4" i="7"/>
  <c r="D4" i="7"/>
  <c r="E4" i="7"/>
  <c r="D3" i="7"/>
  <c r="E3" i="7"/>
  <c r="C3" i="7"/>
  <c r="D40" i="7" l="1"/>
  <c r="D42" i="7" s="1"/>
  <c r="AJ34" i="8"/>
  <c r="AJ29" i="8"/>
  <c r="AJ31" i="8"/>
  <c r="BD34" i="8"/>
  <c r="BD31" i="8"/>
  <c r="BD24" i="8"/>
  <c r="BD37" i="8"/>
  <c r="BD29" i="8"/>
  <c r="BD28" i="8"/>
  <c r="BD30" i="8"/>
  <c r="BD33" i="8"/>
  <c r="AJ32" i="8"/>
  <c r="AJ28" i="8"/>
  <c r="BD26" i="8"/>
  <c r="BD25" i="8"/>
  <c r="BD35" i="8"/>
  <c r="BD36" i="8"/>
  <c r="AD38" i="8"/>
  <c r="AE38" i="8" s="1"/>
  <c r="AJ38" i="8"/>
  <c r="AD39" i="8"/>
  <c r="AE39" i="8" s="1"/>
  <c r="AJ39" i="8"/>
  <c r="AJ33" i="8"/>
  <c r="AJ24" i="8"/>
  <c r="AJ36" i="8"/>
  <c r="AJ30" i="8"/>
  <c r="AJ35" i="8"/>
  <c r="AJ25" i="8"/>
  <c r="AJ37" i="8"/>
  <c r="AD12" i="8"/>
  <c r="AP12" i="8"/>
  <c r="AK12" i="8" s="1"/>
  <c r="AD40" i="8"/>
  <c r="AE40" i="8" s="1"/>
  <c r="AJ40" i="8"/>
  <c r="AJ27" i="8"/>
  <c r="AJ26" i="8"/>
  <c r="C9" i="15"/>
  <c r="AI9" i="15" s="1"/>
  <c r="AE43" i="8" l="1"/>
  <c r="AE12" i="8"/>
  <c r="AE44" i="8" l="1"/>
  <c r="AE42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Jacob Numbers</author>
  </authors>
  <commentList>
    <comment ref="Y6" authorId="0" shapeId="0" xr:uid="{B175A4B8-CE60-4985-AB7D-3F0FF1D5C749}">
      <text>
        <r>
          <rPr>
            <sz val="11"/>
            <color theme="1"/>
            <rFont val="Calibri"/>
            <family val="2"/>
            <scheme val="minor"/>
          </rPr>
          <t>Jacob Numbers:
Higgs, 1960
https://pubs.aip.org/asa/jasa/article/32/9/1108/717969/Ultrasonic-Absorption-and-Velocity-in-Molten-Salts</t>
        </r>
      </text>
    </comment>
    <comment ref="Y7" authorId="0" shapeId="0" xr:uid="{FE532A95-C409-467E-BD8A-8B14A4AD744B}">
      <text>
        <r>
          <rPr>
            <sz val="11"/>
            <color theme="1"/>
            <rFont val="Calibri"/>
            <family val="2"/>
            <scheme val="minor"/>
          </rPr>
          <t>Jacob Numbers:
Higgs, 1960
https://pubs.aip.org/asa/jasa/article/32/9/1108/717969/Ultrasonic-Absorption-and-Velocity-in-Molten-Salts</t>
        </r>
      </text>
    </comment>
    <comment ref="Y8" authorId="0" shapeId="0" xr:uid="{DAFE4564-88CA-430B-BD6C-36FCC75E2616}">
      <text>
        <r>
          <rPr>
            <sz val="11"/>
            <color theme="1"/>
            <rFont val="Calibri"/>
            <family val="2"/>
            <scheme val="minor"/>
          </rPr>
          <t>Jacob Numbers:
Higgs, 1960
https://pubs.aip.org/asa/jasa/article/32/9/1108/717969/Ultrasonic-Absorption-and-Velocity-in-Molten-Salts</t>
        </r>
      </text>
    </comment>
    <comment ref="Y9" authorId="0" shapeId="0" xr:uid="{5AE73649-506A-40F7-AF19-EBA3B433117D}">
      <text>
        <r>
          <rPr>
            <sz val="11"/>
            <color theme="1"/>
            <rFont val="Calibri"/>
            <family val="2"/>
            <scheme val="minor"/>
          </rPr>
          <t>Jacob Numbers:
Higgs, 1960
https://pubs.aip.org/asa/jasa/article/32/9/1108/717969/Ultrasonic-Absorption-and-Velocity-in-Molten-Salts</t>
        </r>
      </text>
    </comment>
    <comment ref="M17" authorId="0" shapeId="0" xr:uid="{C84D4343-58E7-4673-B8C7-F463A5F4B768}">
      <text>
        <r>
          <rPr>
            <sz val="11"/>
            <color theme="1"/>
            <rFont val="Calibri"/>
            <family val="2"/>
            <scheme val="minor"/>
          </rPr>
          <t>Jacob Numbers:
Gheribi, 2014</t>
        </r>
      </text>
    </comment>
    <comment ref="N17" authorId="0" shapeId="0" xr:uid="{635208AA-3D88-476B-AE7E-419091B80297}">
      <text>
        <r>
          <rPr>
            <sz val="11"/>
            <color theme="1"/>
            <rFont val="Calibri"/>
            <family val="2"/>
            <scheme val="minor"/>
          </rPr>
          <t>Jacob Numbers:
Gheribi, 2014</t>
        </r>
      </text>
    </comment>
    <comment ref="O17" authorId="0" shapeId="0" xr:uid="{628802F8-D930-4821-BF94-93C6ED7CF692}">
      <text>
        <r>
          <rPr>
            <sz val="11"/>
            <color theme="1"/>
            <rFont val="Calibri"/>
            <family val="2"/>
            <scheme val="minor"/>
          </rPr>
          <t>Jacob Numbers:
Gheribi, 2014</t>
        </r>
      </text>
    </comment>
    <comment ref="P17" authorId="0" shapeId="0" xr:uid="{08A34CE1-5657-491B-9635-4A4F399213EA}">
      <text>
        <r>
          <rPr>
            <sz val="11"/>
            <color theme="1"/>
            <rFont val="Calibri"/>
            <family val="2"/>
            <scheme val="minor"/>
          </rPr>
          <t>Jacob Numbers:
Gheribi, 2014</t>
        </r>
      </text>
    </comment>
    <comment ref="R17" authorId="0" shapeId="0" xr:uid="{D2FF6BA8-A849-4141-A7D8-9E7004BFC265}">
      <text>
        <r>
          <rPr>
            <sz val="11"/>
            <color theme="1"/>
            <rFont val="Calibri"/>
            <family val="2"/>
            <scheme val="minor"/>
          </rPr>
          <t>Jacob Numbers:
Gheribi 2014</t>
        </r>
      </text>
    </comment>
    <comment ref="S17" authorId="0" shapeId="0" xr:uid="{6FA17018-241B-420C-A112-B4F503395754}">
      <text>
        <r>
          <rPr>
            <sz val="11"/>
            <color theme="1"/>
            <rFont val="Calibri"/>
            <family val="2"/>
            <scheme val="minor"/>
          </rPr>
          <t>Jacob Numbers:
Gheribi 2014</t>
        </r>
      </text>
    </comment>
    <comment ref="Y17" authorId="0" shapeId="0" xr:uid="{06538545-1AC1-46D7-B4AA-0A520592591C}">
      <text>
        <r>
          <rPr>
            <sz val="11"/>
            <color theme="1"/>
            <rFont val="Calibri"/>
            <family val="2"/>
            <scheme val="minor"/>
          </rPr>
          <t>Jacob Numbers:
Higgs, 1960
https://pubs.aip.org/asa/jasa/article/32/9/1108/717969/Ultrasonic-Absorption-and-Velocity-in-Molten-Salts</t>
        </r>
      </text>
    </comment>
    <comment ref="AA17" authorId="0" shapeId="0" xr:uid="{62D960DD-85C6-42C0-9FF4-F22755AB43FE}">
      <text>
        <r>
          <rPr>
            <sz val="11"/>
            <color theme="1"/>
            <rFont val="Calibri"/>
            <family val="2"/>
            <scheme val="minor"/>
          </rPr>
          <t xml:space="preserve">Jacob Numbers:
Janz, 1979
</t>
        </r>
      </text>
    </comment>
    <comment ref="BQ17" authorId="0" shapeId="0" xr:uid="{5CAC2B43-265C-4092-BB05-DEB9D797747A}">
      <text>
        <r>
          <rPr>
            <sz val="11"/>
            <color theme="1"/>
            <rFont val="Calibri"/>
            <family val="2"/>
            <scheme val="minor"/>
          </rPr>
          <t>Jacob Numbers:
Gheribi, 2014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Jacob Numbers</author>
  </authors>
  <commentList>
    <comment ref="V6" authorId="0" shapeId="0" xr:uid="{5A621330-D710-4EB9-88C0-8AC2953B318D}">
      <text>
        <r>
          <rPr>
            <sz val="11"/>
            <color theme="1"/>
            <rFont val="Calibri"/>
            <family val="2"/>
            <scheme val="minor"/>
          </rPr>
          <t>Jacob Numbers:
Higgs, 1960
https://pubs.aip.org/asa/jasa/article/32/9/1108/717969/Ultrasonic-Absorption-and-Velocity-in-Molten-Salts</t>
        </r>
      </text>
    </comment>
    <comment ref="V7" authorId="0" shapeId="0" xr:uid="{FC21E988-4359-481B-AFBA-31292EFEC09B}">
      <text>
        <r>
          <rPr>
            <sz val="11"/>
            <color theme="1"/>
            <rFont val="Calibri"/>
            <family val="2"/>
            <scheme val="minor"/>
          </rPr>
          <t>Jacob Numbers:
Higgs, 1960
https://pubs.aip.org/asa/jasa/article/32/9/1108/717969/Ultrasonic-Absorption-and-Velocity-in-Molten-Salts</t>
        </r>
      </text>
    </comment>
    <comment ref="V8" authorId="0" shapeId="0" xr:uid="{F9619D1F-62B1-42EF-A488-325085980792}">
      <text>
        <r>
          <rPr>
            <sz val="11"/>
            <color theme="1"/>
            <rFont val="Calibri"/>
            <family val="2"/>
            <scheme val="minor"/>
          </rPr>
          <t>Jacob Numbers:
Higgs, 1960
https://pubs.aip.org/asa/jasa/article/32/9/1108/717969/Ultrasonic-Absorption-and-Velocity-in-Molten-Salts</t>
        </r>
      </text>
    </comment>
    <comment ref="V9" authorId="0" shapeId="0" xr:uid="{A997979C-5DCD-477F-AE12-0EF684859B93}">
      <text>
        <r>
          <rPr>
            <sz val="11"/>
            <color theme="1"/>
            <rFont val="Calibri"/>
            <family val="2"/>
            <scheme val="minor"/>
          </rPr>
          <t>Jacob Numbers:
Higgs, 1960
https://pubs.aip.org/asa/jasa/article/32/9/1108/717969/Ultrasonic-Absorption-and-Velocity-in-Molten-Salts</t>
        </r>
      </text>
    </comment>
    <comment ref="M17" authorId="0" shapeId="0" xr:uid="{F061F5C4-A9E6-4D52-9A13-CBCF4DD9A4AB}">
      <text>
        <r>
          <rPr>
            <sz val="11"/>
            <color theme="1"/>
            <rFont val="Calibri"/>
            <family val="2"/>
            <scheme val="minor"/>
          </rPr>
          <t>Jacob Numbers:
Gheribi, 2014</t>
        </r>
      </text>
    </comment>
    <comment ref="N17" authorId="0" shapeId="0" xr:uid="{A96FB3E8-084E-441F-8B80-4D69050DA97C}">
      <text>
        <r>
          <rPr>
            <sz val="11"/>
            <color theme="1"/>
            <rFont val="Calibri"/>
            <family val="2"/>
            <scheme val="minor"/>
          </rPr>
          <t>Jacob Numbers:
Gheribi, 2014</t>
        </r>
      </text>
    </comment>
    <comment ref="O17" authorId="0" shapeId="0" xr:uid="{8686192E-435B-45E9-BFA0-1A689BA0DAD8}">
      <text>
        <r>
          <rPr>
            <sz val="11"/>
            <color theme="1"/>
            <rFont val="Calibri"/>
            <family val="2"/>
            <scheme val="minor"/>
          </rPr>
          <t>Jacob Numbers:
Gheribi, 2014</t>
        </r>
      </text>
    </comment>
    <comment ref="P17" authorId="0" shapeId="0" xr:uid="{4A5BFDDD-5EAB-40C4-87E0-AA77490C715B}">
      <text>
        <r>
          <rPr>
            <sz val="11"/>
            <color theme="1"/>
            <rFont val="Calibri"/>
            <family val="2"/>
            <scheme val="minor"/>
          </rPr>
          <t>Jacob Numbers:
Gheribi, 2014</t>
        </r>
      </text>
    </comment>
    <comment ref="R17" authorId="0" shapeId="0" xr:uid="{CE5411D2-054C-487F-AF0D-B2A624D9EAE5}">
      <text>
        <r>
          <rPr>
            <sz val="11"/>
            <color theme="1"/>
            <rFont val="Calibri"/>
            <family val="2"/>
            <scheme val="minor"/>
          </rPr>
          <t>Jacob Numbers:
Gheribi 2014</t>
        </r>
      </text>
    </comment>
    <comment ref="S17" authorId="0" shapeId="0" xr:uid="{D872AE7C-BAB7-47BB-9CAE-DF89EF43F4C2}">
      <text>
        <r>
          <rPr>
            <sz val="11"/>
            <color theme="1"/>
            <rFont val="Calibri"/>
            <family val="2"/>
            <scheme val="minor"/>
          </rPr>
          <t>Jacob Numbers:
Gheribi 2014</t>
        </r>
      </text>
    </comment>
    <comment ref="V17" authorId="0" shapeId="0" xr:uid="{917A7F21-7688-41EC-AF50-0C40534A9AE5}">
      <text>
        <r>
          <rPr>
            <sz val="11"/>
            <color theme="1"/>
            <rFont val="Calibri"/>
            <family val="2"/>
            <scheme val="minor"/>
          </rPr>
          <t>Jacob Numbers:
Higgs, 1960
https://pubs.aip.org/asa/jasa/article/32/9/1108/717969/Ultrasonic-Absorption-and-Velocity-in-Molten-Salts</t>
        </r>
      </text>
    </comment>
    <comment ref="X17" authorId="0" shapeId="0" xr:uid="{34910E91-CE04-4CFB-99D5-065BC301A703}">
      <text>
        <r>
          <rPr>
            <sz val="11"/>
            <color theme="1"/>
            <rFont val="Calibri"/>
            <family val="2"/>
            <scheme val="minor"/>
          </rPr>
          <t xml:space="preserve">Jacob Numbers:
Janz, 1979
</t>
        </r>
      </text>
    </comment>
    <comment ref="AY17" authorId="0" shapeId="0" xr:uid="{E3624877-16DD-45CB-A52D-7BD22D8AF1AE}">
      <text>
        <r>
          <rPr>
            <sz val="11"/>
            <color theme="1"/>
            <rFont val="Calibri"/>
            <family val="2"/>
            <scheme val="minor"/>
          </rPr>
          <t>Jacob Numbers:
Gheribi, 2014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Jacob Numbers</author>
  </authors>
  <commentList>
    <comment ref="Y7" authorId="0" shapeId="0" xr:uid="{2F505C34-CE80-48A8-9A3B-33004A9CF964}">
      <text>
        <r>
          <rPr>
            <sz val="11"/>
            <color theme="1"/>
            <rFont val="Calibri"/>
            <family val="2"/>
            <scheme val="minor"/>
          </rPr>
          <t>Jacob Numbers:
Higgs, 1960
https://pubs.aip.org/asa/jasa/article/32/9/1108/717969/Ultrasonic-Absorption-and-Velocity-in-Molten-Salts</t>
        </r>
      </text>
    </comment>
    <comment ref="Y8" authorId="0" shapeId="0" xr:uid="{07D41D1F-40A8-41A4-A0F5-7442A4460B4D}">
      <text>
        <r>
          <rPr>
            <sz val="11"/>
            <color theme="1"/>
            <rFont val="Calibri"/>
            <family val="2"/>
            <scheme val="minor"/>
          </rPr>
          <t>Jacob Numbers:
Higgs, 1960
https://pubs.aip.org/asa/jasa/article/32/9/1108/717969/Ultrasonic-Absorption-and-Velocity-in-Molten-Salts</t>
        </r>
      </text>
    </comment>
    <comment ref="Y9" authorId="0" shapeId="0" xr:uid="{FE41AD70-3BF9-4C9B-9E3C-B6A472DBCA7C}">
      <text>
        <r>
          <rPr>
            <sz val="11"/>
            <color theme="1"/>
            <rFont val="Calibri"/>
            <family val="2"/>
            <scheme val="minor"/>
          </rPr>
          <t>Jacob Numbers:
Higgs, 1960
https://pubs.aip.org/asa/jasa/article/32/9/1108/717969/Ultrasonic-Absorption-and-Velocity-in-Molten-Salts</t>
        </r>
      </text>
    </comment>
    <comment ref="Y10" authorId="0" shapeId="0" xr:uid="{62A0F1AE-9F38-49B5-9201-0BE860F58C73}">
      <text>
        <r>
          <rPr>
            <sz val="11"/>
            <color theme="1"/>
            <rFont val="Calibri"/>
            <family val="2"/>
            <scheme val="minor"/>
          </rPr>
          <t>Jacob Numbers:
Higgs, 1960
https://pubs.aip.org/asa/jasa/article/32/9/1108/717969/Ultrasonic-Absorption-and-Velocity-in-Molten-Salts</t>
        </r>
      </text>
    </comment>
    <comment ref="M18" authorId="0" shapeId="0" xr:uid="{6BEA2360-B353-4F62-98ED-0A4072FC712E}">
      <text>
        <r>
          <rPr>
            <sz val="11"/>
            <color theme="1"/>
            <rFont val="Calibri"/>
            <family val="2"/>
            <scheme val="minor"/>
          </rPr>
          <t>Jacob Numbers:
Gheribi, 2014</t>
        </r>
      </text>
    </comment>
    <comment ref="N18" authorId="0" shapeId="0" xr:uid="{1A4556C5-C425-4D5D-9DDC-C0A81DCE2B1B}">
      <text>
        <r>
          <rPr>
            <sz val="11"/>
            <color theme="1"/>
            <rFont val="Calibri"/>
            <family val="2"/>
            <scheme val="minor"/>
          </rPr>
          <t>Jacob Numbers:
Gheribi, 2014</t>
        </r>
      </text>
    </comment>
    <comment ref="O18" authorId="0" shapeId="0" xr:uid="{3E7A25E4-2314-4822-B689-F0DAF79455CB}">
      <text>
        <r>
          <rPr>
            <sz val="11"/>
            <color theme="1"/>
            <rFont val="Calibri"/>
            <family val="2"/>
            <scheme val="minor"/>
          </rPr>
          <t>Jacob Numbers:
Gheribi, 2014</t>
        </r>
      </text>
    </comment>
    <comment ref="P18" authorId="0" shapeId="0" xr:uid="{900A09F4-1225-46B0-BCF1-D002CFD6B3A6}">
      <text>
        <r>
          <rPr>
            <sz val="11"/>
            <color theme="1"/>
            <rFont val="Calibri"/>
            <family val="2"/>
            <scheme val="minor"/>
          </rPr>
          <t>Jacob Numbers:
Gheribi, 2014</t>
        </r>
      </text>
    </comment>
    <comment ref="R18" authorId="0" shapeId="0" xr:uid="{3D8825E9-DED8-4D96-A25C-49E25F2AF9DA}">
      <text>
        <r>
          <rPr>
            <sz val="11"/>
            <color theme="1"/>
            <rFont val="Calibri"/>
            <family val="2"/>
            <scheme val="minor"/>
          </rPr>
          <t>Jacob Numbers:
Gheribi 2014</t>
        </r>
      </text>
    </comment>
    <comment ref="S18" authorId="0" shapeId="0" xr:uid="{4689BF33-EE12-4CA9-B6F8-CF6ABF84317C}">
      <text>
        <r>
          <rPr>
            <sz val="11"/>
            <color theme="1"/>
            <rFont val="Calibri"/>
            <family val="2"/>
            <scheme val="minor"/>
          </rPr>
          <t>Jacob Numbers:
Gheribi 2014</t>
        </r>
      </text>
    </comment>
    <comment ref="Y18" authorId="0" shapeId="0" xr:uid="{71AB1CB1-334E-48CA-BCE5-F64975FD26D2}">
      <text>
        <r>
          <rPr>
            <sz val="11"/>
            <color theme="1"/>
            <rFont val="Calibri"/>
            <family val="2"/>
            <scheme val="minor"/>
          </rPr>
          <t>Jacob Numbers:
Higgs, 1960
https://pubs.aip.org/asa/jasa/article/32/9/1108/717969/Ultrasonic-Absorption-and-Velocity-in-Molten-Salts</t>
        </r>
      </text>
    </comment>
    <comment ref="AA18" authorId="0" shapeId="0" xr:uid="{D864E2EB-4D66-442C-9217-272C1CEB899F}">
      <text>
        <r>
          <rPr>
            <sz val="11"/>
            <color theme="1"/>
            <rFont val="Calibri"/>
            <family val="2"/>
            <scheme val="minor"/>
          </rPr>
          <t xml:space="preserve">Jacob Numbers:
Janz, 1979
</t>
        </r>
      </text>
    </comment>
    <comment ref="BF18" authorId="0" shapeId="0" xr:uid="{A1569433-4FCA-4434-9BD8-ECE1126FD418}">
      <text>
        <r>
          <rPr>
            <sz val="11"/>
            <color theme="1"/>
            <rFont val="Calibri"/>
            <family val="2"/>
            <scheme val="minor"/>
          </rPr>
          <t>Jacob Numbers:
Gheribi, 2014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Jacob Numbers</author>
  </authors>
  <commentList>
    <comment ref="V4" authorId="0" shapeId="0" xr:uid="{3E453B11-0E3F-4600-8C6C-EF76E31F8F7D}">
      <text>
        <r>
          <rPr>
            <sz val="11"/>
            <color theme="1"/>
            <rFont val="Calibri"/>
            <family val="2"/>
            <scheme val="minor"/>
          </rPr>
          <t>Jacob Numbers:
Higgs, 1960
https://pubs.aip.org/asa/jasa/article/32/9/1108/717969/Ultrasonic-Absorption-and-Velocity-in-Molten-Salts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Jacob Numbers</author>
  </authors>
  <commentList>
    <comment ref="Y6" authorId="0" shapeId="0" xr:uid="{736AD3AB-035E-422E-BB49-E1F7C4857AA9}">
      <text>
        <r>
          <rPr>
            <sz val="11"/>
            <color theme="1"/>
            <rFont val="Calibri"/>
            <family val="2"/>
            <scheme val="minor"/>
          </rPr>
          <t>Jacob Numbers:
Higgs, 1960
https://pubs.aip.org/asa/jasa/article/32/9/1108/717969/Ultrasonic-Absorption-and-Velocity-in-Molten-Salts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Jacob Numbers</author>
  </authors>
  <commentList>
    <comment ref="V3" authorId="0" shapeId="0" xr:uid="{1D8B2798-B17B-44E7-9D9A-E6381CDC492F}">
      <text>
        <r>
          <rPr>
            <sz val="11"/>
            <color theme="1"/>
            <rFont val="Calibri"/>
            <family val="2"/>
            <scheme val="minor"/>
          </rPr>
          <t>Jacob Numbers:
Higgs, 1960
https://pubs.aip.org/asa/jasa/article/32/9/1108/717969/Ultrasonic-Absorption-and-Velocity-in-Molten-Salts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Jacob Numbers</author>
  </authors>
  <commentList>
    <comment ref="Y6" authorId="0" shapeId="0" xr:uid="{325AAB36-2409-43D9-BDBD-E113ED92623C}">
      <text>
        <r>
          <rPr>
            <sz val="11"/>
            <color theme="1"/>
            <rFont val="Calibri"/>
            <family val="2"/>
            <scheme val="minor"/>
          </rPr>
          <t>Jacob Numbers:
Higgs, 1960
https://pubs.aip.org/asa/jasa/article/32/9/1108/717969/Ultrasonic-Absorption-and-Velocity-in-Molten-Salts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Jacob Numbers</author>
  </authors>
  <commentList>
    <comment ref="Y6" authorId="0" shapeId="0" xr:uid="{30414773-1391-414A-BADF-5013089D2332}">
      <text>
        <r>
          <rPr>
            <sz val="11"/>
            <color theme="1"/>
            <rFont val="Calibri"/>
            <family val="2"/>
            <scheme val="minor"/>
          </rPr>
          <t>Jacob Numbers:
Higgs, 1960
https://pubs.aip.org/asa/jasa/article/32/9/1108/717969/Ultrasonic-Absorption-and-Velocity-in-Molten-Salts</t>
        </r>
      </text>
    </comment>
  </commentList>
</comments>
</file>

<file path=xl/sharedStrings.xml><?xml version="1.0" encoding="utf-8"?>
<sst xmlns="http://schemas.openxmlformats.org/spreadsheetml/2006/main" count="1291" uniqueCount="273">
  <si>
    <t>Compound</t>
  </si>
  <si>
    <t>M_i (g/mol)</t>
  </si>
  <si>
    <t>T_i_m (K)</t>
  </si>
  <si>
    <t>V_i_m (m^3/mol)</t>
  </si>
  <si>
    <t>alpha_i_m (K^-1)</t>
  </si>
  <si>
    <t>C_i_p (J/mol/K)</t>
  </si>
  <si>
    <t>r_c (m)</t>
  </si>
  <si>
    <t>r_a (m)</t>
  </si>
  <si>
    <t>rho_m (g/m^3)</t>
  </si>
  <si>
    <t>SoS(T)_A (A+B*T)</t>
  </si>
  <si>
    <t>SoS(T)_B</t>
  </si>
  <si>
    <t>A (Density (g/cm3):   A - BT(K))</t>
  </si>
  <si>
    <t>B (Density (g/cm3):   A - BT(K))</t>
  </si>
  <si>
    <t>#_cations</t>
  </si>
  <si>
    <t>#_anions</t>
  </si>
  <si>
    <t>λ_meas</t>
  </si>
  <si>
    <t>LiF</t>
  </si>
  <si>
    <t>NaF</t>
  </si>
  <si>
    <t>KF</t>
  </si>
  <si>
    <t>RbF</t>
  </si>
  <si>
    <t>CsF</t>
  </si>
  <si>
    <t>LiCl</t>
  </si>
  <si>
    <t>NaCl</t>
  </si>
  <si>
    <t>KCl</t>
  </si>
  <si>
    <t>BeF2</t>
  </si>
  <si>
    <t>MgF2</t>
  </si>
  <si>
    <t>CaF2</t>
  </si>
  <si>
    <t>SrF2</t>
  </si>
  <si>
    <t>MgCl2</t>
  </si>
  <si>
    <t>CaCl2</t>
  </si>
  <si>
    <t>SrCl2</t>
  </si>
  <si>
    <t>NaNO3</t>
  </si>
  <si>
    <t>KNO3</t>
  </si>
  <si>
    <t>ZrF4</t>
  </si>
  <si>
    <t>ThF4</t>
  </si>
  <si>
    <t>UF4</t>
  </si>
  <si>
    <t>UCl3</t>
  </si>
  <si>
    <t>0.68KCl-0.32MgCl2</t>
  </si>
  <si>
    <t>0.66LiF-0.34BeF2</t>
  </si>
  <si>
    <t>0.465LiF-0.115NaF-0.42KF</t>
  </si>
  <si>
    <t>0.675LiF-0.2BeF2-0.005ThF4-0.12UF4</t>
  </si>
  <si>
    <t>0.73LiF-0.27BeF2</t>
  </si>
  <si>
    <t>0.725LiF-0.265BeF2-0.01UF4</t>
  </si>
  <si>
    <t>0.72LiF-0.26BeF2-0.02UF4</t>
  </si>
  <si>
    <t>0.32KCl-0.68MgCl2</t>
  </si>
  <si>
    <t>0.6LiF-0.4NaF</t>
  </si>
  <si>
    <t>MFP_calc</t>
  </si>
  <si>
    <t>0.712LiF-0.23BeF2-0.05ZrF4-0.008UF4</t>
  </si>
  <si>
    <t>0.4598NaCl-0.3891KCl-0.1511MgCl2</t>
  </si>
  <si>
    <t>0.345NaF-0.59KF-0.065MgF2</t>
  </si>
  <si>
    <t>0.582LiCl-0.418KCl</t>
  </si>
  <si>
    <t>sum_ions</t>
  </si>
  <si>
    <t>Visc (N*s/m^2)</t>
  </si>
  <si>
    <t>Visc/(Dens*C0)</t>
  </si>
  <si>
    <t>H2O</t>
  </si>
  <si>
    <t>sum_radii</t>
  </si>
  <si>
    <t>order</t>
  </si>
  <si>
    <t>protons</t>
  </si>
  <si>
    <t>electrons</t>
  </si>
  <si>
    <t>ratio</t>
  </si>
  <si>
    <t>Mp/molecule</t>
  </si>
  <si>
    <t>Me/molecule</t>
  </si>
  <si>
    <t>Dif mass</t>
  </si>
  <si>
    <t>SoS_Tm</t>
  </si>
  <si>
    <t>ratio of Mpe*#</t>
  </si>
  <si>
    <t>1/3*Cp*vs*r_sum</t>
  </si>
  <si>
    <t>r_sum</t>
  </si>
  <si>
    <t>1/3*Cp*vs</t>
  </si>
  <si>
    <t>1/3*vs*r_sum</t>
  </si>
  <si>
    <t>Cp_calc</t>
  </si>
  <si>
    <t>1/3*Cp*r_sum</t>
  </si>
  <si>
    <t>vs_calc</t>
  </si>
  <si>
    <t>S/cm</t>
  </si>
  <si>
    <t>dev_λ</t>
  </si>
  <si>
    <t>T_i_m (K) inverse</t>
  </si>
  <si>
    <t>0.63NaCl-0.37UCl3 (ORNL)</t>
  </si>
  <si>
    <t>0.658NaCl-0.342UCl3 (ANL)</t>
  </si>
  <si>
    <r>
      <t>(NaF-KF)-.5UF</t>
    </r>
    <r>
      <rPr>
        <vertAlign val="subscript"/>
        <sz val="11"/>
        <color theme="1"/>
        <rFont val="Calibri"/>
        <family val="2"/>
        <scheme val="minor"/>
      </rPr>
      <t>4</t>
    </r>
  </si>
  <si>
    <r>
      <t>(NaF-KF)-.4UF</t>
    </r>
    <r>
      <rPr>
        <vertAlign val="subscript"/>
        <sz val="11"/>
        <color theme="1"/>
        <rFont val="Calibri"/>
        <family val="2"/>
        <scheme val="minor"/>
      </rPr>
      <t>4</t>
    </r>
  </si>
  <si>
    <r>
      <t>(NaF-KF)-.3UF</t>
    </r>
    <r>
      <rPr>
        <vertAlign val="subscript"/>
        <sz val="11"/>
        <color theme="1"/>
        <rFont val="Calibri"/>
        <family val="2"/>
        <scheme val="minor"/>
      </rPr>
      <t>4</t>
    </r>
  </si>
  <si>
    <t>Cp_vol</t>
  </si>
  <si>
    <t>v_sound</t>
  </si>
  <si>
    <t>MFP</t>
  </si>
  <si>
    <t>NaF-KF-UF4</t>
  </si>
  <si>
    <t>NaCl-UCl3</t>
  </si>
  <si>
    <t>r (A)</t>
  </si>
  <si>
    <t>g(r )</t>
  </si>
  <si>
    <t>n =</t>
  </si>
  <si>
    <t>sigma =</t>
  </si>
  <si>
    <t>MFP =</t>
  </si>
  <si>
    <t>vs_dev</t>
  </si>
  <si>
    <t>MFP_dev</t>
  </si>
  <si>
    <t>Cp_dev</t>
  </si>
  <si>
    <t>Max</t>
  </si>
  <si>
    <t>Avg</t>
  </si>
  <si>
    <t>First</t>
  </si>
  <si>
    <t>PDF-max</t>
  </si>
  <si>
    <t>PDF-avg</t>
  </si>
  <si>
    <t>PDF-first</t>
  </si>
  <si>
    <t>MFP_PDF-max</t>
  </si>
  <si>
    <t>MFP_PDF-avg</t>
  </si>
  <si>
    <t>MFP_PDF-first</t>
  </si>
  <si>
    <t>1/3*Cp*vs*MFP</t>
  </si>
  <si>
    <t>1/3*Cp*MFP</t>
  </si>
  <si>
    <t>1/3*vs*MFP</t>
  </si>
  <si>
    <t>SoS_metal</t>
  </si>
  <si>
    <t>SoS_avg</t>
  </si>
  <si>
    <t>1/3*vs_metal*MFP</t>
  </si>
  <si>
    <t>C_i_p (J/m3/K)</t>
  </si>
  <si>
    <t>volumetric</t>
  </si>
  <si>
    <t>Avg_vs_metal</t>
  </si>
  <si>
    <t>1/3*Cp*vs_metal*MFP</t>
  </si>
  <si>
    <t>Ref</t>
  </si>
  <si>
    <t>Gheribi 2014</t>
  </si>
  <si>
    <t>Yang, 2023</t>
  </si>
  <si>
    <t>dif_radii</t>
  </si>
  <si>
    <t>Mass Cat</t>
  </si>
  <si>
    <t>Mass An</t>
  </si>
  <si>
    <t>Unit mass</t>
  </si>
  <si>
    <t>Ratio Cat/unit</t>
  </si>
  <si>
    <t>ref</t>
  </si>
  <si>
    <t>Demmel 2008</t>
  </si>
  <si>
    <t>Demmel 2004</t>
  </si>
  <si>
    <t>Cond/</t>
  </si>
  <si>
    <t>MetalCond</t>
  </si>
  <si>
    <t>S/m</t>
  </si>
  <si>
    <t>Li</t>
  </si>
  <si>
    <t>T</t>
  </si>
  <si>
    <t>rho</t>
  </si>
  <si>
    <t>sigma</t>
  </si>
  <si>
    <t>SLOPE</t>
  </si>
  <si>
    <t>INTERCEPT</t>
  </si>
  <si>
    <t>Na</t>
  </si>
  <si>
    <t>K</t>
  </si>
  <si>
    <t>λ_WFsalt</t>
  </si>
  <si>
    <t>λ_WFmetal</t>
  </si>
  <si>
    <t>Ho 1972</t>
  </si>
  <si>
    <t>Ho 1973</t>
  </si>
  <si>
    <t>Ho 1974</t>
  </si>
  <si>
    <t>Ho 1975</t>
  </si>
  <si>
    <t>Ho 1976</t>
  </si>
  <si>
    <t>Ho 1977</t>
  </si>
  <si>
    <t>Ho 1978</t>
  </si>
  <si>
    <t>λ_metal</t>
  </si>
  <si>
    <t>vs</t>
  </si>
  <si>
    <t>peak</t>
  </si>
  <si>
    <t>Metal</t>
  </si>
  <si>
    <t>Salt</t>
  </si>
  <si>
    <t>C_ip (J/m3/K)</t>
  </si>
  <si>
    <t>C_ip (J/mol/K)</t>
  </si>
  <si>
    <t>Debye Length</t>
  </si>
  <si>
    <t>n (# density)</t>
  </si>
  <si>
    <t>Interaction Potential</t>
  </si>
  <si>
    <t>Cat-Cat</t>
  </si>
  <si>
    <t>An-An</t>
  </si>
  <si>
    <t>Cat-An</t>
  </si>
  <si>
    <t>Z_cat</t>
  </si>
  <si>
    <t>Z_an</t>
  </si>
  <si>
    <t>e_0</t>
  </si>
  <si>
    <t>eps_0</t>
  </si>
  <si>
    <t>Peak</t>
  </si>
  <si>
    <t>++/--</t>
  </si>
  <si>
    <t>Ratios</t>
  </si>
  <si>
    <t>--/+-</t>
  </si>
  <si>
    <t>++/+-</t>
  </si>
  <si>
    <t>Coulomb Interaction Energy</t>
  </si>
  <si>
    <t>wFast Sound</t>
  </si>
  <si>
    <t>NewAvg</t>
  </si>
  <si>
    <t>1st peak</t>
  </si>
  <si>
    <t>MFP_avged</t>
  </si>
  <si>
    <t>MFP_first_peak</t>
  </si>
  <si>
    <t>C_p_back_calc</t>
  </si>
  <si>
    <t>Integral</t>
  </si>
  <si>
    <t>CN</t>
  </si>
  <si>
    <t>Approx. Time between coor sphere</t>
  </si>
  <si>
    <t xml:space="preserve">A </t>
  </si>
  <si>
    <t>λ_meas (A+B*T)</t>
  </si>
  <si>
    <t>B</t>
  </si>
  <si>
    <t>λ_meas_Tm</t>
  </si>
  <si>
    <t>Chliatzou 2018</t>
  </si>
  <si>
    <t>Gheribi 2023; Nagasaka 1988)</t>
  </si>
  <si>
    <t xml:space="preserve">Gheribi 2023; </t>
  </si>
  <si>
    <t>Rosenthal 1969</t>
  </si>
  <si>
    <t>Merritt 2022</t>
  </si>
  <si>
    <t>Ruth 2024</t>
  </si>
  <si>
    <t>Termini 2024</t>
  </si>
  <si>
    <t>Rose 2023</t>
  </si>
  <si>
    <t xml:space="preserve">Ramires 1995 </t>
  </si>
  <si>
    <t>λ_meas_PDF_t</t>
  </si>
  <si>
    <t>1stPkatPDF_T</t>
  </si>
  <si>
    <t>PDF_temp</t>
  </si>
  <si>
    <t>r_sum_Tm</t>
  </si>
  <si>
    <t>r_sum_T,PDF</t>
  </si>
  <si>
    <t>λ_stand</t>
  </si>
  <si>
    <t>Unary Chlorides</t>
  </si>
  <si>
    <t>Fluoride Mixtures</t>
  </si>
  <si>
    <t>Chloride Mixtures</t>
  </si>
  <si>
    <t>Water</t>
  </si>
  <si>
    <t>Unary Flourides</t>
  </si>
  <si>
    <t>Unary Alkaline Earth Chlorides</t>
  </si>
  <si>
    <t>Chloride Actinide Mixtures</t>
  </si>
  <si>
    <t>BC v</t>
  </si>
  <si>
    <t>BC c_v</t>
  </si>
  <si>
    <t>BC MFP</t>
  </si>
  <si>
    <t>Cp(J/m3-K)</t>
  </si>
  <si>
    <t>Fluoride Actinide Mixtures</t>
  </si>
  <si>
    <t>Unary Nitrates</t>
  </si>
  <si>
    <t>Unary Alkaline Earth Flourides</t>
  </si>
  <si>
    <t>1/3*Cp*vs*r_sumCorrect</t>
  </si>
  <si>
    <t>1/3*Cp*vs*1stPk</t>
  </si>
  <si>
    <t>1stPeak</t>
  </si>
  <si>
    <t>1/3*Cp*vs*AvgPk</t>
  </si>
  <si>
    <t>AvgMFP</t>
  </si>
  <si>
    <t>c_BC_λBC</t>
  </si>
  <si>
    <t>c_BC,rsum</t>
  </si>
  <si>
    <t>λBC</t>
  </si>
  <si>
    <t>c_BC_fast</t>
  </si>
  <si>
    <t>c_BC,Dist</t>
  </si>
  <si>
    <t>Error</t>
  </si>
  <si>
    <t>DistMFP</t>
  </si>
  <si>
    <t>1/3*Cp*vs*DistPk_FstSound</t>
  </si>
  <si>
    <t>1/3*Cp*vs*DistPk</t>
  </si>
  <si>
    <t>cp</t>
  </si>
  <si>
    <t>1/3*v*λDistFast</t>
  </si>
  <si>
    <t>Dev</t>
  </si>
  <si>
    <t>Un</t>
  </si>
  <si>
    <t>All</t>
  </si>
  <si>
    <t>Mix</t>
  </si>
  <si>
    <t>.</t>
  </si>
  <si>
    <t>V_cat</t>
  </si>
  <si>
    <t>V_an</t>
  </si>
  <si>
    <t>PackFrac</t>
  </si>
  <si>
    <t>AvgVatom</t>
  </si>
  <si>
    <t>k_B</t>
  </si>
  <si>
    <t>LiF Kinetic Energy</t>
  </si>
  <si>
    <t>Radius</t>
  </si>
  <si>
    <t xml:space="preserve">λ_P(r) </t>
  </si>
  <si>
    <t>Sound Velocity (m/s)</t>
  </si>
  <si>
    <t>Distance</t>
  </si>
  <si>
    <t>LiCl_Demmel, 2004</t>
  </si>
  <si>
    <t>2*PI/Q</t>
  </si>
  <si>
    <t>frequency</t>
  </si>
  <si>
    <t>Cat_mass</t>
  </si>
  <si>
    <t>An_mass</t>
  </si>
  <si>
    <t>Red. Mass</t>
  </si>
  <si>
    <t>k_SCL</t>
  </si>
  <si>
    <t> 4.599211434277691E-10</t>
  </si>
  <si>
    <t> 3.7969068224247864E-10</t>
  </si>
  <si>
    <t> 4.254924144410876E-10</t>
  </si>
  <si>
    <t> 2.89258E-10</t>
  </si>
  <si>
    <t>k_Gheribi</t>
  </si>
  <si>
    <t>λ_SCL</t>
  </si>
  <si>
    <t>k_Zhao</t>
  </si>
  <si>
    <t>Golyshev, 1982; Golyshev, 1983; Golyshev, 1992; Smirnov, 1987; Khlebnikov, 1981</t>
  </si>
  <si>
    <t>λ_T,m</t>
  </si>
  <si>
    <t>λ_init</t>
  </si>
  <si>
    <t>Smirnov, 1987; Polyakov, 1975</t>
  </si>
  <si>
    <t>Smirnov, 1987</t>
  </si>
  <si>
    <t>Nagasaka,1992</t>
  </si>
  <si>
    <t>Nagasaka,1992; Harada,1992</t>
  </si>
  <si>
    <t>Harada, 1992; Nagasaka, 1992</t>
  </si>
  <si>
    <t>Bystrai, 1975; Filatov, 2005</t>
  </si>
  <si>
    <t>Rosenthal, 1969</t>
  </si>
  <si>
    <t>Merritt, 2022; Gallagher, 2022; Rudenko, 2022</t>
  </si>
  <si>
    <t>Rudenko, 2024</t>
  </si>
  <si>
    <t>BYU, 2023</t>
  </si>
  <si>
    <t>Rose, 2023</t>
  </si>
  <si>
    <t>Termini, 2024</t>
  </si>
  <si>
    <t>0.5454LiF-0.3636NaF-0.091UF4</t>
  </si>
  <si>
    <t>% Dev. - Present Model</t>
  </si>
  <si>
    <t>% Dev, Kinetic Theory</t>
  </si>
  <si>
    <t>vs*cp</t>
  </si>
  <si>
    <t>1/3*vs*cp*rsum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</si>
</sst>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.000000"/>
    <numFmt numFmtId="165" formatCode="0.00000"/>
    <numFmt numFmtId="166" formatCode="0.0000000"/>
    <numFmt numFmtId="167" formatCode="0.000E+00"/>
    <numFmt numFmtId="168" formatCode="#,##0.000"/>
    <numFmt numFmtId="169" formatCode="#,##0.00000000000000000"/>
    <numFmt numFmtId="170" formatCode="0.000000"/>
    <numFmt numFmtId="171" formatCode="#,##0.0000"/>
    <numFmt numFmtId="172" formatCode="0.0E+00"/>
    <numFmt numFmtId="173" formatCode="0.0000E+00"/>
    <numFmt numFmtId="174" formatCode="0.0000"/>
  </numFmts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vertAlign val="subscript"/>
      <sz val="11"/>
      <color theme="1"/>
      <name val="Calibri"/>
      <family val="2"/>
      <scheme val="minor"/>
    </font>
    <font>
      <sz val="10"/>
      <color rgb="FF59595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32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theme="6" tint="0.59999389629810485"/>
      </left>
      <right style="thin">
        <color theme="6" tint="0.59999389629810485"/>
      </right>
      <top style="thin">
        <color theme="6" tint="0.59999389629810485"/>
      </top>
      <bottom style="thin">
        <color theme="6" tint="0.59999389629810485"/>
      </bottom>
      <diagonal/>
    </border>
    <border>
      <left/>
      <right/>
      <top/>
      <bottom style="medium">
        <color theme="6" tint="0.59999389629810485"/>
      </bottom>
      <diagonal/>
    </border>
    <border>
      <left style="thin">
        <color theme="6" tint="0.59999389629810485"/>
      </left>
      <right style="thin">
        <color theme="6" tint="0.59999389629810485"/>
      </right>
      <top/>
      <bottom style="thin">
        <color theme="6" tint="0.59999389629810485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theme="6" tint="0.59999389629810485"/>
      </bottom>
      <diagonal/>
    </border>
    <border>
      <left style="thin">
        <color theme="6" tint="0.59999389629810485"/>
      </left>
      <right style="thin">
        <color theme="6" tint="0.59999389629810485"/>
      </right>
      <top style="thin">
        <color theme="6" tint="0.59999389629810485"/>
      </top>
      <bottom style="medium">
        <color theme="6" tint="0.59999389629810485"/>
      </bottom>
      <diagonal/>
    </border>
    <border>
      <left style="thin">
        <color theme="6" tint="0.59999389629810485"/>
      </left>
      <right style="thin">
        <color theme="6" tint="0.59999389629810485"/>
      </right>
      <top style="thin">
        <color theme="6" tint="0.59999389629810485"/>
      </top>
      <bottom/>
      <diagonal/>
    </border>
    <border>
      <left style="thin">
        <color theme="6" tint="0.59999389629810485"/>
      </left>
      <right/>
      <top style="thin">
        <color theme="6" tint="0.59999389629810485"/>
      </top>
      <bottom/>
      <diagonal/>
    </border>
    <border>
      <left style="thin">
        <color theme="6" tint="0.59999389629810485"/>
      </left>
      <right/>
      <top style="thin">
        <color theme="6" tint="0.59999389629810485"/>
      </top>
      <bottom style="medium">
        <color theme="6" tint="0.59999389629810485"/>
      </bottom>
      <diagonal/>
    </border>
    <border>
      <left style="thin">
        <color theme="6" tint="0.59999389629810485"/>
      </left>
      <right/>
      <top style="thin">
        <color theme="6" tint="0.59999389629810485"/>
      </top>
      <bottom style="thin">
        <color theme="6" tint="0.59999389629810485"/>
      </bottom>
      <diagonal/>
    </border>
    <border>
      <left/>
      <right style="thin">
        <color theme="6" tint="0.59999389629810485"/>
      </right>
      <top style="thin">
        <color theme="6" tint="0.59999389629810485"/>
      </top>
      <bottom/>
      <diagonal/>
    </border>
    <border>
      <left/>
      <right style="thin">
        <color theme="6" tint="0.59999389629810485"/>
      </right>
      <top style="thin">
        <color theme="6" tint="0.59999389629810485"/>
      </top>
      <bottom style="medium">
        <color theme="6" tint="0.59999389629810485"/>
      </bottom>
      <diagonal/>
    </border>
    <border>
      <left/>
      <right style="thin">
        <color theme="6" tint="0.59999389629810485"/>
      </right>
      <top style="thin">
        <color theme="6" tint="0.59999389629810485"/>
      </top>
      <bottom style="thin">
        <color theme="6" tint="0.59999389629810485"/>
      </bottom>
      <diagonal/>
    </border>
    <border>
      <left style="medium">
        <color theme="6" tint="-0.249977111117893"/>
      </left>
      <right style="medium">
        <color theme="6" tint="-0.249977111117893"/>
      </right>
      <top style="medium">
        <color theme="6" tint="-0.249977111117893"/>
      </top>
      <bottom/>
      <diagonal/>
    </border>
    <border>
      <left style="medium">
        <color theme="6" tint="-0.249977111117893"/>
      </left>
      <right style="medium">
        <color theme="6" tint="-0.249977111117893"/>
      </right>
      <top style="thin">
        <color theme="6" tint="0.59999389629810485"/>
      </top>
      <bottom style="medium">
        <color theme="6" tint="0.59999389629810485"/>
      </bottom>
      <diagonal/>
    </border>
    <border>
      <left style="medium">
        <color theme="6" tint="-0.249977111117893"/>
      </left>
      <right style="medium">
        <color theme="6" tint="-0.249977111117893"/>
      </right>
      <top style="thin">
        <color theme="6" tint="0.59999389629810485"/>
      </top>
      <bottom style="thin">
        <color theme="6" tint="0.59999389629810485"/>
      </bottom>
      <diagonal/>
    </border>
    <border>
      <left style="medium">
        <color theme="6" tint="-0.249977111117893"/>
      </left>
      <right style="medium">
        <color theme="6" tint="-0.249977111117893"/>
      </right>
      <top style="thin">
        <color theme="6" tint="0.59999389629810485"/>
      </top>
      <bottom style="medium">
        <color theme="6" tint="-0.249977111117893"/>
      </bottom>
      <diagonal/>
    </border>
    <border>
      <left/>
      <right/>
      <top style="thin">
        <color theme="6" tint="0.59999389629810485"/>
      </top>
      <bottom style="medium">
        <color theme="6" tint="0.59999389629810485"/>
      </bottom>
      <diagonal/>
    </border>
    <border>
      <left/>
      <right/>
      <top style="thin">
        <color theme="6" tint="0.59999389629810485"/>
      </top>
      <bottom style="thin">
        <color theme="6" tint="0.59999389629810485"/>
      </bottom>
      <diagonal/>
    </border>
    <border>
      <left/>
      <right/>
      <top style="thin">
        <color theme="6" tint="0.59999389629810485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/>
      <bottom style="thin">
        <color theme="2" tint="-0.749992370372631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theme="2" tint="-0.749992370372631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0.749992370372631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0.749992370372631"/>
      </bottom>
      <diagonal/>
    </border>
    <border>
      <left/>
      <right/>
      <top style="thin">
        <color theme="2" tint="-9.9978637043366805E-2"/>
      </top>
      <bottom style="thin">
        <color theme="2" tint="-0.749992370372631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0.749992370372631"/>
      </bottom>
      <diagonal/>
    </border>
  </borders>
  <cellStyleXfs count="2">
    <xf numFmtId="0" fontId="0" fillId="0" borderId="1"/>
    <xf numFmtId="0" fontId="1" fillId="0" borderId="1"/>
  </cellStyleXfs>
  <cellXfs count="273">
    <xf numFmtId="0" fontId="0" fillId="0" borderId="0" xfId="0" applyBorder="1"/>
    <xf numFmtId="164" fontId="2" fillId="0" borderId="0" xfId="1" applyNumberFormat="1" applyFont="1" applyBorder="1"/>
    <xf numFmtId="3" fontId="3" fillId="0" borderId="1" xfId="0" applyNumberFormat="1" applyFont="1" applyAlignment="1">
      <alignment horizontal="left"/>
    </xf>
    <xf numFmtId="4" fontId="3" fillId="0" borderId="1" xfId="0" applyNumberFormat="1" applyFont="1" applyAlignment="1">
      <alignment horizontal="right"/>
    </xf>
    <xf numFmtId="0" fontId="2" fillId="0" borderId="0" xfId="0" applyFont="1" applyBorder="1"/>
    <xf numFmtId="164" fontId="3" fillId="0" borderId="1" xfId="0" applyNumberFormat="1" applyFont="1" applyAlignment="1">
      <alignment horizontal="right"/>
    </xf>
    <xf numFmtId="11" fontId="3" fillId="0" borderId="1" xfId="0" applyNumberFormat="1" applyFont="1" applyAlignment="1">
      <alignment horizontal="right"/>
    </xf>
    <xf numFmtId="4" fontId="2" fillId="0" borderId="0" xfId="0" applyNumberFormat="1" applyFont="1" applyBorder="1"/>
    <xf numFmtId="11" fontId="2" fillId="0" borderId="0" xfId="0" applyNumberFormat="1" applyFont="1" applyBorder="1"/>
    <xf numFmtId="4" fontId="2" fillId="0" borderId="0" xfId="0" applyNumberFormat="1" applyFont="1" applyBorder="1" applyAlignment="1">
      <alignment horizontal="right"/>
    </xf>
    <xf numFmtId="11" fontId="3" fillId="0" borderId="2" xfId="0" applyNumberFormat="1" applyFont="1" applyBorder="1" applyAlignment="1">
      <alignment horizontal="right"/>
    </xf>
    <xf numFmtId="0" fontId="2" fillId="0" borderId="1" xfId="0" applyFont="1"/>
    <xf numFmtId="4" fontId="3" fillId="0" borderId="0" xfId="0" applyNumberFormat="1" applyFont="1" applyBorder="1" applyAlignment="1">
      <alignment horizontal="right"/>
    </xf>
    <xf numFmtId="164" fontId="2" fillId="0" borderId="1" xfId="0" applyNumberFormat="1" applyFont="1"/>
    <xf numFmtId="11" fontId="3" fillId="0" borderId="0" xfId="0" applyNumberFormat="1" applyFont="1" applyBorder="1" applyAlignment="1">
      <alignment horizontal="right"/>
    </xf>
    <xf numFmtId="3" fontId="3" fillId="0" borderId="0" xfId="0" applyNumberFormat="1" applyFont="1" applyBorder="1" applyAlignment="1">
      <alignment horizontal="right"/>
    </xf>
    <xf numFmtId="3" fontId="3" fillId="0" borderId="1" xfId="0" applyNumberFormat="1" applyFont="1" applyAlignment="1">
      <alignment horizontal="right"/>
    </xf>
    <xf numFmtId="164" fontId="3" fillId="0" borderId="0" xfId="0" applyNumberFormat="1" applyFont="1" applyBorder="1" applyAlignment="1">
      <alignment horizontal="right"/>
    </xf>
    <xf numFmtId="164" fontId="2" fillId="0" borderId="0" xfId="0" applyNumberFormat="1" applyFont="1" applyBorder="1"/>
    <xf numFmtId="3" fontId="2" fillId="0" borderId="0" xfId="0" applyNumberFormat="1" applyFont="1" applyBorder="1"/>
    <xf numFmtId="4" fontId="2" fillId="0" borderId="1" xfId="0" applyNumberFormat="1" applyFont="1" applyAlignment="1">
      <alignment horizontal="right"/>
    </xf>
    <xf numFmtId="166" fontId="2" fillId="0" borderId="1" xfId="0" applyNumberFormat="1" applyFont="1" applyAlignment="1">
      <alignment horizontal="right"/>
    </xf>
    <xf numFmtId="11" fontId="2" fillId="0" borderId="1" xfId="0" applyNumberFormat="1" applyFont="1"/>
    <xf numFmtId="3" fontId="2" fillId="0" borderId="1" xfId="0" applyNumberFormat="1" applyFont="1"/>
    <xf numFmtId="168" fontId="3" fillId="0" borderId="1" xfId="0" applyNumberFormat="1" applyFont="1" applyAlignment="1">
      <alignment horizontal="left"/>
    </xf>
    <xf numFmtId="2" fontId="2" fillId="0" borderId="1" xfId="0" applyNumberFormat="1" applyFont="1"/>
    <xf numFmtId="11" fontId="3" fillId="0" borderId="1" xfId="0" applyNumberFormat="1" applyFont="1" applyAlignment="1">
      <alignment horizontal="left"/>
    </xf>
    <xf numFmtId="169" fontId="3" fillId="0" borderId="1" xfId="0" applyNumberFormat="1" applyFont="1" applyAlignment="1">
      <alignment horizontal="right"/>
    </xf>
    <xf numFmtId="4" fontId="2" fillId="0" borderId="1" xfId="0" applyNumberFormat="1" applyFont="1"/>
    <xf numFmtId="2" fontId="0" fillId="0" borderId="0" xfId="0" applyNumberFormat="1" applyBorder="1" applyAlignment="1">
      <alignment horizontal="right"/>
    </xf>
    <xf numFmtId="2" fontId="3" fillId="0" borderId="1" xfId="0" applyNumberFormat="1" applyFont="1" applyAlignment="1">
      <alignment horizontal="right"/>
    </xf>
    <xf numFmtId="2" fontId="2" fillId="0" borderId="1" xfId="0" applyNumberFormat="1" applyFont="1" applyAlignment="1">
      <alignment horizontal="right"/>
    </xf>
    <xf numFmtId="0" fontId="0" fillId="0" borderId="1" xfId="0"/>
    <xf numFmtId="164" fontId="0" fillId="0" borderId="1" xfId="0" applyNumberFormat="1"/>
    <xf numFmtId="11" fontId="0" fillId="0" borderId="0" xfId="0" applyNumberFormat="1" applyBorder="1"/>
    <xf numFmtId="2" fontId="0" fillId="0" borderId="0" xfId="0" applyNumberFormat="1" applyBorder="1"/>
    <xf numFmtId="0" fontId="0" fillId="0" borderId="0" xfId="0" applyBorder="1" applyAlignment="1">
      <alignment horizontal="right"/>
    </xf>
    <xf numFmtId="0" fontId="2" fillId="8" borderId="3" xfId="0" applyFont="1" applyFill="1" applyBorder="1"/>
    <xf numFmtId="0" fontId="2" fillId="3" borderId="3" xfId="0" applyFont="1" applyFill="1" applyBorder="1"/>
    <xf numFmtId="0" fontId="2" fillId="2" borderId="3" xfId="0" applyFont="1" applyFill="1" applyBorder="1"/>
    <xf numFmtId="0" fontId="2" fillId="7" borderId="3" xfId="0" applyFont="1" applyFill="1" applyBorder="1"/>
    <xf numFmtId="0" fontId="2" fillId="6" borderId="3" xfId="0" applyFont="1" applyFill="1" applyBorder="1"/>
    <xf numFmtId="0" fontId="0" fillId="6" borderId="3" xfId="0" applyFill="1" applyBorder="1"/>
    <xf numFmtId="4" fontId="2" fillId="8" borderId="3" xfId="0" applyNumberFormat="1" applyFont="1" applyFill="1" applyBorder="1"/>
    <xf numFmtId="11" fontId="2" fillId="5" borderId="3" xfId="0" applyNumberFormat="1" applyFont="1" applyFill="1" applyBorder="1"/>
    <xf numFmtId="11" fontId="3" fillId="4" borderId="3" xfId="0" applyNumberFormat="1" applyFont="1" applyFill="1" applyBorder="1" applyAlignment="1">
      <alignment horizontal="right"/>
    </xf>
    <xf numFmtId="11" fontId="2" fillId="4" borderId="3" xfId="0" applyNumberFormat="1" applyFont="1" applyFill="1" applyBorder="1"/>
    <xf numFmtId="4" fontId="3" fillId="6" borderId="3" xfId="0" applyNumberFormat="1" applyFont="1" applyFill="1" applyBorder="1" applyAlignment="1">
      <alignment horizontal="right"/>
    </xf>
    <xf numFmtId="11" fontId="2" fillId="6" borderId="3" xfId="0" applyNumberFormat="1" applyFont="1" applyFill="1" applyBorder="1"/>
    <xf numFmtId="164" fontId="3" fillId="6" borderId="3" xfId="0" applyNumberFormat="1" applyFont="1" applyFill="1" applyBorder="1" applyAlignment="1">
      <alignment horizontal="right"/>
    </xf>
    <xf numFmtId="3" fontId="3" fillId="6" borderId="3" xfId="0" applyNumberFormat="1" applyFont="1" applyFill="1" applyBorder="1" applyAlignment="1">
      <alignment horizontal="right"/>
    </xf>
    <xf numFmtId="0" fontId="0" fillId="8" borderId="3" xfId="0" applyFill="1" applyBorder="1"/>
    <xf numFmtId="0" fontId="0" fillId="3" borderId="3" xfId="0" applyFill="1" applyBorder="1"/>
    <xf numFmtId="0" fontId="0" fillId="4" borderId="3" xfId="0" applyFill="1" applyBorder="1"/>
    <xf numFmtId="165" fontId="2" fillId="8" borderId="3" xfId="0" applyNumberFormat="1" applyFont="1" applyFill="1" applyBorder="1"/>
    <xf numFmtId="167" fontId="2" fillId="2" borderId="3" xfId="0" applyNumberFormat="1" applyFont="1" applyFill="1" applyBorder="1"/>
    <xf numFmtId="4" fontId="2" fillId="6" borderId="3" xfId="0" applyNumberFormat="1" applyFont="1" applyFill="1" applyBorder="1"/>
    <xf numFmtId="0" fontId="2" fillId="0" borderId="3" xfId="0" applyFont="1" applyBorder="1"/>
    <xf numFmtId="11" fontId="2" fillId="0" borderId="3" xfId="0" applyNumberFormat="1" applyFont="1" applyBorder="1"/>
    <xf numFmtId="4" fontId="2" fillId="0" borderId="3" xfId="0" applyNumberFormat="1" applyFont="1" applyBorder="1"/>
    <xf numFmtId="0" fontId="0" fillId="0" borderId="3" xfId="0" applyBorder="1"/>
    <xf numFmtId="2" fontId="0" fillId="0" borderId="1" xfId="0" applyNumberFormat="1" applyAlignment="1">
      <alignment horizontal="right"/>
    </xf>
    <xf numFmtId="0" fontId="2" fillId="8" borderId="5" xfId="0" applyFont="1" applyFill="1" applyBorder="1"/>
    <xf numFmtId="4" fontId="2" fillId="8" borderId="5" xfId="0" applyNumberFormat="1" applyFont="1" applyFill="1" applyBorder="1"/>
    <xf numFmtId="0" fontId="2" fillId="3" borderId="5" xfId="0" applyFont="1" applyFill="1" applyBorder="1"/>
    <xf numFmtId="0" fontId="2" fillId="2" borderId="5" xfId="0" applyFont="1" applyFill="1" applyBorder="1"/>
    <xf numFmtId="11" fontId="2" fillId="5" borderId="5" xfId="0" applyNumberFormat="1" applyFont="1" applyFill="1" applyBorder="1"/>
    <xf numFmtId="11" fontId="3" fillId="4" borderId="5" xfId="0" applyNumberFormat="1" applyFont="1" applyFill="1" applyBorder="1" applyAlignment="1">
      <alignment horizontal="right"/>
    </xf>
    <xf numFmtId="11" fontId="2" fillId="4" borderId="5" xfId="0" applyNumberFormat="1" applyFont="1" applyFill="1" applyBorder="1"/>
    <xf numFmtId="0" fontId="2" fillId="7" borderId="5" xfId="0" applyFont="1" applyFill="1" applyBorder="1"/>
    <xf numFmtId="4" fontId="3" fillId="6" borderId="5" xfId="0" applyNumberFormat="1" applyFont="1" applyFill="1" applyBorder="1" applyAlignment="1">
      <alignment horizontal="right"/>
    </xf>
    <xf numFmtId="0" fontId="2" fillId="6" borderId="5" xfId="0" applyFont="1" applyFill="1" applyBorder="1"/>
    <xf numFmtId="11" fontId="2" fillId="6" borderId="5" xfId="0" applyNumberFormat="1" applyFont="1" applyFill="1" applyBorder="1"/>
    <xf numFmtId="3" fontId="3" fillId="0" borderId="4" xfId="0" applyNumberFormat="1" applyFont="1" applyBorder="1" applyAlignment="1">
      <alignment horizontal="left"/>
    </xf>
    <xf numFmtId="0" fontId="0" fillId="0" borderId="4" xfId="0" applyBorder="1"/>
    <xf numFmtId="3" fontId="2" fillId="0" borderId="4" xfId="0" applyNumberFormat="1" applyFont="1" applyBorder="1"/>
    <xf numFmtId="4" fontId="3" fillId="0" borderId="4" xfId="0" applyNumberFormat="1" applyFont="1" applyBorder="1" applyAlignment="1">
      <alignment horizontal="right"/>
    </xf>
    <xf numFmtId="164" fontId="3" fillId="0" borderId="4" xfId="0" applyNumberFormat="1" applyFont="1" applyBorder="1" applyAlignment="1">
      <alignment horizontal="left"/>
    </xf>
    <xf numFmtId="164" fontId="3" fillId="0" borderId="6" xfId="0" applyNumberFormat="1" applyFont="1" applyBorder="1" applyAlignment="1">
      <alignment horizontal="left"/>
    </xf>
    <xf numFmtId="11" fontId="3" fillId="0" borderId="4" xfId="0" applyNumberFormat="1" applyFont="1" applyBorder="1" applyAlignment="1">
      <alignment horizontal="left"/>
    </xf>
    <xf numFmtId="0" fontId="2" fillId="0" borderId="4" xfId="0" applyFont="1" applyBorder="1"/>
    <xf numFmtId="0" fontId="2" fillId="8" borderId="7" xfId="0" applyFont="1" applyFill="1" applyBorder="1"/>
    <xf numFmtId="0" fontId="2" fillId="3" borderId="7" xfId="0" applyFont="1" applyFill="1" applyBorder="1"/>
    <xf numFmtId="0" fontId="2" fillId="2" borderId="7" xfId="0" applyFont="1" applyFill="1" applyBorder="1"/>
    <xf numFmtId="0" fontId="2" fillId="5" borderId="7" xfId="0" applyFont="1" applyFill="1" applyBorder="1"/>
    <xf numFmtId="11" fontId="3" fillId="4" borderId="7" xfId="0" applyNumberFormat="1" applyFont="1" applyFill="1" applyBorder="1" applyAlignment="1">
      <alignment horizontal="left"/>
    </xf>
    <xf numFmtId="0" fontId="2" fillId="4" borderId="7" xfId="0" applyFont="1" applyFill="1" applyBorder="1"/>
    <xf numFmtId="0" fontId="2" fillId="7" borderId="7" xfId="0" applyFont="1" applyFill="1" applyBorder="1"/>
    <xf numFmtId="4" fontId="3" fillId="6" borderId="7" xfId="0" applyNumberFormat="1" applyFont="1" applyFill="1" applyBorder="1" applyAlignment="1">
      <alignment horizontal="left"/>
    </xf>
    <xf numFmtId="0" fontId="2" fillId="6" borderId="7" xfId="0" applyFont="1" applyFill="1" applyBorder="1"/>
    <xf numFmtId="0" fontId="0" fillId="6" borderId="7" xfId="0" applyFill="1" applyBorder="1"/>
    <xf numFmtId="0" fontId="2" fillId="0" borderId="8" xfId="0" applyFont="1" applyBorder="1"/>
    <xf numFmtId="11" fontId="2" fillId="0" borderId="8" xfId="0" applyNumberFormat="1" applyFont="1" applyBorder="1"/>
    <xf numFmtId="4" fontId="2" fillId="0" borderId="8" xfId="0" applyNumberFormat="1" applyFont="1" applyBorder="1"/>
    <xf numFmtId="11" fontId="2" fillId="2" borderId="3" xfId="0" applyNumberFormat="1" applyFont="1" applyFill="1" applyBorder="1"/>
    <xf numFmtId="170" fontId="2" fillId="8" borderId="5" xfId="0" applyNumberFormat="1" applyFont="1" applyFill="1" applyBorder="1"/>
    <xf numFmtId="170" fontId="2" fillId="8" borderId="3" xfId="0" applyNumberFormat="1" applyFont="1" applyFill="1" applyBorder="1"/>
    <xf numFmtId="170" fontId="0" fillId="8" borderId="3" xfId="0" applyNumberFormat="1" applyFill="1" applyBorder="1"/>
    <xf numFmtId="11" fontId="2" fillId="2" borderId="5" xfId="0" applyNumberFormat="1" applyFont="1" applyFill="1" applyBorder="1"/>
    <xf numFmtId="11" fontId="0" fillId="2" borderId="3" xfId="0" applyNumberFormat="1" applyFill="1" applyBorder="1"/>
    <xf numFmtId="4" fontId="3" fillId="0" borderId="3" xfId="0" applyNumberFormat="1" applyFont="1" applyBorder="1" applyAlignment="1">
      <alignment horizontal="right"/>
    </xf>
    <xf numFmtId="11" fontId="2" fillId="3" borderId="3" xfId="0" applyNumberFormat="1" applyFont="1" applyFill="1" applyBorder="1"/>
    <xf numFmtId="0" fontId="2" fillId="0" borderId="9" xfId="0" applyFont="1" applyBorder="1"/>
    <xf numFmtId="0" fontId="2" fillId="8" borderId="10" xfId="0" applyFont="1" applyFill="1" applyBorder="1"/>
    <xf numFmtId="170" fontId="2" fillId="8" borderId="11" xfId="0" applyNumberFormat="1" applyFont="1" applyFill="1" applyBorder="1"/>
    <xf numFmtId="0" fontId="2" fillId="0" borderId="12" xfId="0" applyFont="1" applyBorder="1"/>
    <xf numFmtId="0" fontId="2" fillId="8" borderId="13" xfId="0" applyFont="1" applyFill="1" applyBorder="1"/>
    <xf numFmtId="170" fontId="2" fillId="8" borderId="14" xfId="0" applyNumberFormat="1" applyFont="1" applyFill="1" applyBorder="1"/>
    <xf numFmtId="0" fontId="2" fillId="0" borderId="5" xfId="0" applyFont="1" applyBorder="1"/>
    <xf numFmtId="0" fontId="2" fillId="0" borderId="15" xfId="0" applyFont="1" applyBorder="1"/>
    <xf numFmtId="0" fontId="2" fillId="8" borderId="16" xfId="0" applyFont="1" applyFill="1" applyBorder="1"/>
    <xf numFmtId="170" fontId="2" fillId="8" borderId="17" xfId="0" applyNumberFormat="1" applyFont="1" applyFill="1" applyBorder="1"/>
    <xf numFmtId="170" fontId="2" fillId="8" borderId="18" xfId="0" applyNumberFormat="1" applyFont="1" applyFill="1" applyBorder="1"/>
    <xf numFmtId="0" fontId="2" fillId="2" borderId="10" xfId="0" applyFont="1" applyFill="1" applyBorder="1"/>
    <xf numFmtId="11" fontId="2" fillId="2" borderId="11" xfId="0" applyNumberFormat="1" applyFont="1" applyFill="1" applyBorder="1"/>
    <xf numFmtId="0" fontId="2" fillId="2" borderId="13" xfId="0" applyFont="1" applyFill="1" applyBorder="1"/>
    <xf numFmtId="11" fontId="2" fillId="2" borderId="14" xfId="0" applyNumberFormat="1" applyFont="1" applyFill="1" applyBorder="1"/>
    <xf numFmtId="0" fontId="2" fillId="2" borderId="16" xfId="0" applyFont="1" applyFill="1" applyBorder="1"/>
    <xf numFmtId="11" fontId="2" fillId="2" borderId="17" xfId="0" applyNumberFormat="1" applyFont="1" applyFill="1" applyBorder="1"/>
    <xf numFmtId="11" fontId="2" fillId="2" borderId="18" xfId="0" applyNumberFormat="1" applyFont="1" applyFill="1" applyBorder="1"/>
    <xf numFmtId="0" fontId="2" fillId="5" borderId="10" xfId="0" applyFont="1" applyFill="1" applyBorder="1"/>
    <xf numFmtId="11" fontId="2" fillId="5" borderId="11" xfId="0" applyNumberFormat="1" applyFont="1" applyFill="1" applyBorder="1"/>
    <xf numFmtId="0" fontId="2" fillId="5" borderId="13" xfId="0" applyFont="1" applyFill="1" applyBorder="1"/>
    <xf numFmtId="11" fontId="2" fillId="5" borderId="14" xfId="0" applyNumberFormat="1" applyFont="1" applyFill="1" applyBorder="1"/>
    <xf numFmtId="0" fontId="2" fillId="5" borderId="16" xfId="0" applyFont="1" applyFill="1" applyBorder="1"/>
    <xf numFmtId="11" fontId="2" fillId="5" borderId="17" xfId="0" applyNumberFormat="1" applyFont="1" applyFill="1" applyBorder="1"/>
    <xf numFmtId="11" fontId="2" fillId="5" borderId="18" xfId="0" applyNumberFormat="1" applyFont="1" applyFill="1" applyBorder="1"/>
    <xf numFmtId="0" fontId="2" fillId="4" borderId="10" xfId="0" applyFont="1" applyFill="1" applyBorder="1"/>
    <xf numFmtId="11" fontId="2" fillId="4" borderId="11" xfId="0" applyNumberFormat="1" applyFont="1" applyFill="1" applyBorder="1"/>
    <xf numFmtId="0" fontId="2" fillId="4" borderId="13" xfId="0" applyFont="1" applyFill="1" applyBorder="1"/>
    <xf numFmtId="11" fontId="2" fillId="4" borderId="14" xfId="0" applyNumberFormat="1" applyFont="1" applyFill="1" applyBorder="1"/>
    <xf numFmtId="11" fontId="2" fillId="0" borderId="5" xfId="0" applyNumberFormat="1" applyFont="1" applyBorder="1"/>
    <xf numFmtId="0" fontId="2" fillId="4" borderId="16" xfId="0" applyFont="1" applyFill="1" applyBorder="1"/>
    <xf numFmtId="11" fontId="2" fillId="4" borderId="17" xfId="0" applyNumberFormat="1" applyFont="1" applyFill="1" applyBorder="1"/>
    <xf numFmtId="11" fontId="2" fillId="4" borderId="18" xfId="0" applyNumberFormat="1" applyFont="1" applyFill="1" applyBorder="1"/>
    <xf numFmtId="0" fontId="2" fillId="7" borderId="10" xfId="0" applyFont="1" applyFill="1" applyBorder="1"/>
    <xf numFmtId="0" fontId="2" fillId="7" borderId="11" xfId="0" applyFont="1" applyFill="1" applyBorder="1"/>
    <xf numFmtId="0" fontId="2" fillId="7" borderId="13" xfId="0" applyFont="1" applyFill="1" applyBorder="1"/>
    <xf numFmtId="0" fontId="2" fillId="7" borderId="14" xfId="0" applyFont="1" applyFill="1" applyBorder="1"/>
    <xf numFmtId="0" fontId="2" fillId="7" borderId="16" xfId="0" applyFont="1" applyFill="1" applyBorder="1"/>
    <xf numFmtId="0" fontId="2" fillId="7" borderId="17" xfId="0" applyFont="1" applyFill="1" applyBorder="1"/>
    <xf numFmtId="0" fontId="2" fillId="7" borderId="18" xfId="0" applyFont="1" applyFill="1" applyBorder="1"/>
    <xf numFmtId="0" fontId="2" fillId="6" borderId="10" xfId="0" applyFont="1" applyFill="1" applyBorder="1"/>
    <xf numFmtId="0" fontId="2" fillId="6" borderId="11" xfId="0" applyFont="1" applyFill="1" applyBorder="1"/>
    <xf numFmtId="0" fontId="2" fillId="6" borderId="13" xfId="0" applyFont="1" applyFill="1" applyBorder="1"/>
    <xf numFmtId="0" fontId="2" fillId="6" borderId="14" xfId="0" applyFont="1" applyFill="1" applyBorder="1"/>
    <xf numFmtId="4" fontId="2" fillId="0" borderId="5" xfId="0" applyNumberFormat="1" applyFont="1" applyBorder="1"/>
    <xf numFmtId="0" fontId="2" fillId="6" borderId="16" xfId="0" applyFont="1" applyFill="1" applyBorder="1"/>
    <xf numFmtId="0" fontId="2" fillId="6" borderId="17" xfId="0" applyFont="1" applyFill="1" applyBorder="1"/>
    <xf numFmtId="0" fontId="2" fillId="6" borderId="18" xfId="0" applyFont="1" applyFill="1" applyBorder="1"/>
    <xf numFmtId="2" fontId="2" fillId="6" borderId="3" xfId="0" applyNumberFormat="1" applyFont="1" applyFill="1" applyBorder="1"/>
    <xf numFmtId="11" fontId="2" fillId="0" borderId="9" xfId="0" applyNumberFormat="1" applyFont="1" applyBorder="1"/>
    <xf numFmtId="11" fontId="3" fillId="4" borderId="10" xfId="0" applyNumberFormat="1" applyFont="1" applyFill="1" applyBorder="1" applyAlignment="1">
      <alignment horizontal="left"/>
    </xf>
    <xf numFmtId="11" fontId="3" fillId="4" borderId="11" xfId="0" applyNumberFormat="1" applyFont="1" applyFill="1" applyBorder="1" applyAlignment="1">
      <alignment horizontal="right"/>
    </xf>
    <xf numFmtId="0" fontId="2" fillId="7" borderId="19" xfId="0" applyFont="1" applyFill="1" applyBorder="1"/>
    <xf numFmtId="0" fontId="2" fillId="7" borderId="20" xfId="0" applyFont="1" applyFill="1" applyBorder="1"/>
    <xf numFmtId="0" fontId="2" fillId="7" borderId="21" xfId="0" applyFont="1" applyFill="1" applyBorder="1"/>
    <xf numFmtId="11" fontId="2" fillId="7" borderId="20" xfId="0" applyNumberFormat="1" applyFont="1" applyFill="1" applyBorder="1"/>
    <xf numFmtId="11" fontId="2" fillId="7" borderId="17" xfId="0" applyNumberFormat="1" applyFont="1" applyFill="1" applyBorder="1"/>
    <xf numFmtId="11" fontId="2" fillId="6" borderId="17" xfId="0" applyNumberFormat="1" applyFont="1" applyFill="1" applyBorder="1"/>
    <xf numFmtId="0" fontId="2" fillId="8" borderId="19" xfId="0" applyFont="1" applyFill="1" applyBorder="1"/>
    <xf numFmtId="170" fontId="2" fillId="8" borderId="20" xfId="0" applyNumberFormat="1" applyFont="1" applyFill="1" applyBorder="1"/>
    <xf numFmtId="170" fontId="2" fillId="8" borderId="21" xfId="0" applyNumberFormat="1" applyFont="1" applyFill="1" applyBorder="1"/>
    <xf numFmtId="0" fontId="2" fillId="4" borderId="19" xfId="0" applyFont="1" applyFill="1" applyBorder="1"/>
    <xf numFmtId="4" fontId="3" fillId="6" borderId="10" xfId="0" applyNumberFormat="1" applyFont="1" applyFill="1" applyBorder="1" applyAlignment="1">
      <alignment horizontal="left"/>
    </xf>
    <xf numFmtId="0" fontId="2" fillId="8" borderId="11" xfId="0" applyFont="1" applyFill="1" applyBorder="1"/>
    <xf numFmtId="165" fontId="2" fillId="8" borderId="11" xfId="0" applyNumberFormat="1" applyFont="1" applyFill="1" applyBorder="1"/>
    <xf numFmtId="11" fontId="2" fillId="7" borderId="3" xfId="0" applyNumberFormat="1" applyFont="1" applyFill="1" applyBorder="1"/>
    <xf numFmtId="11" fontId="2" fillId="7" borderId="11" xfId="0" applyNumberFormat="1" applyFont="1" applyFill="1" applyBorder="1"/>
    <xf numFmtId="11" fontId="2" fillId="7" borderId="14" xfId="0" applyNumberFormat="1" applyFont="1" applyFill="1" applyBorder="1"/>
    <xf numFmtId="11" fontId="2" fillId="6" borderId="14" xfId="0" applyNumberFormat="1" applyFont="1" applyFill="1" applyBorder="1"/>
    <xf numFmtId="171" fontId="2" fillId="0" borderId="1" xfId="0" applyNumberFormat="1" applyFont="1"/>
    <xf numFmtId="172" fontId="2" fillId="0" borderId="1" xfId="0" applyNumberFormat="1" applyFont="1"/>
    <xf numFmtId="1" fontId="3" fillId="0" borderId="1" xfId="0" applyNumberFormat="1" applyFont="1" applyAlignment="1">
      <alignment horizontal="right"/>
    </xf>
    <xf numFmtId="11" fontId="2" fillId="0" borderId="12" xfId="0" applyNumberFormat="1" applyFont="1" applyBorder="1"/>
    <xf numFmtId="0" fontId="2" fillId="0" borderId="22" xfId="0" applyFont="1" applyBorder="1"/>
    <xf numFmtId="11" fontId="2" fillId="0" borderId="22" xfId="0" applyNumberFormat="1" applyFont="1" applyBorder="1"/>
    <xf numFmtId="4" fontId="2" fillId="0" borderId="22" xfId="0" applyNumberFormat="1" applyFont="1" applyBorder="1"/>
    <xf numFmtId="0" fontId="2" fillId="8" borderId="22" xfId="0" applyFont="1" applyFill="1" applyBorder="1"/>
    <xf numFmtId="0" fontId="2" fillId="2" borderId="22" xfId="0" applyFont="1" applyFill="1" applyBorder="1"/>
    <xf numFmtId="0" fontId="2" fillId="6" borderId="22" xfId="0" applyFont="1" applyFill="1" applyBorder="1"/>
    <xf numFmtId="170" fontId="2" fillId="8" borderId="22" xfId="0" applyNumberFormat="1" applyFont="1" applyFill="1" applyBorder="1"/>
    <xf numFmtId="11" fontId="2" fillId="2" borderId="22" xfId="0" applyNumberFormat="1" applyFont="1" applyFill="1" applyBorder="1"/>
    <xf numFmtId="11" fontId="3" fillId="4" borderId="22" xfId="0" applyNumberFormat="1" applyFont="1" applyFill="1" applyBorder="1" applyAlignment="1">
      <alignment horizontal="right"/>
    </xf>
    <xf numFmtId="11" fontId="2" fillId="4" borderId="22" xfId="0" applyNumberFormat="1" applyFont="1" applyFill="1" applyBorder="1"/>
    <xf numFmtId="2" fontId="2" fillId="6" borderId="22" xfId="0" applyNumberFormat="1" applyFont="1" applyFill="1" applyBorder="1"/>
    <xf numFmtId="11" fontId="2" fillId="6" borderId="22" xfId="0" applyNumberFormat="1" applyFont="1" applyFill="1" applyBorder="1"/>
    <xf numFmtId="4" fontId="3" fillId="6" borderId="22" xfId="0" applyNumberFormat="1" applyFont="1" applyFill="1" applyBorder="1" applyAlignment="1">
      <alignment horizontal="right"/>
    </xf>
    <xf numFmtId="165" fontId="2" fillId="8" borderId="22" xfId="0" applyNumberFormat="1" applyFont="1" applyFill="1" applyBorder="1"/>
    <xf numFmtId="0" fontId="2" fillId="9" borderId="22" xfId="0" applyFont="1" applyFill="1" applyBorder="1"/>
    <xf numFmtId="11" fontId="2" fillId="9" borderId="22" xfId="0" applyNumberFormat="1" applyFont="1" applyFill="1" applyBorder="1"/>
    <xf numFmtId="11" fontId="2" fillId="10" borderId="22" xfId="0" applyNumberFormat="1" applyFont="1" applyFill="1" applyBorder="1"/>
    <xf numFmtId="0" fontId="2" fillId="11" borderId="22" xfId="0" applyFont="1" applyFill="1" applyBorder="1"/>
    <xf numFmtId="0" fontId="2" fillId="8" borderId="23" xfId="0" applyFont="1" applyFill="1" applyBorder="1"/>
    <xf numFmtId="165" fontId="2" fillId="8" borderId="23" xfId="0" applyNumberFormat="1" applyFont="1" applyFill="1" applyBorder="1"/>
    <xf numFmtId="0" fontId="2" fillId="12" borderId="22" xfId="0" applyFont="1" applyFill="1" applyBorder="1"/>
    <xf numFmtId="11" fontId="2" fillId="12" borderId="22" xfId="0" applyNumberFormat="1" applyFont="1" applyFill="1" applyBorder="1"/>
    <xf numFmtId="11" fontId="2" fillId="0" borderId="11" xfId="0" applyNumberFormat="1" applyFont="1" applyBorder="1"/>
    <xf numFmtId="0" fontId="2" fillId="0" borderId="23" xfId="0" applyFont="1" applyBorder="1"/>
    <xf numFmtId="0" fontId="2" fillId="8" borderId="25" xfId="0" applyFont="1" applyFill="1" applyBorder="1"/>
    <xf numFmtId="0" fontId="2" fillId="8" borderId="26" xfId="0" applyFont="1" applyFill="1" applyBorder="1"/>
    <xf numFmtId="170" fontId="2" fillId="8" borderId="25" xfId="0" applyNumberFormat="1" applyFont="1" applyFill="1" applyBorder="1"/>
    <xf numFmtId="11" fontId="2" fillId="2" borderId="25" xfId="0" applyNumberFormat="1" applyFont="1" applyFill="1" applyBorder="1"/>
    <xf numFmtId="11" fontId="2" fillId="9" borderId="25" xfId="0" applyNumberFormat="1" applyFont="1" applyFill="1" applyBorder="1"/>
    <xf numFmtId="11" fontId="2" fillId="4" borderId="25" xfId="0" applyNumberFormat="1" applyFont="1" applyFill="1" applyBorder="1"/>
    <xf numFmtId="11" fontId="3" fillId="4" borderId="25" xfId="0" applyNumberFormat="1" applyFont="1" applyFill="1" applyBorder="1" applyAlignment="1">
      <alignment horizontal="right"/>
    </xf>
    <xf numFmtId="11" fontId="2" fillId="10" borderId="25" xfId="0" applyNumberFormat="1" applyFont="1" applyFill="1" applyBorder="1"/>
    <xf numFmtId="2" fontId="2" fillId="6" borderId="25" xfId="0" applyNumberFormat="1" applyFont="1" applyFill="1" applyBorder="1"/>
    <xf numFmtId="11" fontId="2" fillId="6" borderId="25" xfId="0" applyNumberFormat="1" applyFont="1" applyFill="1" applyBorder="1"/>
    <xf numFmtId="0" fontId="2" fillId="6" borderId="25" xfId="0" applyFont="1" applyFill="1" applyBorder="1"/>
    <xf numFmtId="0" fontId="2" fillId="11" borderId="25" xfId="0" applyFont="1" applyFill="1" applyBorder="1"/>
    <xf numFmtId="11" fontId="2" fillId="11" borderId="25" xfId="0" applyNumberFormat="1" applyFont="1" applyFill="1" applyBorder="1"/>
    <xf numFmtId="3" fontId="3" fillId="0" borderId="24" xfId="0" applyNumberFormat="1" applyFont="1" applyBorder="1" applyAlignment="1">
      <alignment horizontal="left"/>
    </xf>
    <xf numFmtId="0" fontId="0" fillId="0" borderId="24" xfId="0" applyBorder="1"/>
    <xf numFmtId="3" fontId="2" fillId="0" borderId="24" xfId="0" applyNumberFormat="1" applyFont="1" applyBorder="1"/>
    <xf numFmtId="4" fontId="3" fillId="0" borderId="24" xfId="0" applyNumberFormat="1" applyFont="1" applyBorder="1" applyAlignment="1">
      <alignment horizontal="right"/>
    </xf>
    <xf numFmtId="164" fontId="3" fillId="0" borderId="24" xfId="0" applyNumberFormat="1" applyFont="1" applyBorder="1" applyAlignment="1">
      <alignment horizontal="left"/>
    </xf>
    <xf numFmtId="164" fontId="3" fillId="0" borderId="27" xfId="0" applyNumberFormat="1" applyFont="1" applyBorder="1" applyAlignment="1">
      <alignment horizontal="left"/>
    </xf>
    <xf numFmtId="11" fontId="3" fillId="0" borderId="24" xfId="0" applyNumberFormat="1" applyFont="1" applyBorder="1" applyAlignment="1">
      <alignment horizontal="left"/>
    </xf>
    <xf numFmtId="0" fontId="2" fillId="0" borderId="24" xfId="0" applyFont="1" applyBorder="1"/>
    <xf numFmtId="0" fontId="2" fillId="8" borderId="28" xfId="0" applyFont="1" applyFill="1" applyBorder="1"/>
    <xf numFmtId="0" fontId="2" fillId="8" borderId="29" xfId="0" applyFont="1" applyFill="1" applyBorder="1"/>
    <xf numFmtId="0" fontId="2" fillId="2" borderId="28" xfId="0" applyFont="1" applyFill="1" applyBorder="1"/>
    <xf numFmtId="11" fontId="3" fillId="4" borderId="28" xfId="0" applyNumberFormat="1" applyFont="1" applyFill="1" applyBorder="1" applyAlignment="1">
      <alignment horizontal="left"/>
    </xf>
    <xf numFmtId="4" fontId="3" fillId="6" borderId="28" xfId="0" applyNumberFormat="1" applyFont="1" applyFill="1" applyBorder="1" applyAlignment="1">
      <alignment horizontal="left"/>
    </xf>
    <xf numFmtId="0" fontId="2" fillId="2" borderId="30" xfId="0" applyFont="1" applyFill="1" applyBorder="1" applyAlignment="1">
      <alignment horizontal="center"/>
    </xf>
    <xf numFmtId="0" fontId="2" fillId="9" borderId="30" xfId="0" applyFont="1" applyFill="1" applyBorder="1" applyAlignment="1">
      <alignment horizontal="center"/>
    </xf>
    <xf numFmtId="172" fontId="0" fillId="0" borderId="0" xfId="0" applyNumberFormat="1" applyBorder="1"/>
    <xf numFmtId="0" fontId="2" fillId="0" borderId="24" xfId="0" quotePrefix="1" applyFont="1" applyBorder="1"/>
    <xf numFmtId="167" fontId="3" fillId="4" borderId="25" xfId="0" applyNumberFormat="1" applyFont="1" applyFill="1" applyBorder="1" applyAlignment="1">
      <alignment horizontal="right"/>
    </xf>
    <xf numFmtId="167" fontId="3" fillId="4" borderId="22" xfId="0" applyNumberFormat="1" applyFont="1" applyFill="1" applyBorder="1" applyAlignment="1">
      <alignment horizontal="right"/>
    </xf>
    <xf numFmtId="173" fontId="3" fillId="4" borderId="25" xfId="0" applyNumberFormat="1" applyFont="1" applyFill="1" applyBorder="1" applyAlignment="1">
      <alignment horizontal="right"/>
    </xf>
    <xf numFmtId="173" fontId="3" fillId="4" borderId="22" xfId="0" applyNumberFormat="1" applyFont="1" applyFill="1" applyBorder="1" applyAlignment="1">
      <alignment horizontal="right"/>
    </xf>
    <xf numFmtId="165" fontId="2" fillId="8" borderId="26" xfId="0" applyNumberFormat="1" applyFont="1" applyFill="1" applyBorder="1"/>
    <xf numFmtId="11" fontId="2" fillId="8" borderId="25" xfId="0" applyNumberFormat="1" applyFont="1" applyFill="1" applyBorder="1"/>
    <xf numFmtId="11" fontId="2" fillId="8" borderId="5" xfId="0" applyNumberFormat="1" applyFont="1" applyFill="1" applyBorder="1"/>
    <xf numFmtId="11" fontId="0" fillId="0" borderId="1" xfId="0" applyNumberFormat="1"/>
    <xf numFmtId="0" fontId="5" fillId="0" borderId="0" xfId="0" applyFont="1" applyBorder="1" applyAlignment="1">
      <alignment horizontal="center" vertical="center" readingOrder="1"/>
    </xf>
    <xf numFmtId="166" fontId="2" fillId="8" borderId="5" xfId="0" applyNumberFormat="1" applyFont="1" applyFill="1" applyBorder="1"/>
    <xf numFmtId="2" fontId="2" fillId="8" borderId="5" xfId="0" applyNumberFormat="1" applyFont="1" applyFill="1" applyBorder="1"/>
    <xf numFmtId="4" fontId="0" fillId="0" borderId="0" xfId="0" applyNumberFormat="1" applyBorder="1"/>
    <xf numFmtId="166" fontId="2" fillId="0" borderId="3" xfId="0" applyNumberFormat="1" applyFont="1" applyBorder="1"/>
    <xf numFmtId="174" fontId="2" fillId="0" borderId="1" xfId="0" applyNumberFormat="1" applyFont="1"/>
    <xf numFmtId="172" fontId="2" fillId="0" borderId="0" xfId="0" applyNumberFormat="1" applyFont="1" applyBorder="1"/>
    <xf numFmtId="165" fontId="2" fillId="8" borderId="25" xfId="0" applyNumberFormat="1" applyFont="1" applyFill="1" applyBorder="1"/>
    <xf numFmtId="0" fontId="2" fillId="8" borderId="29" xfId="0" quotePrefix="1" applyFont="1" applyFill="1" applyBorder="1"/>
    <xf numFmtId="0" fontId="0" fillId="8" borderId="5" xfId="0" applyFill="1" applyBorder="1"/>
    <xf numFmtId="165" fontId="2" fillId="8" borderId="5" xfId="0" applyNumberFormat="1" applyFont="1" applyFill="1" applyBorder="1"/>
    <xf numFmtId="0" fontId="2" fillId="6" borderId="1" xfId="0" applyFont="1" applyFill="1"/>
    <xf numFmtId="11" fontId="2" fillId="6" borderId="1" xfId="0" applyNumberFormat="1" applyFont="1" applyFill="1"/>
    <xf numFmtId="0" fontId="2" fillId="8" borderId="7" xfId="0" quotePrefix="1" applyFont="1" applyFill="1" applyBorder="1"/>
    <xf numFmtId="9" fontId="2" fillId="8" borderId="7" xfId="0" quotePrefix="1" applyNumberFormat="1" applyFont="1" applyFill="1" applyBorder="1"/>
    <xf numFmtId="0" fontId="2" fillId="0" borderId="1" xfId="0" applyFont="1" applyAlignment="1">
      <alignment horizontal="center"/>
    </xf>
    <xf numFmtId="0" fontId="2" fillId="6" borderId="29" xfId="0" applyFont="1" applyFill="1" applyBorder="1" applyAlignment="1">
      <alignment horizontal="center"/>
    </xf>
    <xf numFmtId="0" fontId="2" fillId="6" borderId="30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11" borderId="29" xfId="0" applyFont="1" applyFill="1" applyBorder="1" applyAlignment="1">
      <alignment horizontal="center"/>
    </xf>
    <xf numFmtId="0" fontId="2" fillId="11" borderId="30" xfId="0" applyFont="1" applyFill="1" applyBorder="1" applyAlignment="1">
      <alignment horizontal="center"/>
    </xf>
    <xf numFmtId="0" fontId="2" fillId="11" borderId="31" xfId="0" applyFont="1" applyFill="1" applyBorder="1" applyAlignment="1">
      <alignment horizontal="center"/>
    </xf>
    <xf numFmtId="0" fontId="2" fillId="9" borderId="29" xfId="0" applyFont="1" applyFill="1" applyBorder="1" applyAlignment="1">
      <alignment horizontal="center"/>
    </xf>
    <xf numFmtId="0" fontId="2" fillId="9" borderId="31" xfId="0" applyFont="1" applyFill="1" applyBorder="1" applyAlignment="1">
      <alignment horizontal="center"/>
    </xf>
    <xf numFmtId="0" fontId="2" fillId="10" borderId="29" xfId="0" applyFont="1" applyFill="1" applyBorder="1" applyAlignment="1">
      <alignment horizontal="center"/>
    </xf>
    <xf numFmtId="0" fontId="2" fillId="10" borderId="31" xfId="0" applyFont="1" applyFill="1" applyBorder="1" applyAlignment="1">
      <alignment horizontal="center"/>
    </xf>
    <xf numFmtId="0" fontId="2" fillId="8" borderId="29" xfId="0" applyFont="1" applyFill="1" applyBorder="1" applyAlignment="1">
      <alignment horizontal="center"/>
    </xf>
    <xf numFmtId="0" fontId="2" fillId="8" borderId="30" xfId="0" applyFont="1" applyFill="1" applyBorder="1" applyAlignment="1">
      <alignment horizontal="center"/>
    </xf>
    <xf numFmtId="0" fontId="2" fillId="8" borderId="31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0" fontId="2" fillId="4" borderId="29" xfId="0" applyFont="1" applyFill="1" applyBorder="1" applyAlignment="1">
      <alignment horizontal="center"/>
    </xf>
    <xf numFmtId="0" fontId="2" fillId="4" borderId="31" xfId="0" applyFont="1" applyFill="1" applyBorder="1" applyAlignment="1">
      <alignment horizontal="center"/>
    </xf>
    <xf numFmtId="11" fontId="3" fillId="4" borderId="29" xfId="0" applyNumberFormat="1" applyFont="1" applyFill="1" applyBorder="1" applyAlignment="1">
      <alignment horizontal="center"/>
    </xf>
    <xf numFmtId="11" fontId="3" fillId="4" borderId="30" xfId="0" applyNumberFormat="1" applyFont="1" applyFill="1" applyBorder="1" applyAlignment="1">
      <alignment horizontal="center"/>
    </xf>
    <xf numFmtId="11" fontId="3" fillId="4" borderId="31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10.xml.rels><?xml version="1.0" encoding="UTF-8" standalone="yes"?>
<Relationships xmlns="http://schemas.openxmlformats.org/package/2006/relationships"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11.xml.rels><?xml version="1.0" encoding="UTF-8" standalone="yes"?>
<Relationships xmlns="http://schemas.openxmlformats.org/package/2006/relationships"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12.xml.rels><?xml version="1.0" encoding="UTF-8" standalone="yes"?>
<Relationships xmlns="http://schemas.openxmlformats.org/package/2006/relationships"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113.xml.rels><?xml version="1.0" encoding="UTF-8" standalone="yes"?>
<Relationships xmlns="http://schemas.openxmlformats.org/package/2006/relationships"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_rels/chart114.xml.rels><?xml version="1.0" encoding="UTF-8" standalone="yes"?>
<Relationships xmlns="http://schemas.openxmlformats.org/package/2006/relationships"><Relationship Id="rId2" Type="http://schemas.microsoft.com/office/2011/relationships/chartColorStyle" Target="colors114.xml"/><Relationship Id="rId1" Type="http://schemas.microsoft.com/office/2011/relationships/chartStyle" Target="style114.xml"/></Relationships>
</file>

<file path=xl/charts/_rels/chart115.xml.rels><?xml version="1.0" encoding="UTF-8" standalone="yes"?>
<Relationships xmlns="http://schemas.openxmlformats.org/package/2006/relationships"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_rels/chart1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116.xml"/><Relationship Id="rId1" Type="http://schemas.microsoft.com/office/2011/relationships/chartStyle" Target="style116.xml"/></Relationships>
</file>

<file path=xl/charts/_rels/chart117.xml.rels><?xml version="1.0" encoding="UTF-8" standalone="yes"?>
<Relationships xmlns="http://schemas.openxmlformats.org/package/2006/relationships"><Relationship Id="rId2" Type="http://schemas.microsoft.com/office/2011/relationships/chartColorStyle" Target="colors117.xml"/><Relationship Id="rId1" Type="http://schemas.microsoft.com/office/2011/relationships/chartStyle" Target="style117.xml"/></Relationships>
</file>

<file path=xl/charts/_rels/chart118.xml.rels><?xml version="1.0" encoding="UTF-8" standalone="yes"?>
<Relationships xmlns="http://schemas.openxmlformats.org/package/2006/relationships"><Relationship Id="rId2" Type="http://schemas.microsoft.com/office/2011/relationships/chartColorStyle" Target="colors118.xml"/><Relationship Id="rId1" Type="http://schemas.microsoft.com/office/2011/relationships/chartStyle" Target="style118.xml"/></Relationships>
</file>

<file path=xl/charts/_rels/chart119.xml.rels><?xml version="1.0" encoding="UTF-8" standalone="yes"?>
<Relationships xmlns="http://schemas.openxmlformats.org/package/2006/relationships"><Relationship Id="rId2" Type="http://schemas.microsoft.com/office/2011/relationships/chartColorStyle" Target="colors119.xml"/><Relationship Id="rId1" Type="http://schemas.microsoft.com/office/2011/relationships/chartStyle" Target="style119.xml"/></Relationships>
</file>

<file path=xl/charts/_rels/chart120.xml.rels><?xml version="1.0" encoding="UTF-8" standalone="yes"?>
<Relationships xmlns="http://schemas.openxmlformats.org/package/2006/relationships"><Relationship Id="rId2" Type="http://schemas.microsoft.com/office/2011/relationships/chartColorStyle" Target="colors120.xml"/><Relationship Id="rId1" Type="http://schemas.microsoft.com/office/2011/relationships/chartStyle" Target="style120.xml"/></Relationships>
</file>

<file path=xl/charts/_rels/chart121.xml.rels><?xml version="1.0" encoding="UTF-8" standalone="yes"?>
<Relationships xmlns="http://schemas.openxmlformats.org/package/2006/relationships"><Relationship Id="rId2" Type="http://schemas.microsoft.com/office/2011/relationships/chartColorStyle" Target="colors121.xml"/><Relationship Id="rId1" Type="http://schemas.microsoft.com/office/2011/relationships/chartStyle" Target="style121.xml"/></Relationships>
</file>

<file path=xl/charts/_rels/chart122.xml.rels><?xml version="1.0" encoding="UTF-8" standalone="yes"?>
<Relationships xmlns="http://schemas.openxmlformats.org/package/2006/relationships"><Relationship Id="rId2" Type="http://schemas.microsoft.com/office/2011/relationships/chartColorStyle" Target="colors122.xml"/><Relationship Id="rId1" Type="http://schemas.microsoft.com/office/2011/relationships/chartStyle" Target="style122.xml"/></Relationships>
</file>

<file path=xl/charts/_rels/chart123.xml.rels><?xml version="1.0" encoding="UTF-8" standalone="yes"?>
<Relationships xmlns="http://schemas.openxmlformats.org/package/2006/relationships"><Relationship Id="rId2" Type="http://schemas.microsoft.com/office/2011/relationships/chartColorStyle" Target="colors123.xml"/><Relationship Id="rId1" Type="http://schemas.microsoft.com/office/2011/relationships/chartStyle" Target="style123.xml"/></Relationships>
</file>

<file path=xl/charts/_rels/chart124.xml.rels><?xml version="1.0" encoding="UTF-8" standalone="yes"?>
<Relationships xmlns="http://schemas.openxmlformats.org/package/2006/relationships"><Relationship Id="rId2" Type="http://schemas.microsoft.com/office/2011/relationships/chartColorStyle" Target="colors124.xml"/><Relationship Id="rId1" Type="http://schemas.microsoft.com/office/2011/relationships/chartStyle" Target="style124.xml"/></Relationships>
</file>

<file path=xl/charts/_rels/chart12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125.xml"/><Relationship Id="rId1" Type="http://schemas.microsoft.com/office/2011/relationships/chartStyle" Target="style125.xml"/></Relationships>
</file>

<file path=xl/charts/_rels/chart126.xml.rels><?xml version="1.0" encoding="UTF-8" standalone="yes"?>
<Relationships xmlns="http://schemas.openxmlformats.org/package/2006/relationships"><Relationship Id="rId2" Type="http://schemas.microsoft.com/office/2011/relationships/chartColorStyle" Target="colors126.xml"/><Relationship Id="rId1" Type="http://schemas.microsoft.com/office/2011/relationships/chartStyle" Target="style126.xml"/></Relationships>
</file>

<file path=xl/charts/_rels/chart12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127.xml"/><Relationship Id="rId1" Type="http://schemas.microsoft.com/office/2011/relationships/chartStyle" Target="style127.xml"/></Relationships>
</file>

<file path=xl/charts/_rels/chart128.xml.rels><?xml version="1.0" encoding="UTF-8" standalone="yes"?>
<Relationships xmlns="http://schemas.openxmlformats.org/package/2006/relationships"><Relationship Id="rId2" Type="http://schemas.microsoft.com/office/2011/relationships/chartColorStyle" Target="colors128.xml"/><Relationship Id="rId1" Type="http://schemas.microsoft.com/office/2011/relationships/chartStyle" Target="style128.xml"/></Relationships>
</file>

<file path=xl/charts/_rels/chart129.xml.rels><?xml version="1.0" encoding="UTF-8" standalone="yes"?>
<Relationships xmlns="http://schemas.openxmlformats.org/package/2006/relationships"><Relationship Id="rId2" Type="http://schemas.microsoft.com/office/2011/relationships/chartColorStyle" Target="colors129.xml"/><Relationship Id="rId1" Type="http://schemas.microsoft.com/office/2011/relationships/chartStyle" Target="style129.xml"/></Relationships>
</file>

<file path=xl/charts/_rels/chart130.xml.rels><?xml version="1.0" encoding="UTF-8" standalone="yes"?>
<Relationships xmlns="http://schemas.openxmlformats.org/package/2006/relationships"><Relationship Id="rId2" Type="http://schemas.microsoft.com/office/2011/relationships/chartColorStyle" Target="colors130.xml"/><Relationship Id="rId1" Type="http://schemas.microsoft.com/office/2011/relationships/chartStyle" Target="style130.xml"/></Relationships>
</file>

<file path=xl/charts/_rels/chart131.xml.rels><?xml version="1.0" encoding="UTF-8" standalone="yes"?>
<Relationships xmlns="http://schemas.openxmlformats.org/package/2006/relationships"><Relationship Id="rId2" Type="http://schemas.microsoft.com/office/2011/relationships/chartColorStyle" Target="colors131.xml"/><Relationship Id="rId1" Type="http://schemas.microsoft.com/office/2011/relationships/chartStyle" Target="style131.xml"/></Relationships>
</file>

<file path=xl/charts/_rels/chart13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132.xml"/><Relationship Id="rId1" Type="http://schemas.microsoft.com/office/2011/relationships/chartStyle" Target="style132.xml"/></Relationships>
</file>

<file path=xl/charts/_rels/chart133.xml.rels><?xml version="1.0" encoding="UTF-8" standalone="yes"?>
<Relationships xmlns="http://schemas.openxmlformats.org/package/2006/relationships"><Relationship Id="rId2" Type="http://schemas.microsoft.com/office/2011/relationships/chartColorStyle" Target="colors133.xml"/><Relationship Id="rId1" Type="http://schemas.microsoft.com/office/2011/relationships/chartStyle" Target="style133.xml"/></Relationships>
</file>

<file path=xl/charts/_rels/chart134.xml.rels><?xml version="1.0" encoding="UTF-8" standalone="yes"?>
<Relationships xmlns="http://schemas.openxmlformats.org/package/2006/relationships"><Relationship Id="rId2" Type="http://schemas.microsoft.com/office/2011/relationships/chartColorStyle" Target="colors134.xml"/><Relationship Id="rId1" Type="http://schemas.microsoft.com/office/2011/relationships/chartStyle" Target="style134.xml"/></Relationships>
</file>

<file path=xl/charts/_rels/chart135.xml.rels><?xml version="1.0" encoding="UTF-8" standalone="yes"?>
<Relationships xmlns="http://schemas.openxmlformats.org/package/2006/relationships"><Relationship Id="rId2" Type="http://schemas.microsoft.com/office/2011/relationships/chartColorStyle" Target="colors135.xml"/><Relationship Id="rId1" Type="http://schemas.microsoft.com/office/2011/relationships/chartStyle" Target="style135.xml"/></Relationships>
</file>

<file path=xl/charts/_rels/chart136.xml.rels><?xml version="1.0" encoding="UTF-8" standalone="yes"?>
<Relationships xmlns="http://schemas.openxmlformats.org/package/2006/relationships"><Relationship Id="rId2" Type="http://schemas.microsoft.com/office/2011/relationships/chartColorStyle" Target="colors136.xml"/><Relationship Id="rId1" Type="http://schemas.microsoft.com/office/2011/relationships/chartStyle" Target="style136.xml"/></Relationships>
</file>

<file path=xl/charts/_rels/chart137.xml.rels><?xml version="1.0" encoding="UTF-8" standalone="yes"?>
<Relationships xmlns="http://schemas.openxmlformats.org/package/2006/relationships"><Relationship Id="rId2" Type="http://schemas.microsoft.com/office/2011/relationships/chartColorStyle" Target="colors137.xml"/><Relationship Id="rId1" Type="http://schemas.microsoft.com/office/2011/relationships/chartStyle" Target="style137.xml"/></Relationships>
</file>

<file path=xl/charts/_rels/chart138.xml.rels><?xml version="1.0" encoding="UTF-8" standalone="yes"?>
<Relationships xmlns="http://schemas.openxmlformats.org/package/2006/relationships"><Relationship Id="rId2" Type="http://schemas.microsoft.com/office/2011/relationships/chartColorStyle" Target="colors138.xml"/><Relationship Id="rId1" Type="http://schemas.microsoft.com/office/2011/relationships/chartStyle" Target="style138.xml"/></Relationships>
</file>

<file path=xl/charts/_rels/chart139.xml.rels><?xml version="1.0" encoding="UTF-8" standalone="yes"?>
<Relationships xmlns="http://schemas.openxmlformats.org/package/2006/relationships"><Relationship Id="rId2" Type="http://schemas.microsoft.com/office/2011/relationships/chartColorStyle" Target="colors139.xml"/><Relationship Id="rId1" Type="http://schemas.microsoft.com/office/2011/relationships/chartStyle" Target="style139.xml"/></Relationships>
</file>

<file path=xl/charts/_rels/chart140.xml.rels><?xml version="1.0" encoding="UTF-8" standalone="yes"?>
<Relationships xmlns="http://schemas.openxmlformats.org/package/2006/relationships"><Relationship Id="rId2" Type="http://schemas.microsoft.com/office/2011/relationships/chartColorStyle" Target="colors140.xml"/><Relationship Id="rId1" Type="http://schemas.microsoft.com/office/2011/relationships/chartStyle" Target="style140.xml"/></Relationships>
</file>

<file path=xl/charts/_rels/chart141.xml.rels><?xml version="1.0" encoding="UTF-8" standalone="yes"?>
<Relationships xmlns="http://schemas.openxmlformats.org/package/2006/relationships"><Relationship Id="rId2" Type="http://schemas.microsoft.com/office/2011/relationships/chartColorStyle" Target="colors141.xml"/><Relationship Id="rId1" Type="http://schemas.microsoft.com/office/2011/relationships/chartStyle" Target="style141.xml"/></Relationships>
</file>

<file path=xl/charts/_rels/chart142.xml.rels><?xml version="1.0" encoding="UTF-8" standalone="yes"?>
<Relationships xmlns="http://schemas.openxmlformats.org/package/2006/relationships"><Relationship Id="rId2" Type="http://schemas.microsoft.com/office/2011/relationships/chartColorStyle" Target="colors142.xml"/><Relationship Id="rId1" Type="http://schemas.microsoft.com/office/2011/relationships/chartStyle" Target="style142.xml"/></Relationships>
</file>

<file path=xl/charts/_rels/chart143.xml.rels><?xml version="1.0" encoding="UTF-8" standalone="yes"?>
<Relationships xmlns="http://schemas.openxmlformats.org/package/2006/relationships"><Relationship Id="rId2" Type="http://schemas.microsoft.com/office/2011/relationships/chartColorStyle" Target="colors143.xml"/><Relationship Id="rId1" Type="http://schemas.microsoft.com/office/2011/relationships/chartStyle" Target="style143.xml"/></Relationships>
</file>

<file path=xl/charts/_rels/chart144.xml.rels><?xml version="1.0" encoding="UTF-8" standalone="yes"?>
<Relationships xmlns="http://schemas.openxmlformats.org/package/2006/relationships"><Relationship Id="rId2" Type="http://schemas.microsoft.com/office/2011/relationships/chartColorStyle" Target="colors144.xml"/><Relationship Id="rId1" Type="http://schemas.microsoft.com/office/2011/relationships/chartStyle" Target="style144.xml"/></Relationships>
</file>

<file path=xl/charts/_rels/chart145.xml.rels><?xml version="1.0" encoding="UTF-8" standalone="yes"?>
<Relationships xmlns="http://schemas.openxmlformats.org/package/2006/relationships"><Relationship Id="rId2" Type="http://schemas.microsoft.com/office/2011/relationships/chartColorStyle" Target="colors145.xml"/><Relationship Id="rId1" Type="http://schemas.microsoft.com/office/2011/relationships/chartStyle" Target="style145.xml"/></Relationships>
</file>

<file path=xl/charts/_rels/chart146.xml.rels><?xml version="1.0" encoding="UTF-8" standalone="yes"?>
<Relationships xmlns="http://schemas.openxmlformats.org/package/2006/relationships"><Relationship Id="rId2" Type="http://schemas.microsoft.com/office/2011/relationships/chartColorStyle" Target="colors146.xml"/><Relationship Id="rId1" Type="http://schemas.microsoft.com/office/2011/relationships/chartStyle" Target="style146.xml"/></Relationships>
</file>

<file path=xl/charts/_rels/chart147.xml.rels><?xml version="1.0" encoding="UTF-8" standalone="yes"?>
<Relationships xmlns="http://schemas.openxmlformats.org/package/2006/relationships"><Relationship Id="rId2" Type="http://schemas.microsoft.com/office/2011/relationships/chartColorStyle" Target="colors147.xml"/><Relationship Id="rId1" Type="http://schemas.microsoft.com/office/2011/relationships/chartStyle" Target="style147.xml"/></Relationships>
</file>

<file path=xl/charts/_rels/chart148.xml.rels><?xml version="1.0" encoding="UTF-8" standalone="yes"?>
<Relationships xmlns="http://schemas.openxmlformats.org/package/2006/relationships"><Relationship Id="rId2" Type="http://schemas.microsoft.com/office/2011/relationships/chartColorStyle" Target="colors148.xml"/><Relationship Id="rId1" Type="http://schemas.microsoft.com/office/2011/relationships/chartStyle" Target="style148.xml"/></Relationships>
</file>

<file path=xl/charts/_rels/chart149.xml.rels><?xml version="1.0" encoding="UTF-8" standalone="yes"?>
<Relationships xmlns="http://schemas.openxmlformats.org/package/2006/relationships"><Relationship Id="rId2" Type="http://schemas.microsoft.com/office/2011/relationships/chartColorStyle" Target="colors149.xml"/><Relationship Id="rId1" Type="http://schemas.microsoft.com/office/2011/relationships/chartStyle" Target="style149.xml"/></Relationships>
</file>

<file path=xl/charts/_rels/chart150.xml.rels><?xml version="1.0" encoding="UTF-8" standalone="yes"?>
<Relationships xmlns="http://schemas.openxmlformats.org/package/2006/relationships"><Relationship Id="rId2" Type="http://schemas.microsoft.com/office/2011/relationships/chartColorStyle" Target="colors150.xml"/><Relationship Id="rId1" Type="http://schemas.microsoft.com/office/2011/relationships/chartStyle" Target="style150.xml"/></Relationships>
</file>

<file path=xl/charts/_rels/chart151.xml.rels><?xml version="1.0" encoding="UTF-8" standalone="yes"?>
<Relationships xmlns="http://schemas.openxmlformats.org/package/2006/relationships"><Relationship Id="rId2" Type="http://schemas.microsoft.com/office/2011/relationships/chartColorStyle" Target="colors151.xml"/><Relationship Id="rId1" Type="http://schemas.microsoft.com/office/2011/relationships/chartStyle" Target="style151.xml"/></Relationships>
</file>

<file path=xl/charts/_rels/chart152.xml.rels><?xml version="1.0" encoding="UTF-8" standalone="yes"?>
<Relationships xmlns="http://schemas.openxmlformats.org/package/2006/relationships"><Relationship Id="rId2" Type="http://schemas.microsoft.com/office/2011/relationships/chartColorStyle" Target="colors152.xml"/><Relationship Id="rId1" Type="http://schemas.microsoft.com/office/2011/relationships/chartStyle" Target="style152.xml"/></Relationships>
</file>

<file path=xl/charts/_rels/chart153.xml.rels><?xml version="1.0" encoding="UTF-8" standalone="yes"?>
<Relationships xmlns="http://schemas.openxmlformats.org/package/2006/relationships"><Relationship Id="rId2" Type="http://schemas.microsoft.com/office/2011/relationships/chartColorStyle" Target="colors153.xml"/><Relationship Id="rId1" Type="http://schemas.microsoft.com/office/2011/relationships/chartStyle" Target="style153.xml"/></Relationships>
</file>

<file path=xl/charts/_rels/chart154.xml.rels><?xml version="1.0" encoding="UTF-8" standalone="yes"?>
<Relationships xmlns="http://schemas.openxmlformats.org/package/2006/relationships"><Relationship Id="rId2" Type="http://schemas.microsoft.com/office/2011/relationships/chartColorStyle" Target="colors154.xml"/><Relationship Id="rId1" Type="http://schemas.microsoft.com/office/2011/relationships/chartStyle" Target="style154.xml"/></Relationships>
</file>

<file path=xl/charts/_rels/chart155.xml.rels><?xml version="1.0" encoding="UTF-8" standalone="yes"?>
<Relationships xmlns="http://schemas.openxmlformats.org/package/2006/relationships"><Relationship Id="rId2" Type="http://schemas.microsoft.com/office/2011/relationships/chartColorStyle" Target="colors155.xml"/><Relationship Id="rId1" Type="http://schemas.microsoft.com/office/2011/relationships/chartStyle" Target="style155.xml"/></Relationships>
</file>

<file path=xl/charts/_rels/chart156.xml.rels><?xml version="1.0" encoding="UTF-8" standalone="yes"?>
<Relationships xmlns="http://schemas.openxmlformats.org/package/2006/relationships"><Relationship Id="rId2" Type="http://schemas.microsoft.com/office/2011/relationships/chartColorStyle" Target="colors156.xml"/><Relationship Id="rId1" Type="http://schemas.microsoft.com/office/2011/relationships/chartStyle" Target="style156.xml"/></Relationships>
</file>

<file path=xl/charts/_rels/chart157.xml.rels><?xml version="1.0" encoding="UTF-8" standalone="yes"?>
<Relationships xmlns="http://schemas.openxmlformats.org/package/2006/relationships"><Relationship Id="rId2" Type="http://schemas.microsoft.com/office/2011/relationships/chartColorStyle" Target="colors157.xml"/><Relationship Id="rId1" Type="http://schemas.microsoft.com/office/2011/relationships/chartStyle" Target="style157.xml"/></Relationships>
</file>

<file path=xl/charts/_rels/chart158.xml.rels><?xml version="1.0" encoding="UTF-8" standalone="yes"?>
<Relationships xmlns="http://schemas.openxmlformats.org/package/2006/relationships"><Relationship Id="rId2" Type="http://schemas.microsoft.com/office/2011/relationships/chartColorStyle" Target="colors158.xml"/><Relationship Id="rId1" Type="http://schemas.microsoft.com/office/2011/relationships/chartStyle" Target="style158.xml"/></Relationships>
</file>

<file path=xl/charts/_rels/chart159.xml.rels><?xml version="1.0" encoding="UTF-8" standalone="yes"?>
<Relationships xmlns="http://schemas.openxmlformats.org/package/2006/relationships"><Relationship Id="rId2" Type="http://schemas.microsoft.com/office/2011/relationships/chartColorStyle" Target="colors159.xml"/><Relationship Id="rId1" Type="http://schemas.microsoft.com/office/2011/relationships/chartStyle" Target="style159.xml"/></Relationships>
</file>

<file path=xl/charts/_rels/chart160.xml.rels><?xml version="1.0" encoding="UTF-8" standalone="yes"?>
<Relationships xmlns="http://schemas.openxmlformats.org/package/2006/relationships"><Relationship Id="rId2" Type="http://schemas.microsoft.com/office/2011/relationships/chartColorStyle" Target="colors160.xml"/><Relationship Id="rId1" Type="http://schemas.microsoft.com/office/2011/relationships/chartStyle" Target="style160.xml"/></Relationships>
</file>

<file path=xl/charts/_rels/chart161.xml.rels><?xml version="1.0" encoding="UTF-8" standalone="yes"?>
<Relationships xmlns="http://schemas.openxmlformats.org/package/2006/relationships"><Relationship Id="rId2" Type="http://schemas.microsoft.com/office/2011/relationships/chartColorStyle" Target="colors161.xml"/><Relationship Id="rId1" Type="http://schemas.microsoft.com/office/2011/relationships/chartStyle" Target="style161.xml"/></Relationships>
</file>

<file path=xl/charts/_rels/chart162.xml.rels><?xml version="1.0" encoding="UTF-8" standalone="yes"?>
<Relationships xmlns="http://schemas.openxmlformats.org/package/2006/relationships"><Relationship Id="rId2" Type="http://schemas.microsoft.com/office/2011/relationships/chartColorStyle" Target="colors162.xml"/><Relationship Id="rId1" Type="http://schemas.microsoft.com/office/2011/relationships/chartStyle" Target="style162.xml"/></Relationships>
</file>

<file path=xl/charts/_rels/chart163.xml.rels><?xml version="1.0" encoding="UTF-8" standalone="yes"?>
<Relationships xmlns="http://schemas.openxmlformats.org/package/2006/relationships"><Relationship Id="rId2" Type="http://schemas.microsoft.com/office/2011/relationships/chartColorStyle" Target="colors163.xml"/><Relationship Id="rId1" Type="http://schemas.microsoft.com/office/2011/relationships/chartStyle" Target="style163.xml"/></Relationships>
</file>

<file path=xl/charts/_rels/chart164.xml.rels><?xml version="1.0" encoding="UTF-8" standalone="yes"?>
<Relationships xmlns="http://schemas.openxmlformats.org/package/2006/relationships"><Relationship Id="rId2" Type="http://schemas.microsoft.com/office/2011/relationships/chartColorStyle" Target="colors164.xml"/><Relationship Id="rId1" Type="http://schemas.microsoft.com/office/2011/relationships/chartStyle" Target="style164.xml"/></Relationships>
</file>

<file path=xl/charts/_rels/chart165.xml.rels><?xml version="1.0" encoding="UTF-8" standalone="yes"?>
<Relationships xmlns="http://schemas.openxmlformats.org/package/2006/relationships"><Relationship Id="rId2" Type="http://schemas.microsoft.com/office/2011/relationships/chartColorStyle" Target="colors165.xml"/><Relationship Id="rId1" Type="http://schemas.microsoft.com/office/2011/relationships/chartStyle" Target="style165.xml"/></Relationships>
</file>

<file path=xl/charts/_rels/chart166.xml.rels><?xml version="1.0" encoding="UTF-8" standalone="yes"?>
<Relationships xmlns="http://schemas.openxmlformats.org/package/2006/relationships"><Relationship Id="rId2" Type="http://schemas.microsoft.com/office/2011/relationships/chartColorStyle" Target="colors166.xml"/><Relationship Id="rId1" Type="http://schemas.microsoft.com/office/2011/relationships/chartStyle" Target="style166.xml"/></Relationships>
</file>

<file path=xl/charts/_rels/chart167.xml.rels><?xml version="1.0" encoding="UTF-8" standalone="yes"?>
<Relationships xmlns="http://schemas.openxmlformats.org/package/2006/relationships"><Relationship Id="rId2" Type="http://schemas.microsoft.com/office/2011/relationships/chartColorStyle" Target="colors167.xml"/><Relationship Id="rId1" Type="http://schemas.microsoft.com/office/2011/relationships/chartStyle" Target="style167.xml"/></Relationships>
</file>

<file path=xl/charts/_rels/chart168.xml.rels><?xml version="1.0" encoding="UTF-8" standalone="yes"?>
<Relationships xmlns="http://schemas.openxmlformats.org/package/2006/relationships"><Relationship Id="rId2" Type="http://schemas.microsoft.com/office/2011/relationships/chartColorStyle" Target="colors168.xml"/><Relationship Id="rId1" Type="http://schemas.microsoft.com/office/2011/relationships/chartStyle" Target="style168.xml"/></Relationships>
</file>

<file path=xl/charts/_rels/chart169.xml.rels><?xml version="1.0" encoding="UTF-8" standalone="yes"?>
<Relationships xmlns="http://schemas.openxmlformats.org/package/2006/relationships"><Relationship Id="rId2" Type="http://schemas.microsoft.com/office/2011/relationships/chartColorStyle" Target="colors169.xml"/><Relationship Id="rId1" Type="http://schemas.microsoft.com/office/2011/relationships/chartStyle" Target="style169.xml"/></Relationships>
</file>

<file path=xl/charts/_rels/chart170.xml.rels><?xml version="1.0" encoding="UTF-8" standalone="yes"?>
<Relationships xmlns="http://schemas.openxmlformats.org/package/2006/relationships"><Relationship Id="rId2" Type="http://schemas.microsoft.com/office/2011/relationships/chartColorStyle" Target="colors170.xml"/><Relationship Id="rId1" Type="http://schemas.microsoft.com/office/2011/relationships/chartStyle" Target="style170.xml"/></Relationships>
</file>

<file path=xl/charts/_rels/chart171.xml.rels><?xml version="1.0" encoding="UTF-8" standalone="yes"?>
<Relationships xmlns="http://schemas.openxmlformats.org/package/2006/relationships"><Relationship Id="rId2" Type="http://schemas.microsoft.com/office/2011/relationships/chartColorStyle" Target="colors171.xml"/><Relationship Id="rId1" Type="http://schemas.microsoft.com/office/2011/relationships/chartStyle" Target="style171.xml"/></Relationships>
</file>

<file path=xl/charts/_rels/chart172.xml.rels><?xml version="1.0" encoding="UTF-8" standalone="yes"?>
<Relationships xmlns="http://schemas.openxmlformats.org/package/2006/relationships"><Relationship Id="rId2" Type="http://schemas.microsoft.com/office/2011/relationships/chartColorStyle" Target="colors172.xml"/><Relationship Id="rId1" Type="http://schemas.microsoft.com/office/2011/relationships/chartStyle" Target="style172.xml"/></Relationships>
</file>

<file path=xl/charts/_rels/chart173.xml.rels><?xml version="1.0" encoding="UTF-8" standalone="yes"?>
<Relationships xmlns="http://schemas.openxmlformats.org/package/2006/relationships"><Relationship Id="rId2" Type="http://schemas.microsoft.com/office/2011/relationships/chartColorStyle" Target="colors173.xml"/><Relationship Id="rId1" Type="http://schemas.microsoft.com/office/2011/relationships/chartStyle" Target="style173.xml"/></Relationships>
</file>

<file path=xl/charts/_rels/chart174.xml.rels><?xml version="1.0" encoding="UTF-8" standalone="yes"?>
<Relationships xmlns="http://schemas.openxmlformats.org/package/2006/relationships"><Relationship Id="rId2" Type="http://schemas.microsoft.com/office/2011/relationships/chartColorStyle" Target="colors174.xml"/><Relationship Id="rId1" Type="http://schemas.microsoft.com/office/2011/relationships/chartStyle" Target="style174.xml"/></Relationships>
</file>

<file path=xl/charts/_rels/chart175.xml.rels><?xml version="1.0" encoding="UTF-8" standalone="yes"?>
<Relationships xmlns="http://schemas.openxmlformats.org/package/2006/relationships"><Relationship Id="rId2" Type="http://schemas.microsoft.com/office/2011/relationships/chartColorStyle" Target="colors175.xml"/><Relationship Id="rId1" Type="http://schemas.microsoft.com/office/2011/relationships/chartStyle" Target="style175.xml"/></Relationships>
</file>

<file path=xl/charts/_rels/chart176.xml.rels><?xml version="1.0" encoding="UTF-8" standalone="yes"?>
<Relationships xmlns="http://schemas.openxmlformats.org/package/2006/relationships"><Relationship Id="rId2" Type="http://schemas.microsoft.com/office/2011/relationships/chartColorStyle" Target="colors176.xml"/><Relationship Id="rId1" Type="http://schemas.microsoft.com/office/2011/relationships/chartStyle" Target="style176.xml"/></Relationships>
</file>

<file path=xl/charts/_rels/chart17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8.xml"/><Relationship Id="rId2" Type="http://schemas.microsoft.com/office/2011/relationships/chartColorStyle" Target="colors177.xml"/><Relationship Id="rId1" Type="http://schemas.microsoft.com/office/2011/relationships/chartStyle" Target="style177.xml"/></Relationships>
</file>

<file path=xl/charts/_rels/chart178.xml.rels><?xml version="1.0" encoding="UTF-8" standalone="yes"?>
<Relationships xmlns="http://schemas.openxmlformats.org/package/2006/relationships"><Relationship Id="rId2" Type="http://schemas.microsoft.com/office/2011/relationships/chartColorStyle" Target="colors178.xml"/><Relationship Id="rId1" Type="http://schemas.microsoft.com/office/2011/relationships/chartStyle" Target="style178.xml"/></Relationships>
</file>

<file path=xl/charts/_rels/chart179.xml.rels><?xml version="1.0" encoding="UTF-8" standalone="yes"?>
<Relationships xmlns="http://schemas.openxmlformats.org/package/2006/relationships"><Relationship Id="rId2" Type="http://schemas.microsoft.com/office/2011/relationships/chartColorStyle" Target="colors179.xml"/><Relationship Id="rId1" Type="http://schemas.microsoft.com/office/2011/relationships/chartStyle" Target="style179.xml"/></Relationships>
</file>

<file path=xl/charts/_rels/chart180.xml.rels><?xml version="1.0" encoding="UTF-8" standalone="yes"?>
<Relationships xmlns="http://schemas.openxmlformats.org/package/2006/relationships"><Relationship Id="rId2" Type="http://schemas.microsoft.com/office/2011/relationships/chartColorStyle" Target="colors180.xml"/><Relationship Id="rId1" Type="http://schemas.microsoft.com/office/2011/relationships/chartStyle" Target="style180.xml"/></Relationships>
</file>

<file path=xl/charts/_rels/chart181.xml.rels><?xml version="1.0" encoding="UTF-8" standalone="yes"?>
<Relationships xmlns="http://schemas.openxmlformats.org/package/2006/relationships"><Relationship Id="rId2" Type="http://schemas.microsoft.com/office/2011/relationships/chartColorStyle" Target="colors181.xml"/><Relationship Id="rId1" Type="http://schemas.microsoft.com/office/2011/relationships/chartStyle" Target="style181.xml"/></Relationships>
</file>

<file path=xl/charts/_rels/chart182.xml.rels><?xml version="1.0" encoding="UTF-8" standalone="yes"?>
<Relationships xmlns="http://schemas.openxmlformats.org/package/2006/relationships"><Relationship Id="rId2" Type="http://schemas.microsoft.com/office/2011/relationships/chartColorStyle" Target="colors182.xml"/><Relationship Id="rId1" Type="http://schemas.microsoft.com/office/2011/relationships/chartStyle" Target="style182.xml"/></Relationships>
</file>

<file path=xl/charts/_rels/chart183.xml.rels><?xml version="1.0" encoding="UTF-8" standalone="yes"?>
<Relationships xmlns="http://schemas.openxmlformats.org/package/2006/relationships"><Relationship Id="rId2" Type="http://schemas.microsoft.com/office/2011/relationships/chartColorStyle" Target="colors183.xml"/><Relationship Id="rId1" Type="http://schemas.microsoft.com/office/2011/relationships/chartStyle" Target="style183.xml"/></Relationships>
</file>

<file path=xl/charts/_rels/chart184.xml.rels><?xml version="1.0" encoding="UTF-8" standalone="yes"?>
<Relationships xmlns="http://schemas.openxmlformats.org/package/2006/relationships"><Relationship Id="rId2" Type="http://schemas.microsoft.com/office/2011/relationships/chartColorStyle" Target="colors184.xml"/><Relationship Id="rId1" Type="http://schemas.microsoft.com/office/2011/relationships/chartStyle" Target="style184.xml"/></Relationships>
</file>

<file path=xl/charts/_rels/chart185.xml.rels><?xml version="1.0" encoding="UTF-8" standalone="yes"?>
<Relationships xmlns="http://schemas.openxmlformats.org/package/2006/relationships"><Relationship Id="rId2" Type="http://schemas.microsoft.com/office/2011/relationships/chartColorStyle" Target="colors185.xml"/><Relationship Id="rId1" Type="http://schemas.microsoft.com/office/2011/relationships/chartStyle" Target="style185.xml"/></Relationships>
</file>

<file path=xl/charts/_rels/chart186.xml.rels><?xml version="1.0" encoding="UTF-8" standalone="yes"?>
<Relationships xmlns="http://schemas.openxmlformats.org/package/2006/relationships"><Relationship Id="rId2" Type="http://schemas.microsoft.com/office/2011/relationships/chartColorStyle" Target="colors186.xml"/><Relationship Id="rId1" Type="http://schemas.microsoft.com/office/2011/relationships/chartStyle" Target="style186.xml"/></Relationships>
</file>

<file path=xl/charts/_rels/chart187.xml.rels><?xml version="1.0" encoding="UTF-8" standalone="yes"?>
<Relationships xmlns="http://schemas.openxmlformats.org/package/2006/relationships"><Relationship Id="rId2" Type="http://schemas.microsoft.com/office/2011/relationships/chartColorStyle" Target="colors187.xml"/><Relationship Id="rId1" Type="http://schemas.microsoft.com/office/2011/relationships/chartStyle" Target="style187.xml"/></Relationships>
</file>

<file path=xl/charts/_rels/chart188.xml.rels><?xml version="1.0" encoding="UTF-8" standalone="yes"?>
<Relationships xmlns="http://schemas.openxmlformats.org/package/2006/relationships"><Relationship Id="rId2" Type="http://schemas.microsoft.com/office/2011/relationships/chartColorStyle" Target="colors188.xml"/><Relationship Id="rId1" Type="http://schemas.microsoft.com/office/2011/relationships/chartStyle" Target="style188.xml"/></Relationships>
</file>

<file path=xl/charts/_rels/chart189.xml.rels><?xml version="1.0" encoding="UTF-8" standalone="yes"?>
<Relationships xmlns="http://schemas.openxmlformats.org/package/2006/relationships"><Relationship Id="rId2" Type="http://schemas.microsoft.com/office/2011/relationships/chartColorStyle" Target="colors189.xml"/><Relationship Id="rId1" Type="http://schemas.microsoft.com/office/2011/relationships/chartStyle" Target="style189.xml"/></Relationships>
</file>

<file path=xl/charts/_rels/chart190.xml.rels><?xml version="1.0" encoding="UTF-8" standalone="yes"?>
<Relationships xmlns="http://schemas.openxmlformats.org/package/2006/relationships"><Relationship Id="rId2" Type="http://schemas.microsoft.com/office/2011/relationships/chartColorStyle" Target="colors190.xml"/><Relationship Id="rId1" Type="http://schemas.microsoft.com/office/2011/relationships/chartStyle" Target="style190.xml"/></Relationships>
</file>

<file path=xl/charts/_rels/chart191.xml.rels><?xml version="1.0" encoding="UTF-8" standalone="yes"?>
<Relationships xmlns="http://schemas.openxmlformats.org/package/2006/relationships"><Relationship Id="rId2" Type="http://schemas.microsoft.com/office/2011/relationships/chartColorStyle" Target="colors191.xml"/><Relationship Id="rId1" Type="http://schemas.microsoft.com/office/2011/relationships/chartStyle" Target="style191.xml"/></Relationships>
</file>

<file path=xl/charts/_rels/chart192.xml.rels><?xml version="1.0" encoding="UTF-8" standalone="yes"?>
<Relationships xmlns="http://schemas.openxmlformats.org/package/2006/relationships"><Relationship Id="rId2" Type="http://schemas.microsoft.com/office/2011/relationships/chartColorStyle" Target="colors192.xml"/><Relationship Id="rId1" Type="http://schemas.microsoft.com/office/2011/relationships/chartStyle" Target="style192.xml"/></Relationships>
</file>

<file path=xl/charts/_rels/chart193.xml.rels><?xml version="1.0" encoding="UTF-8" standalone="yes"?>
<Relationships xmlns="http://schemas.openxmlformats.org/package/2006/relationships"><Relationship Id="rId2" Type="http://schemas.microsoft.com/office/2011/relationships/chartColorStyle" Target="colors193.xml"/><Relationship Id="rId1" Type="http://schemas.microsoft.com/office/2011/relationships/chartStyle" Target="style19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Pure Salts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2606517935258094"/>
                  <c:y val="-0.1176490959463400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 (2)'!$BB$2:$BB$22</c:f>
              <c:numCache>
                <c:formatCode>General</c:formatCode>
                <c:ptCount val="21"/>
                <c:pt idx="0">
                  <c:v>3801381451.0759559</c:v>
                </c:pt>
                <c:pt idx="1">
                  <c:v>2264711383.8811092</c:v>
                </c:pt>
                <c:pt idx="2">
                  <c:v>1331266012.0265069</c:v>
                </c:pt>
                <c:pt idx="5">
                  <c:v>1565153277.313864</c:v>
                </c:pt>
                <c:pt idx="6">
                  <c:v>1081717855.4526589</c:v>
                </c:pt>
                <c:pt idx="7">
                  <c:v>804148398.82862413</c:v>
                </c:pt>
                <c:pt idx="8">
                  <c:v>3112571177.1964269</c:v>
                </c:pt>
                <c:pt idx="9">
                  <c:v>2691006936.2557101</c:v>
                </c:pt>
                <c:pt idx="10">
                  <c:v>1837367566.4998081</c:v>
                </c:pt>
                <c:pt idx="11">
                  <c:v>1274480629.7023959</c:v>
                </c:pt>
                <c:pt idx="12">
                  <c:v>1140753272.891129</c:v>
                </c:pt>
                <c:pt idx="14">
                  <c:v>1123726028.406646</c:v>
                </c:pt>
                <c:pt idx="15">
                  <c:v>2096950736.418479</c:v>
                </c:pt>
                <c:pt idx="16">
                  <c:v>1438571938.91363</c:v>
                </c:pt>
              </c:numCache>
            </c:numRef>
          </c:xVal>
          <c:yVal>
            <c:numRef>
              <c:f>'MFP-rsum (2)'!$AI$2:$AI$22</c:f>
              <c:numCache>
                <c:formatCode>General</c:formatCode>
                <c:ptCount val="21"/>
                <c:pt idx="0">
                  <c:v>1.2682350574951</c:v>
                </c:pt>
                <c:pt idx="1">
                  <c:v>1.2192784382425901</c:v>
                </c:pt>
                <c:pt idx="2">
                  <c:v>0.62200825361355605</c:v>
                </c:pt>
                <c:pt idx="5">
                  <c:v>0.62171538406412596</c:v>
                </c:pt>
                <c:pt idx="6">
                  <c:v>0.47705461868503202</c:v>
                </c:pt>
                <c:pt idx="7">
                  <c:v>0.36559719352224501</c:v>
                </c:pt>
                <c:pt idx="12">
                  <c:v>0.79107788518133404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A0-4836-9F6E-85FA54A0921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'MFP-rsum (2)'!$BB$23:$BB$40</c:f>
              <c:numCache>
                <c:formatCode>General</c:formatCode>
                <c:ptCount val="18"/>
                <c:pt idx="0">
                  <c:v>1120431343.2759011</c:v>
                </c:pt>
                <c:pt idx="1">
                  <c:v>3671349531.8618751</c:v>
                </c:pt>
                <c:pt idx="2">
                  <c:v>2282353441.8618789</c:v>
                </c:pt>
                <c:pt idx="3">
                  <c:v>2555332250.1711068</c:v>
                </c:pt>
                <c:pt idx="4">
                  <c:v>3356690310.8696609</c:v>
                </c:pt>
                <c:pt idx="5">
                  <c:v>3760693647.4549508</c:v>
                </c:pt>
                <c:pt idx="6">
                  <c:v>3595350729.2626648</c:v>
                </c:pt>
                <c:pt idx="7">
                  <c:v>3449729844.352057</c:v>
                </c:pt>
                <c:pt idx="8">
                  <c:v>1161710543.9117939</c:v>
                </c:pt>
                <c:pt idx="9">
                  <c:v>1260927039.745832</c:v>
                </c:pt>
                <c:pt idx="10">
                  <c:v>1742328821.428329</c:v>
                </c:pt>
                <c:pt idx="11">
                  <c:v>1446976992.079078</c:v>
                </c:pt>
                <c:pt idx="12">
                  <c:v>3211759248.6080689</c:v>
                </c:pt>
                <c:pt idx="13">
                  <c:v>1043486754.089075</c:v>
                </c:pt>
                <c:pt idx="14">
                  <c:v>1053713906.865366</c:v>
                </c:pt>
                <c:pt idx="15">
                  <c:v>1492586451.837889</c:v>
                </c:pt>
                <c:pt idx="16">
                  <c:v>1440892196.1891489</c:v>
                </c:pt>
                <c:pt idx="17">
                  <c:v>1407478287.0168049</c:v>
                </c:pt>
              </c:numCache>
            </c:numRef>
          </c:xVal>
          <c:yVal>
            <c:numRef>
              <c:f>'MFP-rsum (2)'!$AI$23:$AI$40</c:f>
              <c:numCache>
                <c:formatCode>General</c:formatCode>
                <c:ptCount val="18"/>
                <c:pt idx="1">
                  <c:v>1.1000000000000001</c:v>
                </c:pt>
                <c:pt idx="2">
                  <c:v>0.78633287605038305</c:v>
                </c:pt>
                <c:pt idx="10">
                  <c:v>0.766984</c:v>
                </c:pt>
                <c:pt idx="12">
                  <c:v>0.86544945017474995</c:v>
                </c:pt>
                <c:pt idx="13">
                  <c:v>0.239262577144952</c:v>
                </c:pt>
                <c:pt idx="14">
                  <c:v>0.27567442291687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A0-4836-9F6E-85FA54A09215}"/>
            </c:ext>
          </c:extLst>
        </c:ser>
        <c:ser>
          <c:idx val="2"/>
          <c:order val="2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'MFP-rsum (2)'!$BB$41</c:f>
              <c:numCache>
                <c:formatCode>General</c:formatCode>
                <c:ptCount val="1"/>
                <c:pt idx="0">
                  <c:v>1956310395.8564556</c:v>
                </c:pt>
              </c:numCache>
            </c:numRef>
          </c:xVal>
          <c:yVal>
            <c:numRef>
              <c:f>'MFP-rsum (2)'!$AI$41</c:f>
              <c:numCache>
                <c:formatCode>0.00000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FA0-4836-9F6E-85FA54A09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1/3*Cp*vsound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baseline="0">
                    <a:effectLst/>
                  </a:rPr>
                  <a:t>λ</a:t>
                </a:r>
                <a:r>
                  <a:rPr lang="en-US" sz="1000" b="0" i="0" u="none" strike="noStrike" baseline="0">
                    <a:effectLst/>
                  </a:rPr>
                  <a:t>_measured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Pure Salts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663695203635465"/>
                  <c:y val="-0.15127041411490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 (2)'!$BI$2:$BI$22</c:f>
              <c:numCache>
                <c:formatCode>General</c:formatCode>
                <c:ptCount val="21"/>
                <c:pt idx="0">
                  <c:v>3.3362478188978761E-10</c:v>
                </c:pt>
                <c:pt idx="1">
                  <c:v>5.3838137915528699E-10</c:v>
                </c:pt>
                <c:pt idx="2">
                  <c:v>4.6723062708309508E-10</c:v>
                </c:pt>
                <c:pt idx="3">
                  <c:v>2.5893228302185304E-10</c:v>
                </c:pt>
                <c:pt idx="4">
                  <c:v>2.7962928465917803E-10</c:v>
                </c:pt>
                <c:pt idx="5">
                  <c:v>3.9722332187881421E-10</c:v>
                </c:pt>
                <c:pt idx="6">
                  <c:v>4.4101575681710674E-10</c:v>
                </c:pt>
                <c:pt idx="7">
                  <c:v>4.5463896222985473E-10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6.934697484377349E-10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xVal>
          <c:yVal>
            <c:numRef>
              <c:f>'MFP-rsum (2)'!$AI$2:$AI$22</c:f>
              <c:numCache>
                <c:formatCode>General</c:formatCode>
                <c:ptCount val="21"/>
                <c:pt idx="0">
                  <c:v>1.2682350574951</c:v>
                </c:pt>
                <c:pt idx="1">
                  <c:v>1.2192784382425901</c:v>
                </c:pt>
                <c:pt idx="2">
                  <c:v>0.62200825361355605</c:v>
                </c:pt>
                <c:pt idx="5">
                  <c:v>0.62171538406412596</c:v>
                </c:pt>
                <c:pt idx="6">
                  <c:v>0.47705461868503202</c:v>
                </c:pt>
                <c:pt idx="7">
                  <c:v>0.36559719352224501</c:v>
                </c:pt>
                <c:pt idx="12">
                  <c:v>0.79107788518133404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4B-4C8D-912F-112A683DA2CF}"/>
            </c:ext>
          </c:extLst>
        </c:ser>
        <c:ser>
          <c:idx val="1"/>
          <c:order val="1"/>
          <c:tx>
            <c:v>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'MFP-rsum (2)'!$BI$23:$BI$37</c:f>
              <c:numCache>
                <c:formatCode>General</c:formatCode>
                <c:ptCount val="15"/>
                <c:pt idx="0">
                  <c:v>0</c:v>
                </c:pt>
                <c:pt idx="1">
                  <c:v>2.9961734518972644E-10</c:v>
                </c:pt>
                <c:pt idx="2">
                  <c:v>3.4452721547321571E-10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4.4020622890875483E-10</c:v>
                </c:pt>
                <c:pt idx="11">
                  <c:v>0</c:v>
                </c:pt>
                <c:pt idx="12">
                  <c:v>2.6946274087941787E-10</c:v>
                </c:pt>
                <c:pt idx="13">
                  <c:v>2.2929143681734543E-10</c:v>
                </c:pt>
                <c:pt idx="14">
                  <c:v>2.6162169932534942E-10</c:v>
                </c:pt>
              </c:numCache>
            </c:numRef>
          </c:xVal>
          <c:yVal>
            <c:numRef>
              <c:f>'MFP-rsum (2)'!$AI$23:$AI$37</c:f>
              <c:numCache>
                <c:formatCode>General</c:formatCode>
                <c:ptCount val="15"/>
                <c:pt idx="1">
                  <c:v>1.1000000000000001</c:v>
                </c:pt>
                <c:pt idx="2">
                  <c:v>0.78633287605038305</c:v>
                </c:pt>
                <c:pt idx="10">
                  <c:v>0.766984</c:v>
                </c:pt>
                <c:pt idx="12">
                  <c:v>0.86544945017474995</c:v>
                </c:pt>
                <c:pt idx="13">
                  <c:v>0.239262577144952</c:v>
                </c:pt>
                <c:pt idx="14">
                  <c:v>0.27567442291687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84B-4C8D-912F-112A683DA2CF}"/>
            </c:ext>
          </c:extLst>
        </c:ser>
        <c:ser>
          <c:idx val="2"/>
          <c:order val="2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'MFP-rsum (2)'!$BI$41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'MFP-rsum (2)'!$AI$41</c:f>
              <c:numCache>
                <c:formatCode>0.00000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84B-4C8D-912F-112A683DA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MFP_calc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baseline="0">
                    <a:effectLst/>
                  </a:rPr>
                  <a:t>λ</a:t>
                </a:r>
                <a:r>
                  <a:rPr lang="en-US" sz="1000" b="0" i="0" u="none" strike="noStrike" baseline="0">
                    <a:effectLst/>
                  </a:rPr>
                  <a:t>_measured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751476377952756"/>
          <c:y val="5.0925925925925923E-2"/>
          <c:w val="0.50349218066491686"/>
          <c:h val="0.74350320793234181"/>
        </c:manualLayout>
      </c:layout>
      <c:scatterChart>
        <c:scatterStyle val="lineMarker"/>
        <c:varyColors val="0"/>
        <c:ser>
          <c:idx val="0"/>
          <c:order val="0"/>
          <c:tx>
            <c:v>Alkali Fluoride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'MFP-rsum (2)'!$BY$2:$BY$4</c:f>
              <c:numCache>
                <c:formatCode>0.00E+00</c:formatCode>
                <c:ptCount val="3"/>
                <c:pt idx="0">
                  <c:v>4.5513588360128237E-10</c:v>
                </c:pt>
                <c:pt idx="1">
                  <c:v>3.6428468840931505E-10</c:v>
                </c:pt>
                <c:pt idx="2">
                  <c:v>3.8914296812648964E-10</c:v>
                </c:pt>
              </c:numCache>
            </c:numRef>
          </c:xVal>
          <c:yVal>
            <c:numRef>
              <c:f>'MFP-rsum (2)'!$BI$2:$BI$4</c:f>
              <c:numCache>
                <c:formatCode>General</c:formatCode>
                <c:ptCount val="3"/>
                <c:pt idx="0">
                  <c:v>3.3362478188978761E-10</c:v>
                </c:pt>
                <c:pt idx="1">
                  <c:v>5.3838137915528699E-10</c:v>
                </c:pt>
                <c:pt idx="2">
                  <c:v>4.6723062708309508E-10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21-4412-8170-F017B2D0EAB1}"/>
            </c:ext>
          </c:extLst>
        </c:ser>
        <c:ser>
          <c:idx val="2"/>
          <c:order val="1"/>
          <c:tx>
            <c:v>Alkali Chloride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'MFP-rsum (2)'!$BY$7:$BY$9</c:f>
              <c:numCache>
                <c:formatCode>0.00E+00</c:formatCode>
                <c:ptCount val="3"/>
                <c:pt idx="0">
                  <c:v>5.0986492855295244E-10</c:v>
                </c:pt>
                <c:pt idx="1">
                  <c:v>3.7944326183477726E-10</c:v>
                </c:pt>
                <c:pt idx="2">
                  <c:v>4.5335791979318428E-10</c:v>
                </c:pt>
              </c:numCache>
            </c:numRef>
          </c:xVal>
          <c:yVal>
            <c:numRef>
              <c:f>'MFP-rsum (2)'!$BI$7:$BI$9</c:f>
              <c:numCache>
                <c:formatCode>General</c:formatCode>
                <c:ptCount val="3"/>
                <c:pt idx="0">
                  <c:v>3.9722332187881421E-10</c:v>
                </c:pt>
                <c:pt idx="1">
                  <c:v>4.4101575681710674E-10</c:v>
                </c:pt>
                <c:pt idx="2">
                  <c:v>4.5463896222985473E-10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21-4412-8170-F017B2D0EAB1}"/>
            </c:ext>
          </c:extLst>
        </c:ser>
        <c:ser>
          <c:idx val="1"/>
          <c:order val="2"/>
          <c:tx>
            <c:v>Alkaline-Earth Fluoride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'MFP-rsum (2)'!$BY$10:$BY$13</c:f>
              <c:numCache>
                <c:formatCode>0.00E+00</c:formatCode>
                <c:ptCount val="4"/>
                <c:pt idx="1">
                  <c:v>4.369716780765129E-10</c:v>
                </c:pt>
                <c:pt idx="2">
                  <c:v>6.843135125098611E-10</c:v>
                </c:pt>
                <c:pt idx="3">
                  <c:v>6.1875642429403127E-10</c:v>
                </c:pt>
              </c:numCache>
            </c:numRef>
          </c:xVal>
          <c:yVal>
            <c:numRef>
              <c:f>'MFP-rsum (2)'!$BI$10:$BI$13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E21-4412-8170-F017B2D0EAB1}"/>
            </c:ext>
          </c:extLst>
        </c:ser>
        <c:ser>
          <c:idx val="3"/>
          <c:order val="3"/>
          <c:tx>
            <c:v>Alkaline-Earth Chloride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'MFP-rsum (2)'!$BY$14:$BY$16</c:f>
              <c:numCache>
                <c:formatCode>0.00E+00</c:formatCode>
                <c:ptCount val="3"/>
                <c:pt idx="0">
                  <c:v>6.1827251968353004E-10</c:v>
                </c:pt>
                <c:pt idx="1">
                  <c:v>7.7916751857846874E-10</c:v>
                </c:pt>
                <c:pt idx="2">
                  <c:v>7.4001853993764589E-10</c:v>
                </c:pt>
              </c:numCache>
            </c:numRef>
          </c:xVal>
          <c:yVal>
            <c:numRef>
              <c:f>'MFP-rsum (2)'!$BI$14:$BI$16</c:f>
              <c:numCache>
                <c:formatCode>General</c:formatCode>
                <c:ptCount val="3"/>
                <c:pt idx="0">
                  <c:v>6.934697484377349E-10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E21-4412-8170-F017B2D0EAB1}"/>
            </c:ext>
          </c:extLst>
        </c:ser>
        <c:ser>
          <c:idx val="4"/>
          <c:order val="4"/>
          <c:tx>
            <c:v>Fluoride Mixture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('MFP-rsum (2)'!$BY$35,'MFP-rsum (2)'!$BY$28:$BY$30,'MFP-rsum (2)'!$BY$24:$BY$26)</c:f>
              <c:numCache>
                <c:formatCode>0.00E+00</c:formatCode>
                <c:ptCount val="7"/>
                <c:pt idx="0">
                  <c:v>8.4406168446792717E-10</c:v>
                </c:pt>
                <c:pt idx="1">
                  <c:v>3.2730306153599925E-9</c:v>
                </c:pt>
                <c:pt idx="2">
                  <c:v>3.304548673097048E-9</c:v>
                </c:pt>
                <c:pt idx="3">
                  <c:v>3.352633671505172E-9</c:v>
                </c:pt>
                <c:pt idx="4">
                  <c:v>3.8338347353322035E-9</c:v>
                </c:pt>
                <c:pt idx="5">
                  <c:v>2.8369914793196441E-9</c:v>
                </c:pt>
                <c:pt idx="6">
                  <c:v>6.5543423785317211E-9</c:v>
                </c:pt>
              </c:numCache>
            </c:numRef>
          </c:xVal>
          <c:yVal>
            <c:numRef>
              <c:f>('MFP-rsum (2)'!$BI$35,'MFP-rsum (2)'!$BI$28:$BI$30,'MFP-rsum (2)'!$BI$24:$BI$26)</c:f>
              <c:numCache>
                <c:formatCode>General</c:formatCode>
                <c:ptCount val="7"/>
                <c:pt idx="0">
                  <c:v>2.6946274087941787E-10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2.9961734518972644E-10</c:v>
                </c:pt>
                <c:pt idx="5">
                  <c:v>3.4452721547321571E-10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E21-4412-8170-F017B2D0EAB1}"/>
            </c:ext>
          </c:extLst>
        </c:ser>
        <c:ser>
          <c:idx val="5"/>
          <c:order val="5"/>
          <c:tx>
            <c:v>Chloride Mixture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('MFP-rsum (2)'!$BY$23,'MFP-rsum (2)'!$BY$36:$BY$37)</c:f>
              <c:numCache>
                <c:formatCode>0.00E+00</c:formatCode>
                <c:ptCount val="3"/>
                <c:pt idx="0">
                  <c:v>1.0517297026523455E-9</c:v>
                </c:pt>
                <c:pt idx="1">
                  <c:v>1.8511567318115176E-9</c:v>
                </c:pt>
                <c:pt idx="2">
                  <c:v>1.3749528367298905E-9</c:v>
                </c:pt>
              </c:numCache>
            </c:numRef>
          </c:xVal>
          <c:yVal>
            <c:numRef>
              <c:f>'MFP-rsum (2)'!$BI$36:$BI$37</c:f>
              <c:numCache>
                <c:formatCode>General</c:formatCode>
                <c:ptCount val="2"/>
                <c:pt idx="0">
                  <c:v>2.2929143681734543E-10</c:v>
                </c:pt>
                <c:pt idx="1">
                  <c:v>2.6162169932534942E-10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E21-4412-8170-F017B2D0EAB1}"/>
            </c:ext>
          </c:extLst>
        </c:ser>
        <c:ser>
          <c:idx val="6"/>
          <c:order val="6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'MFP-rsum (2)'!$BY$41</c:f>
              <c:numCache>
                <c:formatCode>0.00E+00</c:formatCode>
                <c:ptCount val="1"/>
                <c:pt idx="0">
                  <c:v>1.2781802750592626E-9</c:v>
                </c:pt>
              </c:numCache>
            </c:numRef>
          </c:xVal>
          <c:yVal>
            <c:numRef>
              <c:f>'MFP-rsum (2)'!$BI$41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E21-4412-8170-F017B2D0EA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5211920"/>
        <c:axId val="1253312992"/>
      </c:scatterChart>
      <c:valAx>
        <c:axId val="1655211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Viscosity/(Dens*SoundVelocity)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312992"/>
        <c:crosses val="autoZero"/>
        <c:crossBetween val="midCat"/>
      </c:valAx>
      <c:valAx>
        <c:axId val="125331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MFP_calc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211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652777777777779"/>
          <c:y val="6.1919655876348803E-2"/>
          <c:w val="0.2326388888888889"/>
          <c:h val="0.848382910469524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Pure Salts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'MFP-rsum (2)'!$BN$2:$BN$22</c:f>
              <c:numCache>
                <c:formatCode>0.00E+00</c:formatCode>
                <c:ptCount val="21"/>
                <c:pt idx="0">
                  <c:v>4067.0297574105298</c:v>
                </c:pt>
                <c:pt idx="1">
                  <c:v>4777.8483669291527</c:v>
                </c:pt>
                <c:pt idx="2">
                  <c:v>3131.6520702351795</c:v>
                </c:pt>
                <c:pt idx="5">
                  <c:v>3156.7622555868456</c:v>
                </c:pt>
                <c:pt idx="6">
                  <c:v>2717.2804058192669</c:v>
                </c:pt>
                <c:pt idx="7">
                  <c:v>2276.3074490599633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5758.8139978959698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xVal>
          <c:yVal>
            <c:numRef>
              <c:f>'MFP-rsum (2)'!$BL$2:$BL$22</c:f>
              <c:numCache>
                <c:formatCode>0.00E+00</c:formatCode>
                <c:ptCount val="21"/>
                <c:pt idx="0">
                  <c:v>2547.8000000000002</c:v>
                </c:pt>
                <c:pt idx="1">
                  <c:v>2085.5</c:v>
                </c:pt>
                <c:pt idx="2">
                  <c:v>1816.4</c:v>
                </c:pt>
                <c:pt idx="3">
                  <c:v>1760.4</c:v>
                </c:pt>
                <c:pt idx="4">
                  <c:v>1858.9699999999998</c:v>
                </c:pt>
                <c:pt idx="5">
                  <c:v>2042.3974499999999</c:v>
                </c:pt>
                <c:pt idx="6">
                  <c:v>1743.6799999999998</c:v>
                </c:pt>
                <c:pt idx="7">
                  <c:v>1597.1839999999997</c:v>
                </c:pt>
                <c:pt idx="8">
                  <c:v>2547.8000000000002</c:v>
                </c:pt>
                <c:pt idx="9">
                  <c:v>2175.6</c:v>
                </c:pt>
                <c:pt idx="10">
                  <c:v>1710.3</c:v>
                </c:pt>
                <c:pt idx="11">
                  <c:v>1398.6</c:v>
                </c:pt>
                <c:pt idx="12">
                  <c:v>2101</c:v>
                </c:pt>
                <c:pt idx="13">
                  <c:v>2065.0300000000002</c:v>
                </c:pt>
                <c:pt idx="14">
                  <c:v>1873.13</c:v>
                </c:pt>
                <c:pt idx="15">
                  <c:v>1816.9499999999998</c:v>
                </c:pt>
                <c:pt idx="16">
                  <c:v>1766.56</c:v>
                </c:pt>
                <c:pt idx="17">
                  <c:v>1700</c:v>
                </c:pt>
                <c:pt idx="18">
                  <c:v>1362</c:v>
                </c:pt>
                <c:pt idx="19">
                  <c:v>1062</c:v>
                </c:pt>
                <c:pt idx="20">
                  <c:v>1248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30-4710-ACC3-DF16D95355E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'MFP-rsum (2)'!$BN$23:$BN$40</c:f>
              <c:numCache>
                <c:formatCode>0.00E+00</c:formatCode>
                <c:ptCount val="18"/>
                <c:pt idx="0">
                  <c:v>0</c:v>
                </c:pt>
                <c:pt idx="1">
                  <c:v>4489.23185837235</c:v>
                </c:pt>
                <c:pt idx="2">
                  <c:v>3959.1677391932353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4289.1407539051006</c:v>
                </c:pt>
                <c:pt idx="11">
                  <c:v>0</c:v>
                </c:pt>
                <c:pt idx="12">
                  <c:v>3505.1330931193293</c:v>
                </c:pt>
                <c:pt idx="13">
                  <c:v>1402.3754205360992</c:v>
                </c:pt>
                <c:pt idx="14">
                  <c:v>1611.4557750945626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xVal>
          <c:yVal>
            <c:numRef>
              <c:f>'MFP-rsum (2)'!$BL$23:$BL$40</c:f>
              <c:numCache>
                <c:formatCode>0.00E+00</c:formatCode>
                <c:ptCount val="18"/>
                <c:pt idx="0">
                  <c:v>1968.0306331357569</c:v>
                </c:pt>
                <c:pt idx="1">
                  <c:v>2547.6863757231322</c:v>
                </c:pt>
                <c:pt idx="2">
                  <c:v>2012.468707779205</c:v>
                </c:pt>
                <c:pt idx="3">
                  <c:v>1781.433208193873</c:v>
                </c:pt>
                <c:pt idx="4">
                  <c:v>2319.1206460873409</c:v>
                </c:pt>
                <c:pt idx="5">
                  <c:v>2547.687552638462</c:v>
                </c:pt>
                <c:pt idx="6">
                  <c:v>2441.8705732183512</c:v>
                </c:pt>
                <c:pt idx="7">
                  <c:v>2348.7520215904742</c:v>
                </c:pt>
                <c:pt idx="8">
                  <c:v>2039.5014589190009</c:v>
                </c:pt>
                <c:pt idx="9">
                  <c:v>2024.776905844504</c:v>
                </c:pt>
                <c:pt idx="10">
                  <c:v>1885.1934295243609</c:v>
                </c:pt>
                <c:pt idx="11">
                  <c:v>2084.8843456983841</c:v>
                </c:pt>
                <c:pt idx="12">
                  <c:v>2298.228366828082</c:v>
                </c:pt>
                <c:pt idx="13">
                  <c:v>1451.7494609289899</c:v>
                </c:pt>
                <c:pt idx="14">
                  <c:v>1470.4555590061771</c:v>
                </c:pt>
                <c:pt idx="15" formatCode="General">
                  <c:v>1348.6175138087231</c:v>
                </c:pt>
                <c:pt idx="16" formatCode="General">
                  <c:v>1272.126022947567</c:v>
                </c:pt>
                <c:pt idx="17" formatCode="General">
                  <c:v>1215.1718333840431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30-4710-ACC3-DF16D95355EC}"/>
            </c:ext>
          </c:extLst>
        </c:ser>
        <c:ser>
          <c:idx val="2"/>
          <c:order val="2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'MFP-rsum (2)'!$BN$41</c:f>
              <c:numCache>
                <c:formatCode>0.00E+00</c:formatCode>
                <c:ptCount val="1"/>
                <c:pt idx="0">
                  <c:v>0</c:v>
                </c:pt>
              </c:numCache>
            </c:numRef>
          </c:xVal>
          <c:yVal>
            <c:numRef>
              <c:f>'MFP-rsum (2)'!$BL$41</c:f>
              <c:numCache>
                <c:formatCode>0.00E+00</c:formatCode>
                <c:ptCount val="1"/>
                <c:pt idx="0">
                  <c:v>1403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F30-4710-ACC3-DF16D95355EC}"/>
            </c:ext>
          </c:extLst>
        </c:ser>
        <c:ser>
          <c:idx val="3"/>
          <c:order val="3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.000000000000001E-2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5000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5000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7-9F30-4710-ACC3-DF16D9535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vsound,calc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vsound,bulk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Pure Salts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663695203635465"/>
                  <c:y val="-0.15127041411490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 (2)'!$BQ$2:$BQ$22</c:f>
              <c:numCache>
                <c:formatCode>#,##0.00</c:formatCode>
                <c:ptCount val="21"/>
                <c:pt idx="0">
                  <c:v>64.2</c:v>
                </c:pt>
                <c:pt idx="1">
                  <c:v>70.2</c:v>
                </c:pt>
                <c:pt idx="2">
                  <c:v>66.900000000000006</c:v>
                </c:pt>
                <c:pt idx="3">
                  <c:v>69.5</c:v>
                </c:pt>
                <c:pt idx="4">
                  <c:v>74.099999999999994</c:v>
                </c:pt>
                <c:pt idx="5">
                  <c:v>65.02</c:v>
                </c:pt>
                <c:pt idx="6">
                  <c:v>69.62</c:v>
                </c:pt>
                <c:pt idx="7">
                  <c:v>73.599999999999994</c:v>
                </c:pt>
                <c:pt idx="8">
                  <c:v>87.9</c:v>
                </c:pt>
                <c:pt idx="9">
                  <c:v>94.9</c:v>
                </c:pt>
                <c:pt idx="10" formatCode="General">
                  <c:v>99.914000000000001</c:v>
                </c:pt>
                <c:pt idx="11">
                  <c:v>99</c:v>
                </c:pt>
                <c:pt idx="12" formatCode="General">
                  <c:v>92.048000000000002</c:v>
                </c:pt>
                <c:pt idx="13" formatCode="General">
                  <c:v>102.533</c:v>
                </c:pt>
                <c:pt idx="14">
                  <c:v>104.6</c:v>
                </c:pt>
                <c:pt idx="15" formatCode="General">
                  <c:v>155.6</c:v>
                </c:pt>
                <c:pt idx="16" formatCode="General">
                  <c:v>141</c:v>
                </c:pt>
                <c:pt idx="17" formatCode="#,##0.000000">
                  <c:v>123</c:v>
                </c:pt>
                <c:pt idx="18" formatCode="#,##0">
                  <c:v>168</c:v>
                </c:pt>
                <c:pt idx="19" formatCode="#,##0">
                  <c:v>174</c:v>
                </c:pt>
                <c:pt idx="20" formatCode="#,##0">
                  <c:v>150</c:v>
                </c:pt>
              </c:numCache>
            </c:numRef>
          </c:xVal>
          <c:yVal>
            <c:numRef>
              <c:f>'MFP-rsum (2)'!$AI$2:$AI$22</c:f>
              <c:numCache>
                <c:formatCode>General</c:formatCode>
                <c:ptCount val="21"/>
                <c:pt idx="0">
                  <c:v>1.2682350574951</c:v>
                </c:pt>
                <c:pt idx="1">
                  <c:v>1.2192784382425901</c:v>
                </c:pt>
                <c:pt idx="2">
                  <c:v>0.62200825361355605</c:v>
                </c:pt>
                <c:pt idx="5">
                  <c:v>0.62171538406412596</c:v>
                </c:pt>
                <c:pt idx="6">
                  <c:v>0.47705461868503202</c:v>
                </c:pt>
                <c:pt idx="7">
                  <c:v>0.36559719352224501</c:v>
                </c:pt>
                <c:pt idx="12">
                  <c:v>0.79107788518133404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78-4994-939B-D5F024364DE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'MFP-rsum (2)'!$BQ$23:$BQ$40</c:f>
              <c:numCache>
                <c:formatCode>General</c:formatCode>
                <c:ptCount val="18"/>
                <c:pt idx="0">
                  <c:v>79.503360000000001</c:v>
                </c:pt>
                <c:pt idx="1">
                  <c:v>72.25800000000001</c:v>
                </c:pt>
                <c:pt idx="2">
                  <c:v>66.024000000000001</c:v>
                </c:pt>
                <c:pt idx="3">
                  <c:v>82.635000000000005</c:v>
                </c:pt>
                <c:pt idx="4">
                  <c:v>73.469400000000007</c:v>
                </c:pt>
                <c:pt idx="5">
                  <c:v>70.599000000000004</c:v>
                </c:pt>
                <c:pt idx="6">
                  <c:v>71.578500000000005</c:v>
                </c:pt>
                <c:pt idx="7">
                  <c:v>72.558000000000007</c:v>
                </c:pt>
                <c:pt idx="8">
                  <c:v>86.14464000000001</c:v>
                </c:pt>
                <c:pt idx="9">
                  <c:v>74.557488799999987</c:v>
                </c:pt>
                <c:pt idx="10">
                  <c:v>69.858500000000006</c:v>
                </c:pt>
                <c:pt idx="11">
                  <c:v>68.606440000000006</c:v>
                </c:pt>
                <c:pt idx="12">
                  <c:v>66.600000000000009</c:v>
                </c:pt>
                <c:pt idx="13">
                  <c:v>99.360600000000005</c:v>
                </c:pt>
                <c:pt idx="14">
                  <c:v>97.109960000000001</c:v>
                </c:pt>
                <c:pt idx="15">
                  <c:v>100.416</c:v>
                </c:pt>
                <c:pt idx="16">
                  <c:v>110.928</c:v>
                </c:pt>
                <c:pt idx="17">
                  <c:v>121.44</c:v>
                </c:pt>
              </c:numCache>
            </c:numRef>
          </c:xVal>
          <c:yVal>
            <c:numRef>
              <c:f>'MFP-rsum (2)'!$AI$23:$AI$40</c:f>
              <c:numCache>
                <c:formatCode>General</c:formatCode>
                <c:ptCount val="18"/>
                <c:pt idx="1">
                  <c:v>1.1000000000000001</c:v>
                </c:pt>
                <c:pt idx="2">
                  <c:v>0.78633287605038305</c:v>
                </c:pt>
                <c:pt idx="10">
                  <c:v>0.766984</c:v>
                </c:pt>
                <c:pt idx="12">
                  <c:v>0.86544945017474995</c:v>
                </c:pt>
                <c:pt idx="13">
                  <c:v>0.239262577144952</c:v>
                </c:pt>
                <c:pt idx="14">
                  <c:v>0.27567442291687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78-4994-939B-D5F024364DE7}"/>
            </c:ext>
          </c:extLst>
        </c:ser>
        <c:ser>
          <c:idx val="2"/>
          <c:order val="2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'MFP-rsum (2)'!$BQ$41</c:f>
              <c:numCache>
                <c:formatCode>#,##0.00</c:formatCode>
                <c:ptCount val="1"/>
                <c:pt idx="0">
                  <c:v>75.38</c:v>
                </c:pt>
              </c:numCache>
            </c:numRef>
          </c:xVal>
          <c:yVal>
            <c:numRef>
              <c:f>'MFP-rsum (2)'!$AI$41</c:f>
              <c:numCache>
                <c:formatCode>0.00000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78-4994-939B-D5F024364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baseline="0">
                    <a:effectLst/>
                  </a:rPr>
                  <a:t>λ</a:t>
                </a:r>
                <a:r>
                  <a:rPr lang="en-US" sz="1000" b="0" i="0" u="none" strike="noStrike" baseline="0">
                    <a:effectLst/>
                  </a:rPr>
                  <a:t>_measured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779090113735782"/>
          <c:y val="4.3650793650793648E-2"/>
          <c:w val="0.51169898901526201"/>
          <c:h val="0.85554243219597548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('MFP-rsum (2)'!$BI$7:$BI$9,'MFP-rsum (2)'!$BI$7:$BI$9)</c:f>
              <c:numCache>
                <c:formatCode>General</c:formatCode>
                <c:ptCount val="6"/>
                <c:pt idx="0">
                  <c:v>3.9722332187881421E-10</c:v>
                </c:pt>
                <c:pt idx="1">
                  <c:v>4.4101575681710674E-10</c:v>
                </c:pt>
                <c:pt idx="2">
                  <c:v>4.5463896222985473E-10</c:v>
                </c:pt>
                <c:pt idx="3">
                  <c:v>3.9722332187881421E-10</c:v>
                </c:pt>
                <c:pt idx="4">
                  <c:v>4.4101575681710674E-10</c:v>
                </c:pt>
                <c:pt idx="5">
                  <c:v>4.5463896222985473E-10</c:v>
                </c:pt>
              </c:numCache>
            </c:numRef>
          </c:xVal>
          <c:yVal>
            <c:numRef>
              <c:f>'MFP-rsum (2)'!$BC$7:$BC$9</c:f>
              <c:numCache>
                <c:formatCode>General</c:formatCode>
                <c:ptCount val="3"/>
                <c:pt idx="0">
                  <c:v>2.5700000000000004E-10</c:v>
                </c:pt>
                <c:pt idx="1">
                  <c:v>2.8300000000000001E-10</c:v>
                </c:pt>
                <c:pt idx="2">
                  <c:v>3.1899999999999998E-10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1B-4451-9EA8-21B1204B212C}"/>
            </c:ext>
          </c:extLst>
        </c:ser>
        <c:ser>
          <c:idx val="0"/>
          <c:order val="1"/>
          <c:tx>
            <c:v>Pure Fluorides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('MFP-rsum (2)'!$BI$2:$BI$4,'MFP-rsum (2)'!$BI$10,'MFP-rsum (2)'!$BI$10:$BI$13)</c:f>
              <c:numCache>
                <c:formatCode>General</c:formatCode>
                <c:ptCount val="8"/>
                <c:pt idx="0">
                  <c:v>3.3362478188978761E-10</c:v>
                </c:pt>
                <c:pt idx="1">
                  <c:v>5.3838137915528699E-10</c:v>
                </c:pt>
                <c:pt idx="2">
                  <c:v>4.6723062708309508E-10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xVal>
          <c:yVal>
            <c:numRef>
              <c:f>('MFP-rsum (2)'!$BC$2:$BC$4,'MFP-rsum (2)'!$BC$10,'MFP-rsum (2)'!$BC$11,'MFP-rsum (2)'!$BC$12,'MFP-rsum (2)'!$BC$13)</c:f>
              <c:numCache>
                <c:formatCode>General</c:formatCode>
                <c:ptCount val="7"/>
                <c:pt idx="0">
                  <c:v>2.0900000000000005E-10</c:v>
                </c:pt>
                <c:pt idx="1">
                  <c:v>2.3499999999999996E-10</c:v>
                </c:pt>
                <c:pt idx="2">
                  <c:v>2.710000000000001E-10</c:v>
                </c:pt>
                <c:pt idx="3">
                  <c:v>1.6699999999999999E-10</c:v>
                </c:pt>
                <c:pt idx="4">
                  <c:v>2.0499999999999996E-10</c:v>
                </c:pt>
                <c:pt idx="5">
                  <c:v>2.3299999999999997E-10</c:v>
                </c:pt>
                <c:pt idx="6">
                  <c:v>2.5100000000000012E-10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1B-4451-9EA8-21B1204B212C}"/>
            </c:ext>
          </c:extLst>
        </c:ser>
        <c:ser>
          <c:idx val="1"/>
          <c:order val="2"/>
          <c:tx>
            <c:v>Chloride Mixtures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'MFP-rsum (2)'!$BI$31:$BI$32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'MFP-rsum (2)'!$BC$31:$BC$32</c:f>
              <c:numCache>
                <c:formatCode>General</c:formatCode>
                <c:ptCount val="2"/>
                <c:pt idx="0">
                  <c:v>2.2842400000000006E-10</c:v>
                </c:pt>
                <c:pt idx="1">
                  <c:v>2.2510131898000011E-10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F1B-4451-9EA8-21B1204B212C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('MFP-rsum (2)'!$BI$24:$BI$25,'MFP-rsum (2)'!$BI$28,'MFP-rsum (2)'!$BI$33,'MFP-rsum (2)'!$BI$35)</c:f>
              <c:numCache>
                <c:formatCode>General</c:formatCode>
                <c:ptCount val="5"/>
                <c:pt idx="0">
                  <c:v>2.9961734518972644E-10</c:v>
                </c:pt>
                <c:pt idx="1">
                  <c:v>3.4452721547321571E-10</c:v>
                </c:pt>
                <c:pt idx="2">
                  <c:v>0</c:v>
                </c:pt>
                <c:pt idx="3">
                  <c:v>4.4020622890875483E-10</c:v>
                </c:pt>
                <c:pt idx="4">
                  <c:v>2.6946274087941787E-10</c:v>
                </c:pt>
              </c:numCache>
            </c:numRef>
          </c:xVal>
          <c:yVal>
            <c:numRef>
              <c:f>('MFP-rsum (2)'!$BC$24:$BC$25,'MFP-rsum (2)'!$BC$28,'MFP-rsum (2)'!$BC$33,'MFP-rsum (2)'!$BC$35)</c:f>
              <c:numCache>
                <c:formatCode>General</c:formatCode>
                <c:ptCount val="5"/>
                <c:pt idx="0">
                  <c:v>1.7003600000000001E-10</c:v>
                </c:pt>
                <c:pt idx="1">
                  <c:v>1.7512524999999998E-10</c:v>
                </c:pt>
                <c:pt idx="2">
                  <c:v>1.7597899999999999E-10</c:v>
                </c:pt>
                <c:pt idx="3">
                  <c:v>1.9348255000000005E-10</c:v>
                </c:pt>
                <c:pt idx="4">
                  <c:v>1.7668000000000003E-10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F1B-4451-9EA8-21B1204B212C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'MFP-rsum (2)'!$BI$36:$BI$37</c:f>
              <c:numCache>
                <c:formatCode>General</c:formatCode>
                <c:ptCount val="2"/>
                <c:pt idx="0">
                  <c:v>2.2929143681734543E-10</c:v>
                </c:pt>
                <c:pt idx="1">
                  <c:v>2.6162169932534942E-10</c:v>
                </c:pt>
              </c:numCache>
            </c:numRef>
          </c:xVal>
          <c:yVal>
            <c:numRef>
              <c:f>'MFP-rsum (2)'!$BC$36:$BC$37</c:f>
              <c:numCache>
                <c:formatCode>General</c:formatCode>
                <c:ptCount val="2"/>
                <c:pt idx="0">
                  <c:v>2.3736419999999999E-10</c:v>
                </c:pt>
                <c:pt idx="1">
                  <c:v>2.3873015199999994E-10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F1B-4451-9EA8-21B1204B212C}"/>
            </c:ext>
          </c:extLst>
        </c:ser>
        <c:ser>
          <c:idx val="7"/>
          <c:order val="5"/>
          <c:tx>
            <c:v>Fluoride Actinides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('MFP-rsum (2)'!$BI$26:$BI$27,'MFP-rsum (2)'!$BI$29:$BI$30,'MFP-rsum (2)'!$BI$38:$BI$40)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xVal>
          <c:yVal>
            <c:numRef>
              <c:f>('MFP-rsum (2)'!$BC$26:$BC$27,'MFP-rsum (2)'!$BC$29:$BC$30,'MFP-rsum (2)'!$BC$38:$BC$40)</c:f>
              <c:numCache>
                <c:formatCode>General</c:formatCode>
                <c:ptCount val="7"/>
                <c:pt idx="0">
                  <c:v>1.7027145000000005E-10</c:v>
                </c:pt>
                <c:pt idx="1">
                  <c:v>1.7351204000000004E-10</c:v>
                </c:pt>
                <c:pt idx="2">
                  <c:v>1.7534405000000001E-10</c:v>
                </c:pt>
                <c:pt idx="3">
                  <c:v>1.7473239999999999E-10</c:v>
                </c:pt>
                <c:pt idx="4">
                  <c:v>1.6982200000000003E-10</c:v>
                </c:pt>
                <c:pt idx="5">
                  <c:v>1.68408E-10</c:v>
                </c:pt>
                <c:pt idx="6">
                  <c:v>1.6994999999999999E-10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F1B-4451-9EA8-21B1204B212C}"/>
            </c:ext>
          </c:extLst>
        </c:ser>
        <c:ser>
          <c:idx val="8"/>
          <c:order val="6"/>
          <c:tx>
            <c:v>Pure Nitrates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'MFP-rsum (2)'!$BI$17:$BI$18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'MFP-rsum (2)'!$BC$17:$BC$18</c:f>
              <c:numCache>
                <c:formatCode>General</c:formatCode>
                <c:ptCount val="2"/>
                <c:pt idx="0">
                  <c:v>3.3300000000000009E-10</c:v>
                </c:pt>
                <c:pt idx="1">
                  <c:v>3.6899999999999997E-10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F1B-4451-9EA8-21B1204B212C}"/>
            </c:ext>
          </c:extLst>
        </c:ser>
        <c:ser>
          <c:idx val="2"/>
          <c:order val="7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'MFP-rsum (2)'!$BI$41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'MFP-rsum (2)'!$BC$41</c:f>
              <c:numCache>
                <c:formatCode>0.000E+00</c:formatCode>
                <c:ptCount val="1"/>
                <c:pt idx="0">
                  <c:v>3.1000000000000002E-10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F1B-4451-9EA8-21B1204B212C}"/>
            </c:ext>
          </c:extLst>
        </c:ser>
        <c:ser>
          <c:idx val="3"/>
          <c:order val="8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9.9999999999999994E-12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9.9999999999999994E-12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C-2F1B-4451-9EA8-21B1204B2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6.0000000000000031E-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MFP_calc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6.0000000000000031E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MFP r_sum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Pure Salts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'MFP-rsum (2)'!$AW$2:$AW$22</c:f>
              <c:numCache>
                <c:formatCode>General</c:formatCode>
                <c:ptCount val="21"/>
                <c:pt idx="0">
                  <c:v>0.79448872327487496</c:v>
                </c:pt>
                <c:pt idx="1">
                  <c:v>0.53220717521206062</c:v>
                </c:pt>
                <c:pt idx="2">
                  <c:v>0.3607730892591835</c:v>
                </c:pt>
                <c:pt idx="5">
                  <c:v>0.40224439226966308</c:v>
                </c:pt>
                <c:pt idx="6">
                  <c:v>0.30612615309310248</c:v>
                </c:pt>
                <c:pt idx="7">
                  <c:v>0.25652333922633108</c:v>
                </c:pt>
                <c:pt idx="8">
                  <c:v>0.51979938659180325</c:v>
                </c:pt>
                <c:pt idx="9">
                  <c:v>0.55165642193242048</c:v>
                </c:pt>
                <c:pt idx="10">
                  <c:v>0.42810664299445522</c:v>
                </c:pt>
                <c:pt idx="11">
                  <c:v>0.31989463805530149</c:v>
                </c:pt>
                <c:pt idx="12">
                  <c:v>0.28861057804145579</c:v>
                </c:pt>
                <c:pt idx="14">
                  <c:v>0.33599408249358731</c:v>
                </c:pt>
                <c:pt idx="15">
                  <c:v>0.69828459522735364</c:v>
                </c:pt>
                <c:pt idx="16">
                  <c:v>0.53083304545912946</c:v>
                </c:pt>
              </c:numCache>
            </c:numRef>
          </c:xVal>
          <c:yVal>
            <c:numRef>
              <c:f>'MFP-rsum (2)'!$AI$2:$AI$22</c:f>
              <c:numCache>
                <c:formatCode>General</c:formatCode>
                <c:ptCount val="21"/>
                <c:pt idx="0">
                  <c:v>1.2682350574951</c:v>
                </c:pt>
                <c:pt idx="1">
                  <c:v>1.2192784382425901</c:v>
                </c:pt>
                <c:pt idx="2">
                  <c:v>0.62200825361355605</c:v>
                </c:pt>
                <c:pt idx="5">
                  <c:v>0.62171538406412596</c:v>
                </c:pt>
                <c:pt idx="6">
                  <c:v>0.47705461868503202</c:v>
                </c:pt>
                <c:pt idx="7">
                  <c:v>0.36559719352224501</c:v>
                </c:pt>
                <c:pt idx="12">
                  <c:v>0.79107788518133404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F8-4EC3-9EBF-F96F094BAC9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'MFP-rsum (2)'!$AW$23:$AW$40</c:f>
              <c:numCache>
                <c:formatCode>General</c:formatCode>
                <c:ptCount val="18"/>
                <c:pt idx="0">
                  <c:v>0.28255485787268969</c:v>
                </c:pt>
                <c:pt idx="1">
                  <c:v>0.62426158899966577</c:v>
                </c:pt>
                <c:pt idx="2">
                  <c:v>0.39969771709442198</c:v>
                </c:pt>
                <c:pt idx="3">
                  <c:v>0.43510012746839721</c:v>
                </c:pt>
                <c:pt idx="4">
                  <c:v>0.58242618348722919</c:v>
                </c:pt>
                <c:pt idx="5">
                  <c:v>0.66180310738547476</c:v>
                </c:pt>
                <c:pt idx="6">
                  <c:v>0.63042335803936922</c:v>
                </c:pt>
                <c:pt idx="7">
                  <c:v>0.60277957505526136</c:v>
                </c:pt>
                <c:pt idx="8">
                  <c:v>0.26536256928250768</c:v>
                </c:pt>
                <c:pt idx="9">
                  <c:v>0.28383633978433381</c:v>
                </c:pt>
                <c:pt idx="10">
                  <c:v>0.33711022330844781</c:v>
                </c:pt>
                <c:pt idx="11">
                  <c:v>0.33404178089988812</c:v>
                </c:pt>
                <c:pt idx="12">
                  <c:v>0.56745362404407373</c:v>
                </c:pt>
                <c:pt idx="13">
                  <c:v>0.24768639859495001</c:v>
                </c:pt>
                <c:pt idx="14">
                  <c:v>0.25155328115048259</c:v>
                </c:pt>
                <c:pt idx="15">
                  <c:v>0.25347401642401401</c:v>
                </c:pt>
                <c:pt idx="16">
                  <c:v>0.24265777297582219</c:v>
                </c:pt>
                <c:pt idx="17">
                  <c:v>0.23920093487850599</c:v>
                </c:pt>
              </c:numCache>
            </c:numRef>
          </c:xVal>
          <c:yVal>
            <c:numRef>
              <c:f>'MFP-rsum (2)'!$AI$23:$AI$40</c:f>
              <c:numCache>
                <c:formatCode>General</c:formatCode>
                <c:ptCount val="18"/>
                <c:pt idx="1">
                  <c:v>1.1000000000000001</c:v>
                </c:pt>
                <c:pt idx="2">
                  <c:v>0.78633287605038305</c:v>
                </c:pt>
                <c:pt idx="10">
                  <c:v>0.766984</c:v>
                </c:pt>
                <c:pt idx="12">
                  <c:v>0.86544945017474995</c:v>
                </c:pt>
                <c:pt idx="13">
                  <c:v>0.239262577144952</c:v>
                </c:pt>
                <c:pt idx="14">
                  <c:v>0.27567442291687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F8-4EC3-9EBF-F96F094BAC9F}"/>
            </c:ext>
          </c:extLst>
        </c:ser>
        <c:ser>
          <c:idx val="2"/>
          <c:order val="2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'MFP-rsum (2)'!$AW$41</c:f>
              <c:numCache>
                <c:formatCode>0.00000</c:formatCode>
                <c:ptCount val="1"/>
                <c:pt idx="0">
                  <c:v>0.60645622271550126</c:v>
                </c:pt>
              </c:numCache>
            </c:numRef>
          </c:xVal>
          <c:yVal>
            <c:numRef>
              <c:f>'MFP-rsum (2)'!$AI$41</c:f>
              <c:numCache>
                <c:formatCode>0.00000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FF8-4EC3-9EBF-F96F094BAC9F}"/>
            </c:ext>
          </c:extLst>
        </c:ser>
        <c:ser>
          <c:idx val="3"/>
          <c:order val="3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.000000000000001E-2"/>
            <c:intercept val="0"/>
            <c:dispRSqr val="0"/>
            <c:dispEq val="0"/>
          </c:trendline>
          <c:xVal>
            <c:numLit>
              <c:formatCode>General</c:formatCode>
              <c:ptCount val="6"/>
              <c:pt idx="0">
                <c:v>0</c:v>
              </c:pt>
              <c:pt idx="1">
                <c:v>0.2</c:v>
              </c:pt>
              <c:pt idx="2">
                <c:v>0.4</c:v>
              </c:pt>
              <c:pt idx="3">
                <c:v>0.6</c:v>
              </c:pt>
              <c:pt idx="4">
                <c:v>0.8</c:v>
              </c:pt>
              <c:pt idx="5">
                <c:v>1</c:v>
              </c:pt>
            </c:numLit>
          </c:xVal>
          <c:yVal>
            <c:numLit>
              <c:formatCode>General</c:formatCode>
              <c:ptCount val="6"/>
              <c:pt idx="0">
                <c:v>0</c:v>
              </c:pt>
              <c:pt idx="1">
                <c:v>0.2</c:v>
              </c:pt>
              <c:pt idx="2">
                <c:v>0.4</c:v>
              </c:pt>
              <c:pt idx="3">
                <c:v>0.6</c:v>
              </c:pt>
              <c:pt idx="4">
                <c:v>0.8</c:v>
              </c:pt>
              <c:pt idx="5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7-8FF8-4EC3-9EBF-F96F094BA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_predicted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baseline="0">
                    <a:effectLst/>
                  </a:rPr>
                  <a:t>λ</a:t>
                </a:r>
                <a:r>
                  <a:rPr lang="en-US" sz="1000" b="0" i="0" u="none" strike="noStrike" baseline="0">
                    <a:effectLst/>
                  </a:rPr>
                  <a:t>_measured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66593759113446"/>
          <c:y val="5.9523809523809521E-2"/>
          <c:w val="0.56891659375911341"/>
          <c:h val="0.80395513060867396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'MFP-rsum (2)'!$AW$7:$AW$9</c:f>
              <c:numCache>
                <c:formatCode>General</c:formatCode>
                <c:ptCount val="3"/>
                <c:pt idx="0">
                  <c:v>0.40224439226966308</c:v>
                </c:pt>
                <c:pt idx="1">
                  <c:v>0.30612615309310248</c:v>
                </c:pt>
                <c:pt idx="2">
                  <c:v>0.25652333922633108</c:v>
                </c:pt>
              </c:numCache>
            </c:numRef>
          </c:xVal>
          <c:yVal>
            <c:numRef>
              <c:f>'MFP-rsum (2)'!$AI$7:$AI$9</c:f>
              <c:numCache>
                <c:formatCode>General</c:formatCode>
                <c:ptCount val="3"/>
                <c:pt idx="0">
                  <c:v>0.62171538406412596</c:v>
                </c:pt>
                <c:pt idx="1">
                  <c:v>0.47705461868503202</c:v>
                </c:pt>
                <c:pt idx="2">
                  <c:v>0.36559719352224501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39-4636-8BFA-3E105819664B}"/>
            </c:ext>
          </c:extLst>
        </c:ser>
        <c:ser>
          <c:idx val="0"/>
          <c:order val="1"/>
          <c:tx>
            <c:v>Pure Fluorides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('MFP-rsum (2)'!$AW$3:$AW$4,'MFP-rsum (2)'!$AW$10:$AW$13)</c:f>
              <c:numCache>
                <c:formatCode>General</c:formatCode>
                <c:ptCount val="6"/>
                <c:pt idx="0">
                  <c:v>0.53220717521206062</c:v>
                </c:pt>
                <c:pt idx="1">
                  <c:v>0.3607730892591835</c:v>
                </c:pt>
                <c:pt idx="2">
                  <c:v>0.51979938659180325</c:v>
                </c:pt>
                <c:pt idx="3">
                  <c:v>0.55165642193242048</c:v>
                </c:pt>
                <c:pt idx="4">
                  <c:v>0.42810664299445522</c:v>
                </c:pt>
                <c:pt idx="5">
                  <c:v>0.31989463805530149</c:v>
                </c:pt>
              </c:numCache>
            </c:numRef>
          </c:xVal>
          <c:yVal>
            <c:numRef>
              <c:f>('MFP-rsum (2)'!$AI$3:$AI$4,'MFP-rsum (2)'!$AI$10:$AI$13)</c:f>
              <c:numCache>
                <c:formatCode>General</c:formatCode>
                <c:ptCount val="6"/>
                <c:pt idx="0">
                  <c:v>1.2192784382425901</c:v>
                </c:pt>
                <c:pt idx="1">
                  <c:v>0.62200825361355605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39-4636-8BFA-3E105819664B}"/>
            </c:ext>
          </c:extLst>
        </c:ser>
        <c:ser>
          <c:idx val="1"/>
          <c:order val="2"/>
          <c:tx>
            <c:v>Chloride Mixtures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'MFP-rsum (2)'!$AW$31:$AW$32</c:f>
              <c:numCache>
                <c:formatCode>General</c:formatCode>
                <c:ptCount val="2"/>
                <c:pt idx="0">
                  <c:v>0.26536256928250768</c:v>
                </c:pt>
                <c:pt idx="1">
                  <c:v>0.28383633978433381</c:v>
                </c:pt>
              </c:numCache>
            </c:numRef>
          </c:xVal>
          <c:yVal>
            <c:numRef>
              <c:f>'MFP-rsum (2)'!$AI$31:$AI$32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839-4636-8BFA-3E105819664B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('MFP-rsum (2)'!$AW$24,'MFP-rsum (2)'!$AW$25,'MFP-rsum (2)'!$AW$28,'MFP-rsum (2)'!$AW$33,'MFP-rsum (2)'!$AW$35)</c:f>
              <c:numCache>
                <c:formatCode>General</c:formatCode>
                <c:ptCount val="5"/>
                <c:pt idx="0">
                  <c:v>0.62426158899966577</c:v>
                </c:pt>
                <c:pt idx="1">
                  <c:v>0.39969771709442198</c:v>
                </c:pt>
                <c:pt idx="2">
                  <c:v>0.66180310738547476</c:v>
                </c:pt>
                <c:pt idx="3">
                  <c:v>0.33711022330844781</c:v>
                </c:pt>
                <c:pt idx="4">
                  <c:v>0.56745362404407373</c:v>
                </c:pt>
              </c:numCache>
            </c:numRef>
          </c:xVal>
          <c:yVal>
            <c:numRef>
              <c:f>('MFP-rsum (2)'!$AI$24,'MFP-rsum (2)'!$AI$25,'MFP-rsum (2)'!$AI$28,'MFP-rsum (2)'!$AI$33,'MFP-rsum (2)'!$AI$35)</c:f>
              <c:numCache>
                <c:formatCode>General</c:formatCode>
                <c:ptCount val="5"/>
                <c:pt idx="0">
                  <c:v>1.1000000000000001</c:v>
                </c:pt>
                <c:pt idx="1">
                  <c:v>0.78633287605038305</c:v>
                </c:pt>
                <c:pt idx="3">
                  <c:v>0.766984</c:v>
                </c:pt>
                <c:pt idx="4">
                  <c:v>0.86544945017474995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839-4636-8BFA-3E105819664B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'MFP-rsum (2)'!$AW$36:$AW$37</c:f>
              <c:numCache>
                <c:formatCode>General</c:formatCode>
                <c:ptCount val="2"/>
                <c:pt idx="0">
                  <c:v>0.24768639859495001</c:v>
                </c:pt>
                <c:pt idx="1">
                  <c:v>0.25155328115048259</c:v>
                </c:pt>
              </c:numCache>
            </c:numRef>
          </c:xVal>
          <c:yVal>
            <c:numRef>
              <c:f>'MFP-rsum (2)'!$AI$36:$AI$37</c:f>
              <c:numCache>
                <c:formatCode>General</c:formatCode>
                <c:ptCount val="2"/>
                <c:pt idx="0">
                  <c:v>0.239262577144952</c:v>
                </c:pt>
                <c:pt idx="1">
                  <c:v>0.27567442291687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839-4636-8BFA-3E105819664B}"/>
            </c:ext>
          </c:extLst>
        </c:ser>
        <c:ser>
          <c:idx val="7"/>
          <c:order val="5"/>
          <c:tx>
            <c:v>Fluoride Actinides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('MFP-rsum (2)'!$AW$26:$AW$27,'MFP-rsum (2)'!$AW$29:$AW$30,'MFP-rsum (2)'!$AW$38:$AW$40)</c:f>
              <c:numCache>
                <c:formatCode>General</c:formatCode>
                <c:ptCount val="7"/>
                <c:pt idx="0">
                  <c:v>0.43510012746839721</c:v>
                </c:pt>
                <c:pt idx="1">
                  <c:v>0.58242618348722919</c:v>
                </c:pt>
                <c:pt idx="2">
                  <c:v>0.63042335803936922</c:v>
                </c:pt>
                <c:pt idx="3">
                  <c:v>0.60277957505526136</c:v>
                </c:pt>
                <c:pt idx="4">
                  <c:v>0.25347401642401401</c:v>
                </c:pt>
                <c:pt idx="5">
                  <c:v>0.24265777297582219</c:v>
                </c:pt>
                <c:pt idx="6">
                  <c:v>0.23920093487850599</c:v>
                </c:pt>
              </c:numCache>
            </c:numRef>
          </c:xVal>
          <c:yVal>
            <c:numRef>
              <c:f>('MFP-rsum (2)'!$AI$26:$AI$27,'MFP-rsum (2)'!$AI$29:$AI$30,'MFP-rsum (2)'!$AI$38:$AI$40)</c:f>
              <c:numCache>
                <c:formatCode>General</c:formatCode>
                <c:ptCount val="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839-4636-8BFA-3E105819664B}"/>
            </c:ext>
          </c:extLst>
        </c:ser>
        <c:ser>
          <c:idx val="8"/>
          <c:order val="6"/>
          <c:tx>
            <c:v>Pure Nitrates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'MFP-rsum (2)'!$AW$17:$AW$18</c:f>
              <c:numCache>
                <c:formatCode>General</c:formatCode>
                <c:ptCount val="2"/>
                <c:pt idx="0">
                  <c:v>0.69828459522735364</c:v>
                </c:pt>
                <c:pt idx="1">
                  <c:v>0.53083304545912946</c:v>
                </c:pt>
              </c:numCache>
            </c:numRef>
          </c:xVal>
          <c:yVal>
            <c:numRef>
              <c:f>'MFP-rsum (2)'!$AI$17:$AI$18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839-4636-8BFA-3E105819664B}"/>
            </c:ext>
          </c:extLst>
        </c:ser>
        <c:ser>
          <c:idx val="2"/>
          <c:order val="7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'MFP-rsum (2)'!$AW$41</c:f>
              <c:numCache>
                <c:formatCode>0.00000</c:formatCode>
                <c:ptCount val="1"/>
                <c:pt idx="0">
                  <c:v>0.60645622271550126</c:v>
                </c:pt>
              </c:numCache>
            </c:numRef>
          </c:xVal>
          <c:yVal>
            <c:numRef>
              <c:f>'MFP-rsum (2)'!$AI$41</c:f>
              <c:numCache>
                <c:formatCode>0.00000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839-4636-8BFA-3E105819664B}"/>
            </c:ext>
          </c:extLst>
        </c:ser>
        <c:ser>
          <c:idx val="3"/>
          <c:order val="8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C-F839-4636-8BFA-3E1058196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_predicted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ayout>
        <c:manualLayout>
          <c:xMode val="edge"/>
          <c:yMode val="edge"/>
          <c:x val="0.67247134733158342"/>
          <c:y val="0.16517622797150353"/>
          <c:w val="0.32205682200056962"/>
          <c:h val="0.583858091220240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15782055020897"/>
          <c:y val="4.3650793650793648E-2"/>
          <c:w val="0.52816515991056678"/>
          <c:h val="0.82379640044994373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('MFP-rsum (2)'!$BS$7,'MFP-rsum (2)'!$BS$8,'MFP-rsum (2)'!$BS$9,'MFP-rsum (2)'!$BS$14)</c:f>
              <c:numCache>
                <c:formatCode>General</c:formatCode>
                <c:ptCount val="4"/>
                <c:pt idx="0">
                  <c:v>100.49595481930155</c:v>
                </c:pt>
                <c:pt idx="1">
                  <c:v>108.49299289613769</c:v>
                </c:pt>
                <c:pt idx="2">
                  <c:v>104.89475742983483</c:v>
                </c:pt>
                <c:pt idx="3">
                  <c:v>252.30238499682449</c:v>
                </c:pt>
              </c:numCache>
            </c:numRef>
          </c:xVal>
          <c:yVal>
            <c:numRef>
              <c:f>('MFP-rsum (2)'!$BQ$7,'MFP-rsum (2)'!$BQ$8,'MFP-rsum (2)'!$BQ$9,'MFP-rsum (2)'!$BQ$14)</c:f>
              <c:numCache>
                <c:formatCode>#,##0.00</c:formatCode>
                <c:ptCount val="4"/>
                <c:pt idx="0">
                  <c:v>65.02</c:v>
                </c:pt>
                <c:pt idx="1">
                  <c:v>69.62</c:v>
                </c:pt>
                <c:pt idx="2">
                  <c:v>73.599999999999994</c:v>
                </c:pt>
                <c:pt idx="3" formatCode="General">
                  <c:v>92.048000000000002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E1-45BE-AD95-63AED4453545}"/>
            </c:ext>
          </c:extLst>
        </c:ser>
        <c:ser>
          <c:idx val="0"/>
          <c:order val="1"/>
          <c:tx>
            <c:v>Pure Fluorides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('MFP-rsum (2)'!$BS$2:$BS$4,'MFP-rsum (2)'!$BS$10:$BS$13)</c:f>
              <c:numCache>
                <c:formatCode>General</c:formatCode>
                <c:ptCount val="7"/>
                <c:pt idx="0">
                  <c:v>102.48187080059502</c:v>
                </c:pt>
                <c:pt idx="1">
                  <c:v>160.82711836894106</c:v>
                </c:pt>
                <c:pt idx="2">
                  <c:v>115.34217325409244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xVal>
          <c:yVal>
            <c:numRef>
              <c:f>('MFP-rsum (2)'!$BQ$2:$BQ$4,'MFP-rsum (2)'!$BQ$10,'MFP-rsum (2)'!$BQ$11,'MFP-rsum (2)'!$BQ$12,'MFP-rsum (2)'!$BQ$13)</c:f>
              <c:numCache>
                <c:formatCode>#,##0.00</c:formatCode>
                <c:ptCount val="7"/>
                <c:pt idx="0">
                  <c:v>64.2</c:v>
                </c:pt>
                <c:pt idx="1">
                  <c:v>70.2</c:v>
                </c:pt>
                <c:pt idx="2">
                  <c:v>66.900000000000006</c:v>
                </c:pt>
                <c:pt idx="3">
                  <c:v>87.9</c:v>
                </c:pt>
                <c:pt idx="4">
                  <c:v>94.9</c:v>
                </c:pt>
                <c:pt idx="5" formatCode="General">
                  <c:v>99.914000000000001</c:v>
                </c:pt>
                <c:pt idx="6">
                  <c:v>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E1-45BE-AD95-63AED4453545}"/>
            </c:ext>
          </c:extLst>
        </c:ser>
        <c:ser>
          <c:idx val="1"/>
          <c:order val="2"/>
          <c:tx>
            <c:v>Chloride Mixtures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('MFP-rsum (2)'!$BS$23,'MFP-rsum (2)'!$BS$31,'MFP-rsum (2)'!$BS$32,'MFP-rsum (2)'!$BS$34)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xVal>
          <c:yVal>
            <c:numRef>
              <c:f>('MFP-rsum (2)'!$BQ$23,'MFP-rsum (2)'!$BQ$31,'MFP-rsum (2)'!$BQ$32,'MFP-rsum (2)'!$BQ$34,'MFP-rsum (2)'!$BQ$36,'MFP-rsum (2)'!$BQ$36)</c:f>
              <c:numCache>
                <c:formatCode>General</c:formatCode>
                <c:ptCount val="6"/>
                <c:pt idx="0">
                  <c:v>79.503360000000001</c:v>
                </c:pt>
                <c:pt idx="1">
                  <c:v>86.14464000000001</c:v>
                </c:pt>
                <c:pt idx="2">
                  <c:v>74.557488799999987</c:v>
                </c:pt>
                <c:pt idx="3">
                  <c:v>68.606440000000006</c:v>
                </c:pt>
                <c:pt idx="4">
                  <c:v>99.360600000000005</c:v>
                </c:pt>
                <c:pt idx="5">
                  <c:v>99.360600000000005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7E1-45BE-AD95-63AED4453545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('MFP-rsum (2)'!$BS$24:$BS$25,'MFP-rsum (2)'!$BS$28,'MFP-rsum (2)'!$BS$33,'MFP-rsum (2)'!$BS$35)</c:f>
              <c:numCache>
                <c:formatCode>General</c:formatCode>
                <c:ptCount val="5"/>
                <c:pt idx="0">
                  <c:v>127.32450850831152</c:v>
                </c:pt>
                <c:pt idx="1">
                  <c:v>129.89026353654654</c:v>
                </c:pt>
                <c:pt idx="2">
                  <c:v>0</c:v>
                </c:pt>
                <c:pt idx="3">
                  <c:v>158.94015683699766</c:v>
                </c:pt>
                <c:pt idx="4">
                  <c:v>101.57470309355462</c:v>
                </c:pt>
              </c:numCache>
            </c:numRef>
          </c:xVal>
          <c:yVal>
            <c:numRef>
              <c:f>('MFP-rsum (2)'!$BQ$24:$BQ$25,'MFP-rsum (2)'!$BQ$28,'MFP-rsum (2)'!$BQ$33,'MFP-rsum (2)'!$BQ$35)</c:f>
              <c:numCache>
                <c:formatCode>General</c:formatCode>
                <c:ptCount val="5"/>
                <c:pt idx="0">
                  <c:v>72.25800000000001</c:v>
                </c:pt>
                <c:pt idx="1">
                  <c:v>66.024000000000001</c:v>
                </c:pt>
                <c:pt idx="2">
                  <c:v>70.599000000000004</c:v>
                </c:pt>
                <c:pt idx="3">
                  <c:v>69.858500000000006</c:v>
                </c:pt>
                <c:pt idx="4">
                  <c:v>66.600000000000009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7E1-45BE-AD95-63AED4453545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'MFP-rsum (2)'!$BS$36:$BS$37</c:f>
              <c:numCache>
                <c:formatCode>General</c:formatCode>
                <c:ptCount val="2"/>
                <c:pt idx="0">
                  <c:v>95.981343172363552</c:v>
                </c:pt>
                <c:pt idx="1">
                  <c:v>106.42171733973811</c:v>
                </c:pt>
              </c:numCache>
            </c:numRef>
          </c:xVal>
          <c:yVal>
            <c:numRef>
              <c:f>'MFP-rsum (2)'!$BQ$36:$BQ$37</c:f>
              <c:numCache>
                <c:formatCode>General</c:formatCode>
                <c:ptCount val="2"/>
                <c:pt idx="0">
                  <c:v>99.360600000000005</c:v>
                </c:pt>
                <c:pt idx="1">
                  <c:v>97.109960000000001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7E1-45BE-AD95-63AED4453545}"/>
            </c:ext>
          </c:extLst>
        </c:ser>
        <c:ser>
          <c:idx val="7"/>
          <c:order val="5"/>
          <c:tx>
            <c:v>Fluoride Actinides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('MFP-rsum (2)'!$BS$26:$BS$27,'MFP-rsum (2)'!$BS$29:$BS$30,'MFP-rsum (2)'!$BS$38:$BS$40)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xVal>
          <c:yVal>
            <c:numRef>
              <c:f>('MFP-rsum (2)'!$BQ$26:$BQ$27,'MFP-rsum (2)'!$BQ$29:$BQ$30,'MFP-rsum (2)'!$BQ$38:$BQ$40)</c:f>
              <c:numCache>
                <c:formatCode>General</c:formatCode>
                <c:ptCount val="7"/>
                <c:pt idx="0">
                  <c:v>82.635000000000005</c:v>
                </c:pt>
                <c:pt idx="1">
                  <c:v>73.469400000000007</c:v>
                </c:pt>
                <c:pt idx="2">
                  <c:v>71.578500000000005</c:v>
                </c:pt>
                <c:pt idx="3">
                  <c:v>72.558000000000007</c:v>
                </c:pt>
                <c:pt idx="4">
                  <c:v>100.416</c:v>
                </c:pt>
                <c:pt idx="5">
                  <c:v>110.928</c:v>
                </c:pt>
                <c:pt idx="6">
                  <c:v>121.44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7E1-45BE-AD95-63AED4453545}"/>
            </c:ext>
          </c:extLst>
        </c:ser>
        <c:ser>
          <c:idx val="8"/>
          <c:order val="6"/>
          <c:tx>
            <c:v>Pure Nitrates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'MFP-rsum (2)'!$BS$17:$BS$18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'MFP-rsum (2)'!$BQ$17:$BQ$18</c:f>
              <c:numCache>
                <c:formatCode>General</c:formatCode>
                <c:ptCount val="2"/>
                <c:pt idx="0">
                  <c:v>155.6</c:v>
                </c:pt>
                <c:pt idx="1">
                  <c:v>141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7E1-45BE-AD95-63AED4453545}"/>
            </c:ext>
          </c:extLst>
        </c:ser>
        <c:ser>
          <c:idx val="2"/>
          <c:order val="7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'MFP-rsum (2)'!$BS$41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'MFP-rsum (2)'!$BQ$41</c:f>
              <c:numCache>
                <c:formatCode>#,##0.00</c:formatCode>
                <c:ptCount val="1"/>
                <c:pt idx="0">
                  <c:v>75.38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7E1-45BE-AD95-63AED4453545}"/>
            </c:ext>
          </c:extLst>
        </c:ser>
        <c:ser>
          <c:idx val="3"/>
          <c:order val="8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.000000000000001E-2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250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C-67E1-45BE-AD95-63AED4453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C_p,calc (phonon)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C_p,measured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ayout>
        <c:manualLayout>
          <c:xMode val="edge"/>
          <c:yMode val="edge"/>
          <c:x val="0.67928915135608048"/>
          <c:y val="0.19865860517435321"/>
          <c:w val="0.32071082567580395"/>
          <c:h val="0.593845798600688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00991542723829"/>
          <c:y val="4.3650793650793648E-2"/>
          <c:w val="0.51074058688893342"/>
          <c:h val="0.82379640044994373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'MFP-rsum (2)'!$BN$7:$BN$9</c:f>
              <c:numCache>
                <c:formatCode>0.00E+00</c:formatCode>
                <c:ptCount val="3"/>
                <c:pt idx="0">
                  <c:v>3156.7622555868456</c:v>
                </c:pt>
                <c:pt idx="1">
                  <c:v>2717.2804058192669</c:v>
                </c:pt>
                <c:pt idx="2">
                  <c:v>2276.3074490599633</c:v>
                </c:pt>
              </c:numCache>
            </c:numRef>
          </c:xVal>
          <c:yVal>
            <c:numRef>
              <c:f>'MFP-rsum (2)'!$BL$7:$BL$9</c:f>
              <c:numCache>
                <c:formatCode>0.00E+00</c:formatCode>
                <c:ptCount val="3"/>
                <c:pt idx="0">
                  <c:v>2042.3974499999999</c:v>
                </c:pt>
                <c:pt idx="1">
                  <c:v>1743.6799999999998</c:v>
                </c:pt>
                <c:pt idx="2">
                  <c:v>1597.1839999999997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E8-41C7-B15C-C36C7058794B}"/>
            </c:ext>
          </c:extLst>
        </c:ser>
        <c:ser>
          <c:idx val="0"/>
          <c:order val="1"/>
          <c:tx>
            <c:v>Pure Fluorides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('MFP-rsum (2)'!$BN$10:$BN$13,'MFP-rsum (2)'!$BN$3:$BN$4)</c:f>
              <c:numCache>
                <c:formatCode>0.00E+00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4777.8483669291527</c:v>
                </c:pt>
                <c:pt idx="5">
                  <c:v>3131.6520702351795</c:v>
                </c:pt>
              </c:numCache>
            </c:numRef>
          </c:xVal>
          <c:yVal>
            <c:numRef>
              <c:f>('MFP-rsum (2)'!$BL$3:$BL$4,'MFP-rsum (2)'!$BL$10:$BL$13)</c:f>
              <c:numCache>
                <c:formatCode>0.00E+00</c:formatCode>
                <c:ptCount val="6"/>
                <c:pt idx="0">
                  <c:v>2085.5</c:v>
                </c:pt>
                <c:pt idx="1">
                  <c:v>1816.4</c:v>
                </c:pt>
                <c:pt idx="2">
                  <c:v>2547.8000000000002</c:v>
                </c:pt>
                <c:pt idx="3">
                  <c:v>2175.6</c:v>
                </c:pt>
                <c:pt idx="4">
                  <c:v>1710.3</c:v>
                </c:pt>
                <c:pt idx="5">
                  <c:v>1398.6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E8-41C7-B15C-C36C7058794B}"/>
            </c:ext>
          </c:extLst>
        </c:ser>
        <c:ser>
          <c:idx val="1"/>
          <c:order val="2"/>
          <c:tx>
            <c:v>Chloride Mixtures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'MFP-rsum (2)'!$BN$31:$BN$32</c:f>
              <c:numCache>
                <c:formatCode>0.00E+00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'MFP-rsum (2)'!$BL$31:$BL$32</c:f>
              <c:numCache>
                <c:formatCode>0.00E+00</c:formatCode>
                <c:ptCount val="2"/>
                <c:pt idx="0">
                  <c:v>2039.5014589190009</c:v>
                </c:pt>
                <c:pt idx="1">
                  <c:v>2024.776905844504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E8-41C7-B15C-C36C7058794B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'MFP-rsum (2)'!$BN$24:$BN$25</c:f>
              <c:numCache>
                <c:formatCode>0.00E+00</c:formatCode>
                <c:ptCount val="2"/>
                <c:pt idx="0">
                  <c:v>4489.23185837235</c:v>
                </c:pt>
                <c:pt idx="1">
                  <c:v>3959.1677391932353</c:v>
                </c:pt>
              </c:numCache>
            </c:numRef>
          </c:xVal>
          <c:yVal>
            <c:numRef>
              <c:f>'MFP-rsum (2)'!$BL$24:$BL$25</c:f>
              <c:numCache>
                <c:formatCode>0.00E+00</c:formatCode>
                <c:ptCount val="2"/>
                <c:pt idx="0">
                  <c:v>2547.6863757231322</c:v>
                </c:pt>
                <c:pt idx="1">
                  <c:v>2012.468707779205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E8-41C7-B15C-C36C7058794B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5E8-41C7-B15C-C36C7058794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5E8-41C7-B15C-C36C705879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'MFP-rsum (2)'!$BN$36:$BN$37</c:f>
              <c:numCache>
                <c:formatCode>0.00E+00</c:formatCode>
                <c:ptCount val="2"/>
                <c:pt idx="0">
                  <c:v>1402.3754205360992</c:v>
                </c:pt>
                <c:pt idx="1">
                  <c:v>1611.4557750945626</c:v>
                </c:pt>
              </c:numCache>
            </c:numRef>
          </c:xVal>
          <c:yVal>
            <c:numRef>
              <c:f>'MFP-rsum (2)'!$BL$36:$BL$37</c:f>
              <c:numCache>
                <c:formatCode>0.00E+00</c:formatCode>
                <c:ptCount val="2"/>
                <c:pt idx="0">
                  <c:v>1451.7494609289899</c:v>
                </c:pt>
                <c:pt idx="1">
                  <c:v>1470.4555590061771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5E8-41C7-B15C-C36C7058794B}"/>
            </c:ext>
          </c:extLst>
        </c:ser>
        <c:ser>
          <c:idx val="7"/>
          <c:order val="5"/>
          <c:tx>
            <c:v>Fluoride Actinides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5E8-41C7-B15C-C36C7058794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5E8-41C7-B15C-C36C7058794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5E8-41C7-B15C-C36C7058794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5E8-41C7-B15C-C36C7058794B}"/>
                </c:ext>
              </c:extLst>
            </c:dLbl>
            <c:dLbl>
              <c:idx val="4"/>
              <c:layout>
                <c:manualLayout>
                  <c:x val="6.3760242389898511E-2"/>
                  <c:y val="2.5394638170228721E-2"/>
                </c:manualLayout>
              </c:layout>
              <c:tx>
                <c:rich>
                  <a:bodyPr/>
                  <a:lstStyle/>
                  <a:p>
                    <a:fld id="{1F7953C2-9264-422F-858E-ED5CD7486415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{1F7953C2-9264-422F-858E-ED5CD7486415}</c15:txfldGUID>
                      <c15:f>'MFP-rsum (2)'!$A$38</c15:f>
                      <c15:dlblFieldTableCache>
                        <c:ptCount val="1"/>
                        <c:pt idx="0">
                          <c:v>(NaF-KF)-.3UF4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C5E8-41C7-B15C-C36C7058794B}"/>
                </c:ext>
              </c:extLst>
            </c:dLbl>
            <c:dLbl>
              <c:idx val="5"/>
              <c:layout>
                <c:manualLayout>
                  <c:x val="3.0308242810333601E-2"/>
                  <c:y val="5.6474503187101614E-2"/>
                </c:manualLayout>
              </c:layout>
              <c:tx>
                <c:rich>
                  <a:bodyPr/>
                  <a:lstStyle/>
                  <a:p>
                    <a:fld id="{0313467D-F257-4864-873F-97E226AB7455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{0313467D-F257-4864-873F-97E226AB7455}</c15:txfldGUID>
                      <c15:f>'MFP-rsum (2)'!$A$39</c15:f>
                      <c15:dlblFieldTableCache>
                        <c:ptCount val="1"/>
                        <c:pt idx="0">
                          <c:v>(NaF-KF)-.4UF4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C5E8-41C7-B15C-C36C7058794B}"/>
                </c:ext>
              </c:extLst>
            </c:dLbl>
            <c:dLbl>
              <c:idx val="6"/>
              <c:layout>
                <c:manualLayout>
                  <c:x val="-4.1025495724816174E-2"/>
                  <c:y val="0.11421478565179352"/>
                </c:manualLayout>
              </c:layout>
              <c:tx>
                <c:rich>
                  <a:bodyPr/>
                  <a:lstStyle/>
                  <a:p>
                    <a:fld id="{737A964D-AFE4-41A3-AABE-3DCDE04524DB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{737A964D-AFE4-41A3-AABE-3DCDE04524DB}</c15:txfldGUID>
                      <c15:f>'MFP-rsum (2)'!$A$40</c15:f>
                      <c15:dlblFieldTableCache>
                        <c:ptCount val="1"/>
                        <c:pt idx="0">
                          <c:v>(NaF-KF)-.5UF4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C5E8-41C7-B15C-C36C705879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('MFP-rsum (2)'!$BN$26:$BN$27,'MFP-rsum (2)'!$BN$29:$BN$30,'MFP-rsum (2)'!$BN$38:$BN$40)</c:f>
              <c:numCache>
                <c:formatCode>0.00E+00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xVal>
          <c:yVal>
            <c:numRef>
              <c:f>('MFP-rsum (2)'!$BL$26:$BL$27,'MFP-rsum (2)'!$BL$29:$BL$30,'MFP-rsum (2)'!$BL$38:$BL$40)</c:f>
              <c:numCache>
                <c:formatCode>0.00E+00</c:formatCode>
                <c:ptCount val="7"/>
                <c:pt idx="0">
                  <c:v>1781.433208193873</c:v>
                </c:pt>
                <c:pt idx="1">
                  <c:v>2319.1206460873409</c:v>
                </c:pt>
                <c:pt idx="2">
                  <c:v>2441.8705732183512</c:v>
                </c:pt>
                <c:pt idx="3">
                  <c:v>2348.7520215904742</c:v>
                </c:pt>
                <c:pt idx="4" formatCode="General">
                  <c:v>1348.6175138087231</c:v>
                </c:pt>
                <c:pt idx="5" formatCode="General">
                  <c:v>1272.126022947567</c:v>
                </c:pt>
                <c:pt idx="6" formatCode="General">
                  <c:v>1215.1718333840431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C5E8-41C7-B15C-C36C7058794B}"/>
            </c:ext>
          </c:extLst>
        </c:ser>
        <c:ser>
          <c:idx val="8"/>
          <c:order val="6"/>
          <c:tx>
            <c:v>Pure Nitrates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'MFP-rsum (2)'!$BN$17:$BN$18</c:f>
              <c:numCache>
                <c:formatCode>0.00E+00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'MFP-rsum (2)'!$BL$17:$BL$18</c:f>
              <c:numCache>
                <c:formatCode>0.00E+00</c:formatCode>
                <c:ptCount val="2"/>
                <c:pt idx="0">
                  <c:v>1816.9499999999998</c:v>
                </c:pt>
                <c:pt idx="1">
                  <c:v>1766.56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C5E8-41C7-B15C-C36C7058794B}"/>
            </c:ext>
          </c:extLst>
        </c:ser>
        <c:ser>
          <c:idx val="2"/>
          <c:order val="7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'MFP-rsum (2)'!$BN$41</c:f>
              <c:numCache>
                <c:formatCode>0.00E+00</c:formatCode>
                <c:ptCount val="1"/>
                <c:pt idx="0">
                  <c:v>0</c:v>
                </c:pt>
              </c:numCache>
            </c:numRef>
          </c:xVal>
          <c:yVal>
            <c:numRef>
              <c:f>'MFP-rsum (2)'!$BL$41</c:f>
              <c:numCache>
                <c:formatCode>0.00E+00</c:formatCode>
                <c:ptCount val="1"/>
                <c:pt idx="0">
                  <c:v>1403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C5E8-41C7-B15C-C36C7058794B}"/>
            </c:ext>
          </c:extLst>
        </c:ser>
        <c:ser>
          <c:idx val="3"/>
          <c:order val="8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6000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6000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5-C5E8-41C7-B15C-C36C705879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vs_calc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v_sound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1st Peak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66593759113446"/>
          <c:y val="5.9523809523809521E-2"/>
          <c:w val="0.53988238205690331"/>
          <c:h val="0.80395513060867396"/>
        </c:manualLayout>
      </c:layout>
      <c:scatterChart>
        <c:scatterStyle val="lineMarker"/>
        <c:varyColors val="0"/>
        <c:ser>
          <c:idx val="4"/>
          <c:order val="0"/>
          <c:tx>
            <c:strRef>
              <c:f>'MFP-rsum (2)'!$AF$49</c:f>
              <c:strCache>
                <c:ptCount val="1"/>
                <c:pt idx="0">
                  <c:v>Unary Flourides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'MFP-rsum (2)'!$AG$2:$AG$6</c:f>
              <c:numCache>
                <c:formatCode>General</c:formatCode>
                <c:ptCount val="5"/>
                <c:pt idx="0" formatCode="0.00E+00">
                  <c:v>7.2246877793114628E-7</c:v>
                </c:pt>
                <c:pt idx="1">
                  <c:v>4.9109756053584944E-7</c:v>
                </c:pt>
                <c:pt idx="2">
                  <c:v>3.2961603483108106E-7</c:v>
                </c:pt>
                <c:pt idx="3">
                  <c:v>2.957964068786281E-7</c:v>
                </c:pt>
                <c:pt idx="4">
                  <c:v>2.8095436645910149E-7</c:v>
                </c:pt>
              </c:numCache>
            </c:numRef>
          </c:xVal>
          <c:yVal>
            <c:numRef>
              <c:f>'MFP-rsum (2)'!$AI$2:$AI$6</c:f>
              <c:numCache>
                <c:formatCode>General</c:formatCode>
                <c:ptCount val="5"/>
                <c:pt idx="0">
                  <c:v>1.2682350574951</c:v>
                </c:pt>
                <c:pt idx="1">
                  <c:v>1.2192784382425901</c:v>
                </c:pt>
                <c:pt idx="2">
                  <c:v>0.62200825361355605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1C-4A95-8D8C-8CCBF64481EF}"/>
            </c:ext>
          </c:extLst>
        </c:ser>
        <c:ser>
          <c:idx val="0"/>
          <c:order val="1"/>
          <c:tx>
            <c:strRef>
              <c:f>'MFP-rsum (2)'!$AF$50</c:f>
              <c:strCache>
                <c:ptCount val="1"/>
                <c:pt idx="0">
                  <c:v>Unary Chlorides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'MFP-rsum (2)'!$AG$7:$AG$9</c:f>
              <c:numCache>
                <c:formatCode>General</c:formatCode>
                <c:ptCount val="3"/>
                <c:pt idx="0">
                  <c:v>3.7226977205251361E-7</c:v>
                </c:pt>
                <c:pt idx="1">
                  <c:v>2.861734353833445E-7</c:v>
                </c:pt>
                <c:pt idx="2">
                  <c:v>2.3977579491661176E-7</c:v>
                </c:pt>
              </c:numCache>
            </c:numRef>
          </c:xVal>
          <c:yVal>
            <c:numRef>
              <c:f>'MFP-rsum (2)'!$AI$7:$AI$9</c:f>
              <c:numCache>
                <c:formatCode>General</c:formatCode>
                <c:ptCount val="3"/>
                <c:pt idx="0">
                  <c:v>0.62171538406412596</c:v>
                </c:pt>
                <c:pt idx="1">
                  <c:v>0.47705461868503202</c:v>
                </c:pt>
                <c:pt idx="2">
                  <c:v>0.36559719352224501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1C-4A95-8D8C-8CCBF64481EF}"/>
            </c:ext>
          </c:extLst>
        </c:ser>
        <c:ser>
          <c:idx val="5"/>
          <c:order val="2"/>
          <c:tx>
            <c:strRef>
              <c:f>'MFP-rsum (2)'!$AF$52</c:f>
              <c:strCache>
                <c:ptCount val="1"/>
                <c:pt idx="0">
                  <c:v>Unary Alkaline Earth Chlorides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'MFP-rsum (2)'!$AG$14:$AG$16</c:f>
              <c:numCache>
                <c:formatCode>General</c:formatCode>
                <c:ptCount val="3"/>
                <c:pt idx="0">
                  <c:v>2.6994066201236537E-7</c:v>
                </c:pt>
                <c:pt idx="1">
                  <c:v>3.702431010869908E-7</c:v>
                </c:pt>
                <c:pt idx="2">
                  <c:v>3.2666098973626658E-7</c:v>
                </c:pt>
              </c:numCache>
            </c:numRef>
          </c:xVal>
          <c:yVal>
            <c:numRef>
              <c:f>'MFP-rsum (2)'!$AI$14:$AI$16</c:f>
              <c:numCache>
                <c:formatCode>General</c:formatCode>
                <c:ptCount val="3"/>
                <c:pt idx="0">
                  <c:v>0.79107788518133404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1C-4A95-8D8C-8CCBF64481EF}"/>
            </c:ext>
          </c:extLst>
        </c:ser>
        <c:ser>
          <c:idx val="6"/>
          <c:order val="3"/>
          <c:tx>
            <c:strRef>
              <c:f>'MFP-rsum (2)'!$AF$53</c:f>
              <c:strCache>
                <c:ptCount val="1"/>
                <c:pt idx="0">
                  <c:v>Unary Nitrates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'MFP-rsum (2)'!$AG$17:$AG$18</c:f>
              <c:numCache>
                <c:formatCode>General</c:formatCode>
                <c:ptCount val="2"/>
                <c:pt idx="0">
                  <c:v>4.3236429370237978E-7</c:v>
                </c:pt>
              </c:numCache>
            </c:numRef>
          </c:xVal>
          <c:yVal>
            <c:numRef>
              <c:f>'MFP-rsum (2)'!$AI$17:$AI$18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F1C-4A95-8D8C-8CCBF64481EF}"/>
            </c:ext>
          </c:extLst>
        </c:ser>
        <c:ser>
          <c:idx val="7"/>
          <c:order val="4"/>
          <c:tx>
            <c:strRef>
              <c:f>'MFP-rsum (2)'!$AF$54</c:f>
              <c:strCache>
                <c:ptCount val="1"/>
                <c:pt idx="0">
                  <c:v>Fluoride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'MFP-rsum (2)'!$AG$24:$AG$25</c:f>
              <c:numCache>
                <c:formatCode>General</c:formatCode>
                <c:ptCount val="2"/>
                <c:pt idx="0">
                  <c:v>6.0953584013575084E-7</c:v>
                </c:pt>
                <c:pt idx="1">
                  <c:v>4.8209294921946862E-7</c:v>
                </c:pt>
              </c:numCache>
            </c:numRef>
          </c:xVal>
          <c:yVal>
            <c:numRef>
              <c:f>'MFP-rsum (2)'!$AI$24:$AI$25</c:f>
              <c:numCache>
                <c:formatCode>General</c:formatCode>
                <c:ptCount val="2"/>
                <c:pt idx="0">
                  <c:v>1.1000000000000001</c:v>
                </c:pt>
                <c:pt idx="1">
                  <c:v>0.78633287605038305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F1C-4A95-8D8C-8CCBF64481EF}"/>
            </c:ext>
          </c:extLst>
        </c:ser>
        <c:ser>
          <c:idx val="10"/>
          <c:order val="5"/>
          <c:tx>
            <c:strRef>
              <c:f>'MFP-rsum (2)'!$AF$56</c:f>
              <c:strCache>
                <c:ptCount val="1"/>
                <c:pt idx="0">
                  <c:v>Fluoride Actinide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('MFP-rsum (2)'!$AF$26:$AF$27,'MFP-rsum (2)'!$AF$29:$AF$30,'MFP-rsum (2)'!$AF$38:$AF$40)</c:f>
              <c:numCache>
                <c:formatCode>General</c:formatCode>
                <c:ptCount val="7"/>
                <c:pt idx="0">
                  <c:v>5.1681594759710646E-7</c:v>
                </c:pt>
                <c:pt idx="1">
                  <c:v>6.6880040429891448E-7</c:v>
                </c:pt>
                <c:pt idx="2">
                  <c:v>7.1187944439400742E-7</c:v>
                </c:pt>
                <c:pt idx="3">
                  <c:v>6.8421941732878672E-7</c:v>
                </c:pt>
                <c:pt idx="4">
                  <c:v>4.6048978694812208E-7</c:v>
                </c:pt>
                <c:pt idx="5">
                  <c:v>4.7293540020198696E-7</c:v>
                </c:pt>
                <c:pt idx="6">
                  <c:v>4.8970392040175681E-7</c:v>
                </c:pt>
              </c:numCache>
            </c:numRef>
          </c:xVal>
          <c:yVal>
            <c:numRef>
              <c:f>('MFP-rsum (2)'!$AI$26:$AI$27,'MFP-rsum (2)'!$AI$29:$AI$30,'MFP-rsum (2)'!$AI$38:$AI$40)</c:f>
              <c:numCache>
                <c:formatCode>General</c:formatCode>
                <c:ptCount val="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F1C-4A95-8D8C-8CCBF64481EF}"/>
            </c:ext>
          </c:extLst>
        </c:ser>
        <c:ser>
          <c:idx val="11"/>
          <c:order val="6"/>
          <c:tx>
            <c:strRef>
              <c:f>'MFP-rsum (2)'!$AF$57</c:f>
              <c:strCache>
                <c:ptCount val="1"/>
                <c:pt idx="0">
                  <c:v>Chloride Actinide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'MFP-rsum (2)'!$AG$36:$AG$37</c:f>
              <c:numCache>
                <c:formatCode>General</c:formatCode>
                <c:ptCount val="2"/>
                <c:pt idx="0">
                  <c:v>2.8418197786335016E-7</c:v>
                </c:pt>
                <c:pt idx="1">
                  <c:v>2.8696722884280714E-7</c:v>
                </c:pt>
              </c:numCache>
            </c:numRef>
          </c:xVal>
          <c:yVal>
            <c:numRef>
              <c:f>'MFP-rsum (2)'!$AI$36:$AI$37</c:f>
              <c:numCache>
                <c:formatCode>General</c:formatCode>
                <c:ptCount val="2"/>
                <c:pt idx="0">
                  <c:v>0.239262577144952</c:v>
                </c:pt>
                <c:pt idx="1">
                  <c:v>0.27567442291687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F1C-4A95-8D8C-8CCBF64481EF}"/>
            </c:ext>
          </c:extLst>
        </c:ser>
        <c:ser>
          <c:idx val="2"/>
          <c:order val="7"/>
          <c:tx>
            <c:strRef>
              <c:f>'MFP-rsum (2)'!$AF$58</c:f>
              <c:strCache>
                <c:ptCount val="1"/>
                <c:pt idx="0">
                  <c:v>Water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'MFP-rsum (2)'!$AF$41</c:f>
              <c:numCache>
                <c:formatCode>General</c:formatCode>
                <c:ptCount val="1"/>
                <c:pt idx="0">
                  <c:v>6.0645622271550117E-7</c:v>
                </c:pt>
              </c:numCache>
            </c:numRef>
          </c:xVal>
          <c:yVal>
            <c:numRef>
              <c:f>'MFP-rsum (2)'!$AI$41</c:f>
              <c:numCache>
                <c:formatCode>0.00000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F1C-4A95-8D8C-8CCBF64481EF}"/>
            </c:ext>
          </c:extLst>
        </c:ser>
        <c:ser>
          <c:idx val="3"/>
          <c:order val="8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C-BF1C-4A95-8D8C-8CCBF6448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_predicted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ayout>
        <c:manualLayout>
          <c:xMode val="edge"/>
          <c:yMode val="edge"/>
          <c:x val="0.66025141735476467"/>
          <c:y val="6.4057451151939337E-2"/>
          <c:w val="0.33974861040157184"/>
          <c:h val="0.802565179352580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66593759113446"/>
          <c:y val="5.9523809523809521E-2"/>
          <c:w val="0.56891659375911341"/>
          <c:h val="0.80395513060867396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'MFP-rsum (2)'!$AW$7:$AW$9</c:f>
              <c:numCache>
                <c:formatCode>General</c:formatCode>
                <c:ptCount val="3"/>
                <c:pt idx="0">
                  <c:v>0.40224439226966308</c:v>
                </c:pt>
                <c:pt idx="1">
                  <c:v>0.30612615309310248</c:v>
                </c:pt>
                <c:pt idx="2">
                  <c:v>0.25652333922633108</c:v>
                </c:pt>
              </c:numCache>
            </c:numRef>
          </c:xVal>
          <c:yVal>
            <c:numRef>
              <c:f>'MFP-rsum (2)'!$AI$7:$AI$9</c:f>
              <c:numCache>
                <c:formatCode>General</c:formatCode>
                <c:ptCount val="3"/>
                <c:pt idx="0">
                  <c:v>0.62171538406412596</c:v>
                </c:pt>
                <c:pt idx="1">
                  <c:v>0.47705461868503202</c:v>
                </c:pt>
                <c:pt idx="2">
                  <c:v>0.36559719352224501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33-4ED4-AD68-E0679DAF2C12}"/>
            </c:ext>
          </c:extLst>
        </c:ser>
        <c:ser>
          <c:idx val="0"/>
          <c:order val="1"/>
          <c:tx>
            <c:v>Pure Fluorides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('MFP-rsum (2)'!$AW$3:$AW$4,'MFP-rsum (2)'!$AW$10:$AW$13)</c:f>
              <c:numCache>
                <c:formatCode>General</c:formatCode>
                <c:ptCount val="6"/>
                <c:pt idx="0">
                  <c:v>0.53220717521206062</c:v>
                </c:pt>
                <c:pt idx="1">
                  <c:v>0.3607730892591835</c:v>
                </c:pt>
                <c:pt idx="2">
                  <c:v>0.51979938659180325</c:v>
                </c:pt>
                <c:pt idx="3">
                  <c:v>0.55165642193242048</c:v>
                </c:pt>
                <c:pt idx="4">
                  <c:v>0.42810664299445522</c:v>
                </c:pt>
                <c:pt idx="5">
                  <c:v>0.31989463805530149</c:v>
                </c:pt>
              </c:numCache>
            </c:numRef>
          </c:xVal>
          <c:yVal>
            <c:numRef>
              <c:f>('MFP-rsum (2)'!$AI$3:$AI$4,'MFP-rsum (2)'!$AI$10:$AI$13)</c:f>
              <c:numCache>
                <c:formatCode>General</c:formatCode>
                <c:ptCount val="6"/>
                <c:pt idx="0">
                  <c:v>1.2192784382425901</c:v>
                </c:pt>
                <c:pt idx="1">
                  <c:v>0.62200825361355605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33-4ED4-AD68-E0679DAF2C12}"/>
            </c:ext>
          </c:extLst>
        </c:ser>
        <c:ser>
          <c:idx val="1"/>
          <c:order val="2"/>
          <c:tx>
            <c:v>Chloride Mixtures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'MFP-rsum (2)'!$AW$31:$AW$32</c:f>
              <c:numCache>
                <c:formatCode>General</c:formatCode>
                <c:ptCount val="2"/>
                <c:pt idx="0">
                  <c:v>0.26536256928250768</c:v>
                </c:pt>
                <c:pt idx="1">
                  <c:v>0.28383633978433381</c:v>
                </c:pt>
              </c:numCache>
            </c:numRef>
          </c:xVal>
          <c:yVal>
            <c:numRef>
              <c:f>'MFP-rsum (2)'!$AI$31:$AI$32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333-4ED4-AD68-E0679DAF2C12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('MFP-rsum (2)'!$AW$24,'MFP-rsum (2)'!$AW$25,'MFP-rsum (2)'!$AW$28,'MFP-rsum (2)'!$AW$33,'MFP-rsum (2)'!$AW$35)</c:f>
              <c:numCache>
                <c:formatCode>General</c:formatCode>
                <c:ptCount val="5"/>
                <c:pt idx="0">
                  <c:v>0.62426158899966577</c:v>
                </c:pt>
                <c:pt idx="1">
                  <c:v>0.39969771709442198</c:v>
                </c:pt>
                <c:pt idx="2">
                  <c:v>0.66180310738547476</c:v>
                </c:pt>
                <c:pt idx="3">
                  <c:v>0.33711022330844781</c:v>
                </c:pt>
                <c:pt idx="4">
                  <c:v>0.56745362404407373</c:v>
                </c:pt>
              </c:numCache>
            </c:numRef>
          </c:xVal>
          <c:yVal>
            <c:numRef>
              <c:f>('MFP-rsum (2)'!$AI$24,'MFP-rsum (2)'!$AI$25,'MFP-rsum (2)'!$AI$28,'MFP-rsum (2)'!$AI$33,'MFP-rsum (2)'!$AI$35)</c:f>
              <c:numCache>
                <c:formatCode>General</c:formatCode>
                <c:ptCount val="5"/>
                <c:pt idx="0">
                  <c:v>1.1000000000000001</c:v>
                </c:pt>
                <c:pt idx="1">
                  <c:v>0.78633287605038305</c:v>
                </c:pt>
                <c:pt idx="3">
                  <c:v>0.766984</c:v>
                </c:pt>
                <c:pt idx="4">
                  <c:v>0.86544945017474995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333-4ED4-AD68-E0679DAF2C12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'MFP-rsum (2)'!$AW$36:$AW$37</c:f>
              <c:numCache>
                <c:formatCode>General</c:formatCode>
                <c:ptCount val="2"/>
                <c:pt idx="0">
                  <c:v>0.24768639859495001</c:v>
                </c:pt>
                <c:pt idx="1">
                  <c:v>0.25155328115048259</c:v>
                </c:pt>
              </c:numCache>
            </c:numRef>
          </c:xVal>
          <c:yVal>
            <c:numRef>
              <c:f>'MFP-rsum (2)'!$AI$36:$AI$37</c:f>
              <c:numCache>
                <c:formatCode>General</c:formatCode>
                <c:ptCount val="2"/>
                <c:pt idx="0">
                  <c:v>0.239262577144952</c:v>
                </c:pt>
                <c:pt idx="1">
                  <c:v>0.27567442291687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333-4ED4-AD68-E0679DAF2C12}"/>
            </c:ext>
          </c:extLst>
        </c:ser>
        <c:ser>
          <c:idx val="7"/>
          <c:order val="5"/>
          <c:tx>
            <c:v>Fluoride Actinides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('MFP-rsum (2)'!$AW$26:$AW$27,'MFP-rsum (2)'!$AW$29:$AW$30,'MFP-rsum (2)'!$AW$38:$AW$40)</c:f>
              <c:numCache>
                <c:formatCode>General</c:formatCode>
                <c:ptCount val="7"/>
                <c:pt idx="0">
                  <c:v>0.43510012746839721</c:v>
                </c:pt>
                <c:pt idx="1">
                  <c:v>0.58242618348722919</c:v>
                </c:pt>
                <c:pt idx="2">
                  <c:v>0.63042335803936922</c:v>
                </c:pt>
                <c:pt idx="3">
                  <c:v>0.60277957505526136</c:v>
                </c:pt>
                <c:pt idx="4">
                  <c:v>0.25347401642401401</c:v>
                </c:pt>
                <c:pt idx="5">
                  <c:v>0.24265777297582219</c:v>
                </c:pt>
                <c:pt idx="6">
                  <c:v>0.23920093487850599</c:v>
                </c:pt>
              </c:numCache>
            </c:numRef>
          </c:xVal>
          <c:yVal>
            <c:numRef>
              <c:f>('MFP-rsum (2)'!$AI$26:$AI$27,'MFP-rsum (2)'!$AI$29:$AI$30,'MFP-rsum (2)'!$AI$38:$AI$40)</c:f>
              <c:numCache>
                <c:formatCode>General</c:formatCode>
                <c:ptCount val="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333-4ED4-AD68-E0679DAF2C12}"/>
            </c:ext>
          </c:extLst>
        </c:ser>
        <c:ser>
          <c:idx val="8"/>
          <c:order val="6"/>
          <c:tx>
            <c:v>Pure Nitrates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'MFP-rsum (2)'!$AW$17:$AW$18</c:f>
              <c:numCache>
                <c:formatCode>General</c:formatCode>
                <c:ptCount val="2"/>
                <c:pt idx="0">
                  <c:v>0.69828459522735364</c:v>
                </c:pt>
                <c:pt idx="1">
                  <c:v>0.53083304545912946</c:v>
                </c:pt>
              </c:numCache>
            </c:numRef>
          </c:xVal>
          <c:yVal>
            <c:numRef>
              <c:f>'MFP-rsum (2)'!$AI$17:$AI$18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333-4ED4-AD68-E0679DAF2C12}"/>
            </c:ext>
          </c:extLst>
        </c:ser>
        <c:ser>
          <c:idx val="2"/>
          <c:order val="7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'MFP-rsum (2)'!$AW$41</c:f>
              <c:numCache>
                <c:formatCode>0.00000</c:formatCode>
                <c:ptCount val="1"/>
                <c:pt idx="0">
                  <c:v>0.60645622271550126</c:v>
                </c:pt>
              </c:numCache>
            </c:numRef>
          </c:xVal>
          <c:yVal>
            <c:numRef>
              <c:f>'MFP-rsum (2)'!$AI$41</c:f>
              <c:numCache>
                <c:formatCode>0.00000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333-4ED4-AD68-E0679DAF2C12}"/>
            </c:ext>
          </c:extLst>
        </c:ser>
        <c:ser>
          <c:idx val="3"/>
          <c:order val="8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C-B333-4ED4-AD68-E0679DAF2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_predicted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ayout>
        <c:manualLayout>
          <c:xMode val="edge"/>
          <c:yMode val="edge"/>
          <c:x val="0.67247134733158342"/>
          <c:y val="0.16517622797150353"/>
          <c:w val="0.32205682200056962"/>
          <c:h val="0.583858091220240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r_sum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66593759113446"/>
          <c:y val="5.9523809523809521E-2"/>
          <c:w val="0.53988238205690331"/>
          <c:h val="0.80395513060867396"/>
        </c:manualLayout>
      </c:layout>
      <c:scatterChart>
        <c:scatterStyle val="lineMarker"/>
        <c:varyColors val="0"/>
        <c:ser>
          <c:idx val="4"/>
          <c:order val="0"/>
          <c:tx>
            <c:strRef>
              <c:f>'MFP-rsum (2)'!$AF$49</c:f>
              <c:strCache>
                <c:ptCount val="1"/>
                <c:pt idx="0">
                  <c:v>Unary Flourides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'MFP-rsum (2)'!$AF$2:$AF$6</c:f>
              <c:numCache>
                <c:formatCode>General</c:formatCode>
                <c:ptCount val="5"/>
                <c:pt idx="0">
                  <c:v>8.0248523098591569E-7</c:v>
                </c:pt>
                <c:pt idx="1">
                  <c:v>5.3093354166666669E-7</c:v>
                </c:pt>
                <c:pt idx="2">
                  <c:v>3.6108717499999998E-7</c:v>
                </c:pt>
                <c:pt idx="3">
                  <c:v>3.2557537815126049E-7</c:v>
                </c:pt>
                <c:pt idx="4">
                  <c:v>3.0142161269146596E-7</c:v>
                </c:pt>
              </c:numCache>
            </c:numRef>
          </c:xVal>
          <c:yVal>
            <c:numRef>
              <c:f>'MFP-rsum (2)'!$AI$2:$AI$6</c:f>
              <c:numCache>
                <c:formatCode>General</c:formatCode>
                <c:ptCount val="5"/>
                <c:pt idx="0">
                  <c:v>1.2682350574951</c:v>
                </c:pt>
                <c:pt idx="1">
                  <c:v>1.2192784382425901</c:v>
                </c:pt>
                <c:pt idx="2">
                  <c:v>0.62200825361355605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78-46E3-B24B-B73FEF79E5DB}"/>
            </c:ext>
          </c:extLst>
        </c:ser>
        <c:ser>
          <c:idx val="0"/>
          <c:order val="1"/>
          <c:tx>
            <c:strRef>
              <c:f>'MFP-rsum (2)'!$AF$50</c:f>
              <c:strCache>
                <c:ptCount val="1"/>
                <c:pt idx="0">
                  <c:v>Unary Chlorides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'MFP-rsum (2)'!$AF$7:$AF$9</c:f>
              <c:numCache>
                <c:formatCode>General</c:formatCode>
                <c:ptCount val="3"/>
                <c:pt idx="0">
                  <c:v>4.0225025742942662E-7</c:v>
                </c:pt>
                <c:pt idx="1">
                  <c:v>3.0415923375652935E-7</c:v>
                </c:pt>
                <c:pt idx="2">
                  <c:v>2.5593314786786776E-7</c:v>
                </c:pt>
              </c:numCache>
            </c:numRef>
          </c:xVal>
          <c:yVal>
            <c:numRef>
              <c:f>'MFP-rsum (2)'!$AI$7:$AI$9</c:f>
              <c:numCache>
                <c:formatCode>General</c:formatCode>
                <c:ptCount val="3"/>
                <c:pt idx="0">
                  <c:v>0.62171538406412596</c:v>
                </c:pt>
                <c:pt idx="1">
                  <c:v>0.47705461868503202</c:v>
                </c:pt>
                <c:pt idx="2">
                  <c:v>0.36559719352224501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78-46E3-B24B-B73FEF79E5DB}"/>
            </c:ext>
          </c:extLst>
        </c:ser>
        <c:ser>
          <c:idx val="1"/>
          <c:order val="2"/>
          <c:tx>
            <c:strRef>
              <c:f>'MFP-rsum (2)'!$AF$51</c:f>
              <c:strCache>
                <c:ptCount val="1"/>
                <c:pt idx="0">
                  <c:v>Unary Alkaline Earth Flourides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'MFP-rsum (2)'!$AF$10:$AF$13</c:f>
              <c:numCache>
                <c:formatCode>General</c:formatCode>
                <c:ptCount val="4"/>
                <c:pt idx="0">
                  <c:v>5.1944334083333329E-7</c:v>
                </c:pt>
                <c:pt idx="1">
                  <c:v>5.5165642193242058E-7</c:v>
                </c:pt>
                <c:pt idx="2">
                  <c:v>4.281066429944552E-7</c:v>
                </c:pt>
                <c:pt idx="3">
                  <c:v>3.1989463805530149E-7</c:v>
                </c:pt>
              </c:numCache>
            </c:numRef>
          </c:xVal>
          <c:yVal>
            <c:numRef>
              <c:f>'MFP-rsum (2)'!$AI$10:$AI$13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B78-46E3-B24B-B73FEF79E5DB}"/>
            </c:ext>
          </c:extLst>
        </c:ser>
        <c:ser>
          <c:idx val="5"/>
          <c:order val="3"/>
          <c:tx>
            <c:strRef>
              <c:f>'MFP-rsum (2)'!$AF$52</c:f>
              <c:strCache>
                <c:ptCount val="1"/>
                <c:pt idx="0">
                  <c:v>Unary Alkaline Earth Chlorides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'MFP-rsum (2)'!$AF$14:$AF$16</c:f>
              <c:numCache>
                <c:formatCode>General</c:formatCode>
                <c:ptCount val="3"/>
                <c:pt idx="0">
                  <c:v>2.8861057804145577E-7</c:v>
                </c:pt>
                <c:pt idx="1">
                  <c:v>3.7311089961278134E-7</c:v>
                </c:pt>
                <c:pt idx="2">
                  <c:v>3.3599408249358719E-7</c:v>
                </c:pt>
              </c:numCache>
            </c:numRef>
          </c:xVal>
          <c:yVal>
            <c:numRef>
              <c:f>'MFP-rsum (2)'!$AI$14:$AI$16</c:f>
              <c:numCache>
                <c:formatCode>General</c:formatCode>
                <c:ptCount val="3"/>
                <c:pt idx="0">
                  <c:v>0.79107788518133404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B78-46E3-B24B-B73FEF79E5DB}"/>
            </c:ext>
          </c:extLst>
        </c:ser>
        <c:ser>
          <c:idx val="6"/>
          <c:order val="4"/>
          <c:tx>
            <c:strRef>
              <c:f>'MFP-rsum (2)'!$AF$53</c:f>
              <c:strCache>
                <c:ptCount val="1"/>
                <c:pt idx="0">
                  <c:v>Unary Nitrates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'MFP-rsum (2)'!$AF$17:$AF$18</c:f>
              <c:numCache>
                <c:formatCode>General</c:formatCode>
                <c:ptCount val="2"/>
                <c:pt idx="0">
                  <c:v>7.0252146004029523E-7</c:v>
                </c:pt>
                <c:pt idx="1">
                  <c:v>5.6673048612652593E-7</c:v>
                </c:pt>
              </c:numCache>
            </c:numRef>
          </c:xVal>
          <c:yVal>
            <c:numRef>
              <c:f>'MFP-rsum (2)'!$AI$17:$AI$18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B78-46E3-B24B-B73FEF79E5DB}"/>
            </c:ext>
          </c:extLst>
        </c:ser>
        <c:ser>
          <c:idx val="7"/>
          <c:order val="5"/>
          <c:tx>
            <c:strRef>
              <c:f>'MFP-rsum (2)'!$AF$54</c:f>
              <c:strCache>
                <c:ptCount val="1"/>
                <c:pt idx="0">
                  <c:v>Fluoride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'MFP-rsum (2)'!$AF$24:$AF$25</c:f>
              <c:numCache>
                <c:formatCode>General</c:formatCode>
                <c:ptCount val="2"/>
                <c:pt idx="0">
                  <c:v>7.148851808441443E-7</c:v>
                </c:pt>
                <c:pt idx="1">
                  <c:v>5.4326858976638285E-7</c:v>
                </c:pt>
              </c:numCache>
            </c:numRef>
          </c:xVal>
          <c:yVal>
            <c:numRef>
              <c:f>'MFP-rsum (2)'!$AI$24:$AI$25</c:f>
              <c:numCache>
                <c:formatCode>General</c:formatCode>
                <c:ptCount val="2"/>
                <c:pt idx="0">
                  <c:v>1.1000000000000001</c:v>
                </c:pt>
                <c:pt idx="1">
                  <c:v>0.78633287605038305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B78-46E3-B24B-B73FEF79E5DB}"/>
            </c:ext>
          </c:extLst>
        </c:ser>
        <c:ser>
          <c:idx val="9"/>
          <c:order val="6"/>
          <c:tx>
            <c:strRef>
              <c:f>'MFP-rsum (2)'!$AF$55</c:f>
              <c:strCache>
                <c:ptCount val="1"/>
                <c:pt idx="0">
                  <c:v>Chloride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('MFP-rsum (2)'!$AF$23,'MFP-rsum (2)'!$AF$31,'MFP-rsum (2)'!$AF$32,'MFP-rsum (2)'!$AF$34)</c:f>
              <c:numCache>
                <c:formatCode>General</c:formatCode>
                <c:ptCount val="4"/>
                <c:pt idx="0">
                  <c:v>3.3375408853502522E-7</c:v>
                </c:pt>
                <c:pt idx="1">
                  <c:v>3.1844809429710101E-7</c:v>
                </c:pt>
                <c:pt idx="2">
                  <c:v>3.6878913157884631E-7</c:v>
                </c:pt>
                <c:pt idx="3">
                  <c:v>4.0937294269104431E-7</c:v>
                </c:pt>
              </c:numCache>
            </c:numRef>
          </c:xVal>
          <c:yVal>
            <c:numRef>
              <c:f>('MFP-rsum (2)'!$AI$23,'MFP-rsum (2)'!$AI$31,'MFP-rsum (2)'!$AI$32,'MFP-rsum (2)'!$AI$34)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B78-46E3-B24B-B73FEF79E5DB}"/>
            </c:ext>
          </c:extLst>
        </c:ser>
        <c:ser>
          <c:idx val="10"/>
          <c:order val="7"/>
          <c:tx>
            <c:strRef>
              <c:f>'MFP-rsum (2)'!$AF$56</c:f>
              <c:strCache>
                <c:ptCount val="1"/>
                <c:pt idx="0">
                  <c:v>Fluoride Actinide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('MFP-rsum (2)'!$AF$26:$AF$27,'MFP-rsum (2)'!$AF$29:$AF$30,'MFP-rsum (2)'!$AF$38:$AF$40)</c:f>
              <c:numCache>
                <c:formatCode>General</c:formatCode>
                <c:ptCount val="7"/>
                <c:pt idx="0">
                  <c:v>5.1681594759710646E-7</c:v>
                </c:pt>
                <c:pt idx="1">
                  <c:v>6.6880040429891448E-7</c:v>
                </c:pt>
                <c:pt idx="2">
                  <c:v>7.1187944439400742E-7</c:v>
                </c:pt>
                <c:pt idx="3">
                  <c:v>6.8421941732878672E-7</c:v>
                </c:pt>
                <c:pt idx="4">
                  <c:v>4.6048978694812208E-7</c:v>
                </c:pt>
                <c:pt idx="5">
                  <c:v>4.7293540020198696E-7</c:v>
                </c:pt>
                <c:pt idx="6">
                  <c:v>4.8970392040175681E-7</c:v>
                </c:pt>
              </c:numCache>
            </c:numRef>
          </c:xVal>
          <c:yVal>
            <c:numRef>
              <c:f>('MFP-rsum (2)'!$AI$26:$AI$27,'MFP-rsum (2)'!$AI$29:$AI$30,'MFP-rsum (2)'!$AI$38:$AI$40)</c:f>
              <c:numCache>
                <c:formatCode>General</c:formatCode>
                <c:ptCount val="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B78-46E3-B24B-B73FEF79E5DB}"/>
            </c:ext>
          </c:extLst>
        </c:ser>
        <c:ser>
          <c:idx val="11"/>
          <c:order val="8"/>
          <c:tx>
            <c:strRef>
              <c:f>'MFP-rsum (2)'!$AF$57</c:f>
              <c:strCache>
                <c:ptCount val="1"/>
                <c:pt idx="0">
                  <c:v>Chloride Actinide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'MFP-rsum (2)'!$AF$36:$AF$37</c:f>
              <c:numCache>
                <c:formatCode>General</c:formatCode>
                <c:ptCount val="2"/>
                <c:pt idx="0">
                  <c:v>3.0071201279338976E-7</c:v>
                </c:pt>
                <c:pt idx="1">
                  <c:v>3.0324621782896998E-7</c:v>
                </c:pt>
              </c:numCache>
            </c:numRef>
          </c:xVal>
          <c:yVal>
            <c:numRef>
              <c:f>'MFP-rsum (2)'!$AI$36:$AI$37</c:f>
              <c:numCache>
                <c:formatCode>General</c:formatCode>
                <c:ptCount val="2"/>
                <c:pt idx="0">
                  <c:v>0.239262577144952</c:v>
                </c:pt>
                <c:pt idx="1">
                  <c:v>0.27567442291687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B78-46E3-B24B-B73FEF79E5DB}"/>
            </c:ext>
          </c:extLst>
        </c:ser>
        <c:ser>
          <c:idx val="2"/>
          <c:order val="9"/>
          <c:tx>
            <c:strRef>
              <c:f>'MFP-rsum (2)'!$AF$58</c:f>
              <c:strCache>
                <c:ptCount val="1"/>
                <c:pt idx="0">
                  <c:v>Water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'MFP-rsum (2)'!$AF$41</c:f>
              <c:numCache>
                <c:formatCode>General</c:formatCode>
                <c:ptCount val="1"/>
                <c:pt idx="0">
                  <c:v>6.0645622271550117E-7</c:v>
                </c:pt>
              </c:numCache>
            </c:numRef>
          </c:xVal>
          <c:yVal>
            <c:numRef>
              <c:f>'MFP-rsum (2)'!$AI$41</c:f>
              <c:numCache>
                <c:formatCode>0.00000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B78-46E3-B24B-B73FEF79E5DB}"/>
            </c:ext>
          </c:extLst>
        </c:ser>
        <c:ser>
          <c:idx val="3"/>
          <c:order val="10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E-6B78-46E3-B24B-B73FEF79E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_predicted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ayout>
        <c:manualLayout>
          <c:xMode val="edge"/>
          <c:yMode val="edge"/>
          <c:x val="0.66025138959842822"/>
          <c:y val="6.4057451151939337E-2"/>
          <c:w val="0.33974861040157184"/>
          <c:h val="0.802565179352580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Peak,FastSound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66593759113446"/>
          <c:y val="5.9523809523809521E-2"/>
          <c:w val="0.53988238205690331"/>
          <c:h val="0.80395513060867396"/>
        </c:manualLayout>
      </c:layout>
      <c:scatterChart>
        <c:scatterStyle val="lineMarker"/>
        <c:varyColors val="0"/>
        <c:ser>
          <c:idx val="4"/>
          <c:order val="0"/>
          <c:tx>
            <c:strRef>
              <c:f>'MFP-rsum (2)'!$AF$49</c:f>
              <c:strCache>
                <c:ptCount val="1"/>
                <c:pt idx="0">
                  <c:v>Unary Flourides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'MFP-rsum (2)'!$AS$2:$AS$6</c:f>
              <c:numCache>
                <c:formatCode>0.0000000</c:formatCode>
                <c:ptCount val="5"/>
                <c:pt idx="0">
                  <c:v>1.2205689059226399</c:v>
                </c:pt>
                <c:pt idx="1">
                  <c:v>0.78916546470743199</c:v>
                </c:pt>
                <c:pt idx="2">
                  <c:v>0.53534560347861904</c:v>
                </c:pt>
              </c:numCache>
            </c:numRef>
          </c:xVal>
          <c:yVal>
            <c:numRef>
              <c:f>'MFP-rsum (2)'!$AI$2:$AI$6</c:f>
              <c:numCache>
                <c:formatCode>General</c:formatCode>
                <c:ptCount val="5"/>
                <c:pt idx="0">
                  <c:v>1.2682350574951</c:v>
                </c:pt>
                <c:pt idx="1">
                  <c:v>1.2192784382425901</c:v>
                </c:pt>
                <c:pt idx="2">
                  <c:v>0.62200825361355605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D4-4D25-86C6-1D5FF5BA2E3E}"/>
            </c:ext>
          </c:extLst>
        </c:ser>
        <c:ser>
          <c:idx val="0"/>
          <c:order val="1"/>
          <c:tx>
            <c:strRef>
              <c:f>'MFP-rsum (2)'!$AF$50</c:f>
              <c:strCache>
                <c:ptCount val="1"/>
                <c:pt idx="0">
                  <c:v>Unary Chlorides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'MFP-rsum (2)'!$AS$7:$AS$9</c:f>
              <c:numCache>
                <c:formatCode>0.0000000</c:formatCode>
                <c:ptCount val="3"/>
                <c:pt idx="0">
                  <c:v>0.79296638429921396</c:v>
                </c:pt>
                <c:pt idx="1">
                  <c:v>0.5405387597447</c:v>
                </c:pt>
                <c:pt idx="2">
                  <c:v>0.43176830156351298</c:v>
                </c:pt>
              </c:numCache>
            </c:numRef>
          </c:xVal>
          <c:yVal>
            <c:numRef>
              <c:f>'MFP-rsum (2)'!$AI$7:$AI$9</c:f>
              <c:numCache>
                <c:formatCode>General</c:formatCode>
                <c:ptCount val="3"/>
                <c:pt idx="0">
                  <c:v>0.62171538406412596</c:v>
                </c:pt>
                <c:pt idx="1">
                  <c:v>0.47705461868503202</c:v>
                </c:pt>
                <c:pt idx="2">
                  <c:v>0.36559719352224501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D4-4D25-86C6-1D5FF5BA2E3E}"/>
            </c:ext>
          </c:extLst>
        </c:ser>
        <c:ser>
          <c:idx val="5"/>
          <c:order val="2"/>
          <c:tx>
            <c:strRef>
              <c:f>'MFP-rsum (2)'!$AF$52</c:f>
              <c:strCache>
                <c:ptCount val="1"/>
                <c:pt idx="0">
                  <c:v>Unary Alkaline Earth Chlorides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'MFP-rsum (2)'!$AS$14:$AS$16</c:f>
              <c:numCache>
                <c:formatCode>0.0000000</c:formatCode>
                <c:ptCount val="3"/>
                <c:pt idx="0">
                  <c:v>0.56648340243984496</c:v>
                </c:pt>
                <c:pt idx="1">
                  <c:v>0.46759091611683001</c:v>
                </c:pt>
                <c:pt idx="2">
                  <c:v>0.39572551478833601</c:v>
                </c:pt>
              </c:numCache>
            </c:numRef>
          </c:xVal>
          <c:yVal>
            <c:numRef>
              <c:f>'MFP-rsum (2)'!$AI$14:$AI$16</c:f>
              <c:numCache>
                <c:formatCode>General</c:formatCode>
                <c:ptCount val="3"/>
                <c:pt idx="0">
                  <c:v>0.79107788518133404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D4-4D25-86C6-1D5FF5BA2E3E}"/>
            </c:ext>
          </c:extLst>
        </c:ser>
        <c:ser>
          <c:idx val="6"/>
          <c:order val="3"/>
          <c:tx>
            <c:strRef>
              <c:f>'MFP-rsum (2)'!$AF$53</c:f>
              <c:strCache>
                <c:ptCount val="1"/>
                <c:pt idx="0">
                  <c:v>Unary Nitrates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'MFP-rsum (2)'!$AS$17:$AS$18</c:f>
              <c:numCache>
                <c:formatCode>0.0000000</c:formatCode>
                <c:ptCount val="2"/>
                <c:pt idx="0">
                  <c:v>0.34093205712619801</c:v>
                </c:pt>
              </c:numCache>
            </c:numRef>
          </c:xVal>
          <c:yVal>
            <c:numRef>
              <c:f>'MFP-rsum (2)'!$AI$17:$AI$18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D4-4D25-86C6-1D5FF5BA2E3E}"/>
            </c:ext>
          </c:extLst>
        </c:ser>
        <c:ser>
          <c:idx val="7"/>
          <c:order val="4"/>
          <c:tx>
            <c:strRef>
              <c:f>'MFP-rsum (2)'!$AF$54</c:f>
              <c:strCache>
                <c:ptCount val="1"/>
                <c:pt idx="0">
                  <c:v>Fluoride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'MFP-rsum (2)'!$AS$24:$AS$25</c:f>
              <c:numCache>
                <c:formatCode>General</c:formatCode>
                <c:ptCount val="2"/>
                <c:pt idx="0">
                  <c:v>1.0187917505808699</c:v>
                </c:pt>
                <c:pt idx="1">
                  <c:v>0.839610460137869</c:v>
                </c:pt>
              </c:numCache>
            </c:numRef>
          </c:xVal>
          <c:yVal>
            <c:numRef>
              <c:f>'MFP-rsum (2)'!$AI$24:$AI$25</c:f>
              <c:numCache>
                <c:formatCode>General</c:formatCode>
                <c:ptCount val="2"/>
                <c:pt idx="0">
                  <c:v>1.1000000000000001</c:v>
                </c:pt>
                <c:pt idx="1">
                  <c:v>0.78633287605038305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D4-4D25-86C6-1D5FF5BA2E3E}"/>
            </c:ext>
          </c:extLst>
        </c:ser>
        <c:ser>
          <c:idx val="11"/>
          <c:order val="5"/>
          <c:tx>
            <c:strRef>
              <c:f>'MFP-rsum (2)'!$AF$57</c:f>
              <c:strCache>
                <c:ptCount val="1"/>
                <c:pt idx="0">
                  <c:v>Chloride Actinide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'MFP-rsum (2)'!$AS$36:$AS$37</c:f>
              <c:numCache>
                <c:formatCode>General</c:formatCode>
                <c:ptCount val="2"/>
                <c:pt idx="0">
                  <c:v>0.31391915321698299</c:v>
                </c:pt>
                <c:pt idx="1">
                  <c:v>0.33909843992678401</c:v>
                </c:pt>
              </c:numCache>
            </c:numRef>
          </c:xVal>
          <c:yVal>
            <c:numRef>
              <c:f>'MFP-rsum (2)'!$AI$36:$AI$37</c:f>
              <c:numCache>
                <c:formatCode>General</c:formatCode>
                <c:ptCount val="2"/>
                <c:pt idx="0">
                  <c:v>0.239262577144952</c:v>
                </c:pt>
                <c:pt idx="1">
                  <c:v>0.27567442291687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D4-4D25-86C6-1D5FF5BA2E3E}"/>
            </c:ext>
          </c:extLst>
        </c:ser>
        <c:ser>
          <c:idx val="2"/>
          <c:order val="6"/>
          <c:tx>
            <c:strRef>
              <c:f>'MFP-rsum (2)'!$AF$58</c:f>
              <c:strCache>
                <c:ptCount val="1"/>
                <c:pt idx="0">
                  <c:v>Water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'MFP-rsum (2)'!$AF$41</c:f>
              <c:numCache>
                <c:formatCode>General</c:formatCode>
                <c:ptCount val="1"/>
                <c:pt idx="0">
                  <c:v>6.0645622271550117E-7</c:v>
                </c:pt>
              </c:numCache>
            </c:numRef>
          </c:xVal>
          <c:yVal>
            <c:numRef>
              <c:f>'MFP-rsum (2)'!$AI$41</c:f>
              <c:numCache>
                <c:formatCode>0.00000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CD4-4D25-86C6-1D5FF5BA2E3E}"/>
            </c:ext>
          </c:extLst>
        </c:ser>
        <c:ser>
          <c:idx val="3"/>
          <c:order val="7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B-BCD4-4D25-86C6-1D5FF5BA2E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_predicted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0.66025138959842822"/>
          <c:y val="6.4057451151939337E-2"/>
          <c:w val="0.33974861040157184"/>
          <c:h val="0.802565179352580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C-BC,</a:t>
            </a:r>
            <a:r>
              <a:rPr lang="en-US" sz="1400" b="0" i="0" baseline="0">
                <a:effectLst/>
              </a:rPr>
              <a:t>DistMFP</a:t>
            </a:r>
            <a:endParaRPr lang="en-US" sz="1400">
              <a:effectLst/>
            </a:endParaRPr>
          </a:p>
        </c:rich>
      </c:tx>
      <c:layout>
        <c:manualLayout>
          <c:xMode val="edge"/>
          <c:yMode val="edge"/>
          <c:x val="0.4627613413482781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66593759113446"/>
          <c:y val="5.9523809523809521E-2"/>
          <c:w val="0.53988238205690331"/>
          <c:h val="0.80395513060867396"/>
        </c:manualLayout>
      </c:layout>
      <c:scatterChart>
        <c:scatterStyle val="lineMarker"/>
        <c:varyColors val="0"/>
        <c:ser>
          <c:idx val="4"/>
          <c:order val="0"/>
          <c:tx>
            <c:strRef>
              <c:f>'MFP-rsum (2)'!$AF$49</c:f>
              <c:strCache>
                <c:ptCount val="1"/>
                <c:pt idx="0">
                  <c:v>Unary Flourides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'MFP-rsum (2)'!$AY$2:$AY$6</c:f>
              <c:strCache>
                <c:ptCount val="3"/>
                <c:pt idx="0">
                  <c:v>.</c:v>
                </c:pt>
                <c:pt idx="1">
                  <c:v>6,625,164.31</c:v>
                </c:pt>
                <c:pt idx="2">
                  <c:v>3,390,174.48</c:v>
                </c:pt>
              </c:strCache>
            </c:strRef>
          </c:xVal>
          <c:yVal>
            <c:numRef>
              <c:f>'MFP-rsum (2)'!$BR$2:$BR$6</c:f>
              <c:numCache>
                <c:formatCode>#,##0.00</c:formatCode>
                <c:ptCount val="5"/>
                <c:pt idx="0">
                  <c:v>4.5211267605633809</c:v>
                </c:pt>
                <c:pt idx="1">
                  <c:v>3.25</c:v>
                </c:pt>
                <c:pt idx="2">
                  <c:v>2.200657894736842</c:v>
                </c:pt>
                <c:pt idx="3">
                  <c:v>1.9467787114845938</c:v>
                </c:pt>
                <c:pt idx="4">
                  <c:v>1.62144420131291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CF-4BC3-8E7B-707CB37B8C32}"/>
            </c:ext>
          </c:extLst>
        </c:ser>
        <c:ser>
          <c:idx val="0"/>
          <c:order val="1"/>
          <c:tx>
            <c:strRef>
              <c:f>'MFP-rsum (2)'!$AF$50</c:f>
              <c:strCache>
                <c:ptCount val="1"/>
                <c:pt idx="0">
                  <c:v>Unary Chlorides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'MFP-rsum (2)'!$AY$7:$AY$9</c:f>
              <c:numCache>
                <c:formatCode>#,##0.00</c:formatCode>
                <c:ptCount val="3"/>
                <c:pt idx="0">
                  <c:v>3057984.9350080346</c:v>
                </c:pt>
                <c:pt idx="1">
                  <c:v>2548471.2705427231</c:v>
                </c:pt>
                <c:pt idx="2">
                  <c:v>1914248.1139870561</c:v>
                </c:pt>
              </c:numCache>
            </c:numRef>
          </c:xVal>
          <c:yVal>
            <c:numRef>
              <c:f>'MFP-rsum (2)'!$BR$7:$BR$9</c:f>
              <c:numCache>
                <c:formatCode>#,##0.00</c:formatCode>
                <c:ptCount val="3"/>
                <c:pt idx="0">
                  <c:v>2.2990276925980089</c:v>
                </c:pt>
                <c:pt idx="1">
                  <c:v>1.849136786188579</c:v>
                </c:pt>
                <c:pt idx="2">
                  <c:v>1.5069615069615068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CF-4BC3-8E7B-707CB37B8C32}"/>
            </c:ext>
          </c:extLst>
        </c:ser>
        <c:ser>
          <c:idx val="1"/>
          <c:order val="2"/>
          <c:tx>
            <c:strRef>
              <c:f>'MFP-rsum (2)'!$AF$51</c:f>
              <c:strCache>
                <c:ptCount val="1"/>
                <c:pt idx="0">
                  <c:v>Unary Alkaline Earth Flourides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'MFP-rsum (2)'!$AY$10:$AY$13</c:f>
              <c:numCache>
                <c:formatCode>#,##0.00</c:formatCode>
                <c:ptCount val="4"/>
              </c:numCache>
            </c:numRef>
          </c:xVal>
          <c:yVal>
            <c:numRef>
              <c:f>'MFP-rsum (2)'!$BR$10:$BR$13</c:f>
              <c:numCache>
                <c:formatCode>#,##0.00</c:formatCode>
                <c:ptCount val="4"/>
                <c:pt idx="0">
                  <c:v>3.6624999999999996</c:v>
                </c:pt>
                <c:pt idx="1">
                  <c:v>3.7107100610255244</c:v>
                </c:pt>
                <c:pt idx="2">
                  <c:v>3.2228864523764389</c:v>
                </c:pt>
                <c:pt idx="3">
                  <c:v>2.733763684475325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ECF-4BC3-8E7B-707CB37B8C32}"/>
            </c:ext>
          </c:extLst>
        </c:ser>
        <c:ser>
          <c:idx val="5"/>
          <c:order val="3"/>
          <c:tx>
            <c:strRef>
              <c:f>'MFP-rsum (2)'!$AF$52</c:f>
              <c:strCache>
                <c:ptCount val="1"/>
                <c:pt idx="0">
                  <c:v>Unary Alkaline Earth Chlorides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'MFP-rsum (2)'!$AY$14:$AY$16</c:f>
              <c:numCache>
                <c:formatCode>#,##0.00</c:formatCode>
                <c:ptCount val="3"/>
                <c:pt idx="0">
                  <c:v>3861437.2434991831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'MFP-rsum (2)'!$BR$14:$BR$16</c:f>
              <c:numCache>
                <c:formatCode>#,##0.00</c:formatCode>
                <c:ptCount val="3"/>
                <c:pt idx="0">
                  <c:v>1.6288718794256964</c:v>
                </c:pt>
                <c:pt idx="1">
                  <c:v>1.9289745850302744</c:v>
                </c:pt>
                <c:pt idx="2">
                  <c:v>1.7997566027023955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ECF-4BC3-8E7B-707CB37B8C32}"/>
            </c:ext>
          </c:extLst>
        </c:ser>
        <c:ser>
          <c:idx val="6"/>
          <c:order val="4"/>
          <c:tx>
            <c:strRef>
              <c:f>'MFP-rsum (2)'!$AF$53</c:f>
              <c:strCache>
                <c:ptCount val="1"/>
                <c:pt idx="0">
                  <c:v>Unary Nitrates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'MFP-rsum (2)'!$AY$17:$AY$18</c:f>
              <c:numCache>
                <c:formatCode>#,##0.00</c:formatCode>
                <c:ptCount val="2"/>
              </c:numCache>
            </c:numRef>
          </c:xVal>
          <c:yVal>
            <c:numRef>
              <c:f>'MFP-rsum (2)'!$BR$17:$BR$18</c:f>
              <c:numCache>
                <c:formatCode>#,##0.00</c:formatCode>
                <c:ptCount val="2"/>
                <c:pt idx="0">
                  <c:v>3.4833221401387955</c:v>
                </c:pt>
                <c:pt idx="1">
                  <c:v>2.6082130965593784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ECF-4BC3-8E7B-707CB37B8C32}"/>
            </c:ext>
          </c:extLst>
        </c:ser>
        <c:ser>
          <c:idx val="7"/>
          <c:order val="5"/>
          <c:tx>
            <c:strRef>
              <c:f>'MFP-rsum (2)'!$AF$54</c:f>
              <c:strCache>
                <c:ptCount val="1"/>
                <c:pt idx="0">
                  <c:v>Fluoride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'MFP-rsum (2)'!$AY$24:$AY$25</c:f>
              <c:numCache>
                <c:formatCode>#,##0.00</c:formatCode>
                <c:ptCount val="2"/>
                <c:pt idx="0">
                  <c:v>3706357.1752703404</c:v>
                </c:pt>
                <c:pt idx="1">
                  <c:v>3145748.1427474972</c:v>
                </c:pt>
              </c:numCache>
            </c:numRef>
          </c:xVal>
          <c:yVal>
            <c:numRef>
              <c:f>'MFP-rsum (2)'!$BR$24:$BR$25</c:f>
              <c:numCache>
                <c:formatCode>#,##0.00</c:formatCode>
                <c:ptCount val="2"/>
                <c:pt idx="0">
                  <c:v>4.3231571595853948</c:v>
                </c:pt>
                <c:pt idx="1">
                  <c:v>3.4023189027080507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ECF-4BC3-8E7B-707CB37B8C32}"/>
            </c:ext>
          </c:extLst>
        </c:ser>
        <c:ser>
          <c:idx val="9"/>
          <c:order val="6"/>
          <c:tx>
            <c:strRef>
              <c:f>'MFP-rsum (2)'!$AF$55</c:f>
              <c:strCache>
                <c:ptCount val="1"/>
                <c:pt idx="0">
                  <c:v>Chloride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('MFP-rsum (2)'!$AY$23,'MFP-rsum (2)'!$AY$31,'MFP-rsum (2)'!$AY$32,'MFP-rsum (2)'!$AY$34)</c:f>
              <c:numCache>
                <c:formatCode>#,##0.00</c:formatCode>
                <c:ptCount val="4"/>
              </c:numCache>
            </c:numRef>
          </c:xVal>
          <c:yVal>
            <c:numRef>
              <c:f>('MFP-rsum (2)'!$BR$23,'MFP-rsum (2)'!$BR$31,'MFP-rsum (2)'!$BR$32,'MFP-rsum (2)'!$BR$34)</c:f>
              <c:numCache>
                <c:formatCode>#,##0.00</c:formatCode>
                <c:ptCount val="4"/>
                <c:pt idx="0">
                  <c:v>1.7079480233861968</c:v>
                </c:pt>
                <c:pt idx="1">
                  <c:v>1.7088154639431397</c:v>
                </c:pt>
                <c:pt idx="2">
                  <c:v>1.8682458834445048</c:v>
                </c:pt>
                <c:pt idx="3">
                  <c:v>2.0820967768277479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ECF-4BC3-8E7B-707CB37B8C32}"/>
            </c:ext>
          </c:extLst>
        </c:ser>
        <c:ser>
          <c:idx val="10"/>
          <c:order val="7"/>
          <c:tx>
            <c:strRef>
              <c:f>'MFP-rsum (2)'!$AF$56</c:f>
              <c:strCache>
                <c:ptCount val="1"/>
                <c:pt idx="0">
                  <c:v>Fluoride Actinide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('MFP-rsum (2)'!$AY$26:$AY$27,'MFP-rsum (2)'!$AY$29:$AY$30,'MFP-rsum (2)'!$AY$38:$AY$40)</c:f>
              <c:numCache>
                <c:formatCode>#,##0.00</c:formatCode>
                <c:ptCount val="7"/>
              </c:numCache>
            </c:numRef>
          </c:xVal>
          <c:yVal>
            <c:numRef>
              <c:f>('MFP-rsum (2)'!$BR$26:$BR$27,'MFP-rsum (2)'!$BR$29:$BR$30,'MFP-rsum (2)'!$BR$38:$BR$40)</c:f>
              <c:numCache>
                <c:formatCode>#,##0.00</c:formatCode>
                <c:ptCount val="7"/>
                <c:pt idx="0">
                  <c:v>4.3032748661318507</c:v>
                </c:pt>
                <c:pt idx="1">
                  <c:v>4.3421936455089147</c:v>
                </c:pt>
                <c:pt idx="2">
                  <c:v>4.4171268969313671</c:v>
                </c:pt>
                <c:pt idx="3">
                  <c:v>4.4062503993282949</c:v>
                </c:pt>
                <c:pt idx="4">
                  <c:v>3.32025893899874</c:v>
                </c:pt>
                <c:pt idx="5">
                  <c:v>3.3979939963429326</c:v>
                </c:pt>
                <c:pt idx="6">
                  <c:v>3.4747636054825803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ECF-4BC3-8E7B-707CB37B8C32}"/>
            </c:ext>
          </c:extLst>
        </c:ser>
        <c:ser>
          <c:idx val="11"/>
          <c:order val="8"/>
          <c:tx>
            <c:strRef>
              <c:f>'MFP-rsum (2)'!$AF$57</c:f>
              <c:strCache>
                <c:ptCount val="1"/>
                <c:pt idx="0">
                  <c:v>Chloride Actinide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'MFP-rsum (2)'!$AY$36:$AY$37</c:f>
              <c:numCache>
                <c:formatCode>#,##0.00</c:formatCode>
                <c:ptCount val="2"/>
                <c:pt idx="0">
                  <c:v>1760763.3990940622</c:v>
                </c:pt>
                <c:pt idx="1">
                  <c:v>1872363.9188224885</c:v>
                </c:pt>
              </c:numCache>
            </c:numRef>
          </c:xVal>
          <c:yVal>
            <c:numRef>
              <c:f>'MFP-rsum (2)'!$BR$36:$BR$37</c:f>
              <c:numCache>
                <c:formatCode>#,##0.00</c:formatCode>
                <c:ptCount val="2"/>
                <c:pt idx="0">
                  <c:v>2.156336438564276</c:v>
                </c:pt>
                <c:pt idx="1">
                  <c:v>2.1497703220167965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ECF-4BC3-8E7B-707CB37B8C32}"/>
            </c:ext>
          </c:extLst>
        </c:ser>
        <c:ser>
          <c:idx val="2"/>
          <c:order val="9"/>
          <c:tx>
            <c:strRef>
              <c:f>'MFP-rsum (2)'!$AF$58</c:f>
              <c:strCache>
                <c:ptCount val="1"/>
                <c:pt idx="0">
                  <c:v>Water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'MFP-rsum (2)'!$AY$41</c:f>
              <c:numCache>
                <c:formatCode>#,##0.00</c:formatCode>
                <c:ptCount val="1"/>
                <c:pt idx="0">
                  <c:v>0</c:v>
                </c:pt>
              </c:numCache>
            </c:numRef>
          </c:xVal>
          <c:yVal>
            <c:numRef>
              <c:f>'MFP-rsum (2)'!$BR$41</c:f>
              <c:numCache>
                <c:formatCode>#,##0.00</c:formatCode>
                <c:ptCount val="1"/>
                <c:pt idx="0">
                  <c:v>4.1831298557158707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1ECF-4BC3-8E7B-707CB37B8C32}"/>
            </c:ext>
          </c:extLst>
        </c:ser>
        <c:ser>
          <c:idx val="3"/>
          <c:order val="10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10000000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E-1ECF-4BC3-8E7B-707CB37B8C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0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c_BC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1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c_measured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ayout>
        <c:manualLayout>
          <c:xMode val="edge"/>
          <c:yMode val="edge"/>
          <c:x val="0.66025138959842822"/>
          <c:y val="6.4057451151939337E-2"/>
          <c:w val="0.33974861040157184"/>
          <c:h val="0.802565179352580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C-BC,</a:t>
            </a:r>
            <a:r>
              <a:rPr lang="en-US" sz="1400" b="0" i="0" baseline="0">
                <a:effectLst/>
              </a:rPr>
              <a:t>DistMFP_Fast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66593759113446"/>
          <c:y val="5.9523809523809521E-2"/>
          <c:w val="0.53988238205690331"/>
          <c:h val="0.80395513060867396"/>
        </c:manualLayout>
      </c:layout>
      <c:scatterChart>
        <c:scatterStyle val="lineMarker"/>
        <c:varyColors val="0"/>
        <c:ser>
          <c:idx val="4"/>
          <c:order val="0"/>
          <c:tx>
            <c:strRef>
              <c:f>'MFP-rsum (2)'!$AF$49</c:f>
              <c:strCache>
                <c:ptCount val="1"/>
                <c:pt idx="0">
                  <c:v>Unary Flourides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'MFP-rsum (2)'!$BA$2:$BA$6</c:f>
              <c:numCache>
                <c:formatCode>#,##0.00</c:formatCode>
                <c:ptCount val="5"/>
                <c:pt idx="0">
                  <c:v>4.6547216509235581</c:v>
                </c:pt>
                <c:pt idx="1">
                  <c:v>5.0331222905196418</c:v>
                </c:pt>
                <c:pt idx="2">
                  <c:v>2.5564669388690073</c:v>
                </c:pt>
              </c:numCache>
            </c:numRef>
          </c:xVal>
          <c:yVal>
            <c:numRef>
              <c:f>'MFP-rsum (2)'!$BR$2:$BR$6</c:f>
              <c:numCache>
                <c:formatCode>#,##0.00</c:formatCode>
                <c:ptCount val="5"/>
                <c:pt idx="0">
                  <c:v>4.5211267605633809</c:v>
                </c:pt>
                <c:pt idx="1">
                  <c:v>3.25</c:v>
                </c:pt>
                <c:pt idx="2">
                  <c:v>2.200657894736842</c:v>
                </c:pt>
                <c:pt idx="3">
                  <c:v>1.9467787114845938</c:v>
                </c:pt>
                <c:pt idx="4">
                  <c:v>1.62144420131291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80-4293-B9C3-19AFF8624588}"/>
            </c:ext>
          </c:extLst>
        </c:ser>
        <c:ser>
          <c:idx val="0"/>
          <c:order val="1"/>
          <c:tx>
            <c:strRef>
              <c:f>'MFP-rsum (2)'!$AF$50</c:f>
              <c:strCache>
                <c:ptCount val="1"/>
                <c:pt idx="0">
                  <c:v>Unary Chlorides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'MFP-rsum (2)'!$BA$7:$BA$9</c:f>
              <c:numCache>
                <c:formatCode>#,##0.00</c:formatCode>
                <c:ptCount val="3"/>
                <c:pt idx="0">
                  <c:v>1.8087007088206983</c:v>
                </c:pt>
                <c:pt idx="1">
                  <c:v>1.6320095710727833</c:v>
                </c:pt>
                <c:pt idx="2">
                  <c:v>1.2760386481198402</c:v>
                </c:pt>
              </c:numCache>
            </c:numRef>
          </c:xVal>
          <c:yVal>
            <c:numRef>
              <c:f>'MFP-rsum (2)'!$BR$7:$BR$9</c:f>
              <c:numCache>
                <c:formatCode>#,##0.00</c:formatCode>
                <c:ptCount val="3"/>
                <c:pt idx="0">
                  <c:v>2.2990276925980089</c:v>
                </c:pt>
                <c:pt idx="1">
                  <c:v>1.849136786188579</c:v>
                </c:pt>
                <c:pt idx="2">
                  <c:v>1.5069615069615068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80-4293-B9C3-19AFF8624588}"/>
            </c:ext>
          </c:extLst>
        </c:ser>
        <c:ser>
          <c:idx val="1"/>
          <c:order val="2"/>
          <c:tx>
            <c:strRef>
              <c:f>'MFP-rsum (2)'!$AF$51</c:f>
              <c:strCache>
                <c:ptCount val="1"/>
                <c:pt idx="0">
                  <c:v>Unary Alkaline Earth Flourides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'MFP-rsum (2)'!$AY$10:$AY$13</c:f>
              <c:numCache>
                <c:formatCode>#,##0.00</c:formatCode>
                <c:ptCount val="4"/>
              </c:numCache>
            </c:numRef>
          </c:xVal>
          <c:yVal>
            <c:numRef>
              <c:f>'MFP-rsum (2)'!$BR$10:$BR$13</c:f>
              <c:numCache>
                <c:formatCode>#,##0.00</c:formatCode>
                <c:ptCount val="4"/>
                <c:pt idx="0">
                  <c:v>3.6624999999999996</c:v>
                </c:pt>
                <c:pt idx="1">
                  <c:v>3.7107100610255244</c:v>
                </c:pt>
                <c:pt idx="2">
                  <c:v>3.2228864523764389</c:v>
                </c:pt>
                <c:pt idx="3">
                  <c:v>2.733763684475325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D80-4293-B9C3-19AFF8624588}"/>
            </c:ext>
          </c:extLst>
        </c:ser>
        <c:ser>
          <c:idx val="5"/>
          <c:order val="3"/>
          <c:tx>
            <c:strRef>
              <c:f>'MFP-rsum (2)'!$AF$52</c:f>
              <c:strCache>
                <c:ptCount val="1"/>
                <c:pt idx="0">
                  <c:v>Unary Alkaline Earth Chlorides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'MFP-rsum (2)'!$BA$14:$BA$16</c:f>
              <c:numCache>
                <c:formatCode>#,##0.00</c:formatCode>
                <c:ptCount val="3"/>
                <c:pt idx="0">
                  <c:v>2.2746730372991979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'MFP-rsum (2)'!$BR$14:$BR$16</c:f>
              <c:numCache>
                <c:formatCode>#,##0.00</c:formatCode>
                <c:ptCount val="3"/>
                <c:pt idx="0">
                  <c:v>1.6288718794256964</c:v>
                </c:pt>
                <c:pt idx="1">
                  <c:v>1.9289745850302744</c:v>
                </c:pt>
                <c:pt idx="2">
                  <c:v>1.7997566027023955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D80-4293-B9C3-19AFF8624588}"/>
            </c:ext>
          </c:extLst>
        </c:ser>
        <c:ser>
          <c:idx val="6"/>
          <c:order val="4"/>
          <c:tx>
            <c:strRef>
              <c:f>'MFP-rsum (2)'!$AF$53</c:f>
              <c:strCache>
                <c:ptCount val="1"/>
                <c:pt idx="0">
                  <c:v>Unary Nitrates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'MFP-rsum (2)'!$AY$17:$AY$18</c:f>
              <c:numCache>
                <c:formatCode>#,##0.00</c:formatCode>
                <c:ptCount val="2"/>
              </c:numCache>
            </c:numRef>
          </c:xVal>
          <c:yVal>
            <c:numRef>
              <c:f>'MFP-rsum (2)'!$BR$17:$BR$18</c:f>
              <c:numCache>
                <c:formatCode>#,##0.00</c:formatCode>
                <c:ptCount val="2"/>
                <c:pt idx="0">
                  <c:v>3.4833221401387955</c:v>
                </c:pt>
                <c:pt idx="1">
                  <c:v>2.6082130965593784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D80-4293-B9C3-19AFF8624588}"/>
            </c:ext>
          </c:extLst>
        </c:ser>
        <c:ser>
          <c:idx val="7"/>
          <c:order val="5"/>
          <c:tx>
            <c:strRef>
              <c:f>'MFP-rsum (2)'!$AF$54</c:f>
              <c:strCache>
                <c:ptCount val="1"/>
                <c:pt idx="0">
                  <c:v>Fluoride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'MFP-rsum (2)'!$BA$24:$BA$25</c:f>
              <c:numCache>
                <c:formatCode>#,##0.00</c:formatCode>
                <c:ptCount val="2"/>
                <c:pt idx="0">
                  <c:v>5.7370412369719812</c:v>
                </c:pt>
                <c:pt idx="1">
                  <c:v>3.8673778519633117</c:v>
                </c:pt>
              </c:numCache>
            </c:numRef>
          </c:xVal>
          <c:yVal>
            <c:numRef>
              <c:f>'MFP-rsum (2)'!$BR$24:$BR$25</c:f>
              <c:numCache>
                <c:formatCode>#,##0.00</c:formatCode>
                <c:ptCount val="2"/>
                <c:pt idx="0">
                  <c:v>4.3231571595853948</c:v>
                </c:pt>
                <c:pt idx="1">
                  <c:v>3.4023189027080507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D80-4293-B9C3-19AFF8624588}"/>
            </c:ext>
          </c:extLst>
        </c:ser>
        <c:ser>
          <c:idx val="9"/>
          <c:order val="6"/>
          <c:tx>
            <c:strRef>
              <c:f>'MFP-rsum (2)'!$AF$55</c:f>
              <c:strCache>
                <c:ptCount val="1"/>
                <c:pt idx="0">
                  <c:v>Chloride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('MFP-rsum (2)'!$AY$23,'MFP-rsum (2)'!$AY$31,'MFP-rsum (2)'!$AY$32,'MFP-rsum (2)'!$AY$34)</c:f>
              <c:numCache>
                <c:formatCode>#,##0.00</c:formatCode>
                <c:ptCount val="4"/>
              </c:numCache>
            </c:numRef>
          </c:xVal>
          <c:yVal>
            <c:numRef>
              <c:f>('MFP-rsum (2)'!$BR$23,'MFP-rsum (2)'!$BR$31,'MFP-rsum (2)'!$BR$32,'MFP-rsum (2)'!$BR$34)</c:f>
              <c:numCache>
                <c:formatCode>#,##0.00</c:formatCode>
                <c:ptCount val="4"/>
                <c:pt idx="0">
                  <c:v>1.7079480233861968</c:v>
                </c:pt>
                <c:pt idx="1">
                  <c:v>1.7088154639431397</c:v>
                </c:pt>
                <c:pt idx="2">
                  <c:v>1.8682458834445048</c:v>
                </c:pt>
                <c:pt idx="3">
                  <c:v>2.0820967768277479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D80-4293-B9C3-19AFF8624588}"/>
            </c:ext>
          </c:extLst>
        </c:ser>
        <c:ser>
          <c:idx val="10"/>
          <c:order val="7"/>
          <c:tx>
            <c:strRef>
              <c:f>'MFP-rsum (2)'!$AF$56</c:f>
              <c:strCache>
                <c:ptCount val="1"/>
                <c:pt idx="0">
                  <c:v>Fluoride Actinide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('MFP-rsum (2)'!$AY$26:$AY$27,'MFP-rsum (2)'!$AY$29:$AY$30,'MFP-rsum (2)'!$AY$38:$AY$40)</c:f>
              <c:numCache>
                <c:formatCode>#,##0.00</c:formatCode>
                <c:ptCount val="7"/>
              </c:numCache>
            </c:numRef>
          </c:xVal>
          <c:yVal>
            <c:numRef>
              <c:f>('MFP-rsum (2)'!$BR$26:$BR$27,'MFP-rsum (2)'!$BR$29:$BR$30,'MFP-rsum (2)'!$BR$38:$BR$40)</c:f>
              <c:numCache>
                <c:formatCode>#,##0.00</c:formatCode>
                <c:ptCount val="7"/>
                <c:pt idx="0">
                  <c:v>4.3032748661318507</c:v>
                </c:pt>
                <c:pt idx="1">
                  <c:v>4.3421936455089147</c:v>
                </c:pt>
                <c:pt idx="2">
                  <c:v>4.4171268969313671</c:v>
                </c:pt>
                <c:pt idx="3">
                  <c:v>4.4062503993282949</c:v>
                </c:pt>
                <c:pt idx="4">
                  <c:v>3.32025893899874</c:v>
                </c:pt>
                <c:pt idx="5">
                  <c:v>3.3979939963429326</c:v>
                </c:pt>
                <c:pt idx="6">
                  <c:v>3.4747636054825803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D80-4293-B9C3-19AFF8624588}"/>
            </c:ext>
          </c:extLst>
        </c:ser>
        <c:ser>
          <c:idx val="11"/>
          <c:order val="8"/>
          <c:tx>
            <c:strRef>
              <c:f>'MFP-rsum (2)'!$AF$57</c:f>
              <c:strCache>
                <c:ptCount val="1"/>
                <c:pt idx="0">
                  <c:v>Chloride Actinide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'MFP-rsum (2)'!$AY$36:$AY$37</c:f>
              <c:numCache>
                <c:formatCode>#,##0.00</c:formatCode>
                <c:ptCount val="2"/>
                <c:pt idx="0">
                  <c:v>1760763.3990940622</c:v>
                </c:pt>
                <c:pt idx="1">
                  <c:v>1872363.9188224885</c:v>
                </c:pt>
              </c:numCache>
            </c:numRef>
          </c:xVal>
          <c:yVal>
            <c:numRef>
              <c:f>'MFP-rsum (2)'!$BR$36:$BR$37</c:f>
              <c:numCache>
                <c:formatCode>#,##0.00</c:formatCode>
                <c:ptCount val="2"/>
                <c:pt idx="0">
                  <c:v>2.156336438564276</c:v>
                </c:pt>
                <c:pt idx="1">
                  <c:v>2.1497703220167965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D80-4293-B9C3-19AFF8624588}"/>
            </c:ext>
          </c:extLst>
        </c:ser>
        <c:ser>
          <c:idx val="2"/>
          <c:order val="9"/>
          <c:tx>
            <c:strRef>
              <c:f>'MFP-rsum (2)'!$AF$58</c:f>
              <c:strCache>
                <c:ptCount val="1"/>
                <c:pt idx="0">
                  <c:v>Water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'MFP-rsum (2)'!$AY$41</c:f>
              <c:numCache>
                <c:formatCode>#,##0.00</c:formatCode>
                <c:ptCount val="1"/>
                <c:pt idx="0">
                  <c:v>0</c:v>
                </c:pt>
              </c:numCache>
            </c:numRef>
          </c:xVal>
          <c:yVal>
            <c:numRef>
              <c:f>'MFP-rsum (2)'!$BR$41</c:f>
              <c:numCache>
                <c:formatCode>#,##0.00</c:formatCode>
                <c:ptCount val="1"/>
                <c:pt idx="0">
                  <c:v>4.1831298557158707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BD80-4293-B9C3-19AFF8624588}"/>
            </c:ext>
          </c:extLst>
        </c:ser>
        <c:ser>
          <c:idx val="3"/>
          <c:order val="10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10000000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E-BD80-4293-B9C3-19AFF8624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2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c_BC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1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c_measured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ayout>
        <c:manualLayout>
          <c:xMode val="edge"/>
          <c:yMode val="edge"/>
          <c:x val="0.66025138959842822"/>
          <c:y val="6.4057451151939337E-2"/>
          <c:w val="0.33974861040157184"/>
          <c:h val="0.802565179352580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SCL_Calc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66593759113446"/>
          <c:y val="5.9523809523809521E-2"/>
          <c:w val="0.66948697385049094"/>
          <c:h val="0.80395513060867396"/>
        </c:manualLayout>
      </c:layout>
      <c:scatterChart>
        <c:scatterStyle val="lineMarker"/>
        <c:varyColors val="0"/>
        <c:ser>
          <c:idx val="4"/>
          <c:order val="0"/>
          <c:tx>
            <c:strRef>
              <c:f>'MFP-rsum (2)'!$AF$49</c:f>
              <c:strCache>
                <c:ptCount val="1"/>
                <c:pt idx="0">
                  <c:v>Unary Flourides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'MFP-rsum (2)'!$AN$2:$AN$6</c:f>
              <c:numCache>
                <c:formatCode>General</c:formatCode>
                <c:ptCount val="5"/>
                <c:pt idx="0" formatCode="0.00E+00">
                  <c:v>1.27254998016219</c:v>
                </c:pt>
                <c:pt idx="1">
                  <c:v>0.85709429236785095</c:v>
                </c:pt>
                <c:pt idx="2">
                  <c:v>0.571754421134825</c:v>
                </c:pt>
              </c:numCache>
            </c:numRef>
          </c:xVal>
          <c:yVal>
            <c:numRef>
              <c:f>'MFP-rsum (2)'!$AI$2:$AI$6</c:f>
              <c:numCache>
                <c:formatCode>General</c:formatCode>
                <c:ptCount val="5"/>
                <c:pt idx="0">
                  <c:v>1.2682350574951</c:v>
                </c:pt>
                <c:pt idx="1">
                  <c:v>1.2192784382425901</c:v>
                </c:pt>
                <c:pt idx="2">
                  <c:v>0.62200825361355605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59-4D68-B89A-353180176933}"/>
            </c:ext>
          </c:extLst>
        </c:ser>
        <c:ser>
          <c:idx val="0"/>
          <c:order val="1"/>
          <c:tx>
            <c:strRef>
              <c:f>'MFP-rsum (2)'!$AF$50</c:f>
              <c:strCache>
                <c:ptCount val="1"/>
                <c:pt idx="0">
                  <c:v>Unary Chlorides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'MFP-rsum (2)'!$AN$7:$AN$9</c:f>
              <c:numCache>
                <c:formatCode>General</c:formatCode>
                <c:ptCount val="3"/>
                <c:pt idx="0">
                  <c:v>0.65758853659320404</c:v>
                </c:pt>
                <c:pt idx="1">
                  <c:v>0.50410392462777398</c:v>
                </c:pt>
                <c:pt idx="2">
                  <c:v>0.41550005782079902</c:v>
                </c:pt>
              </c:numCache>
            </c:numRef>
          </c:xVal>
          <c:yVal>
            <c:numRef>
              <c:f>'MFP-rsum (2)'!$AI$7:$AI$9</c:f>
              <c:numCache>
                <c:formatCode>General</c:formatCode>
                <c:ptCount val="3"/>
                <c:pt idx="0">
                  <c:v>0.62171538406412596</c:v>
                </c:pt>
                <c:pt idx="1">
                  <c:v>0.47705461868503202</c:v>
                </c:pt>
                <c:pt idx="2">
                  <c:v>0.36559719352224501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59-4D68-B89A-353180176933}"/>
            </c:ext>
          </c:extLst>
        </c:ser>
        <c:ser>
          <c:idx val="5"/>
          <c:order val="2"/>
          <c:tx>
            <c:strRef>
              <c:f>'MFP-rsum (2)'!$AF$52</c:f>
              <c:strCache>
                <c:ptCount val="1"/>
                <c:pt idx="0">
                  <c:v>Unary Alkaline Earth Chlorides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'MFP-rsum (2)'!$AN$14:$AN$16</c:f>
              <c:numCache>
                <c:formatCode>General</c:formatCode>
                <c:ptCount val="3"/>
                <c:pt idx="0">
                  <c:v>0.54587387301537704</c:v>
                </c:pt>
                <c:pt idx="1">
                  <c:v>0.66840839048394896</c:v>
                </c:pt>
                <c:pt idx="2">
                  <c:v>0.57386328446067703</c:v>
                </c:pt>
              </c:numCache>
            </c:numRef>
          </c:xVal>
          <c:yVal>
            <c:numRef>
              <c:f>'MFP-rsum (2)'!$AI$14:$AI$16</c:f>
              <c:numCache>
                <c:formatCode>General</c:formatCode>
                <c:ptCount val="3"/>
                <c:pt idx="0">
                  <c:v>0.79107788518133404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559-4D68-B89A-353180176933}"/>
            </c:ext>
          </c:extLst>
        </c:ser>
        <c:ser>
          <c:idx val="7"/>
          <c:order val="3"/>
          <c:tx>
            <c:strRef>
              <c:f>'MFP-rsum (2)'!$AF$54</c:f>
              <c:strCache>
                <c:ptCount val="1"/>
                <c:pt idx="0">
                  <c:v>Fluoride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'MFP-rsum (2)'!$AN$24:$AN$35</c:f>
              <c:numCache>
                <c:formatCode>General</c:formatCode>
                <c:ptCount val="12"/>
                <c:pt idx="0">
                  <c:v>1.2767938196406401</c:v>
                </c:pt>
                <c:pt idx="1">
                  <c:v>0.75631548066380605</c:v>
                </c:pt>
                <c:pt idx="9">
                  <c:v>0.497568288937763</c:v>
                </c:pt>
                <c:pt idx="11">
                  <c:v>0.77860022830973397</c:v>
                </c:pt>
              </c:numCache>
            </c:numRef>
          </c:xVal>
          <c:yVal>
            <c:numRef>
              <c:f>'MFP-rsum (2)'!$AI$24:$AI$35</c:f>
              <c:numCache>
                <c:formatCode>General</c:formatCode>
                <c:ptCount val="12"/>
                <c:pt idx="0">
                  <c:v>1.1000000000000001</c:v>
                </c:pt>
                <c:pt idx="1">
                  <c:v>0.78633287605038305</c:v>
                </c:pt>
                <c:pt idx="9">
                  <c:v>0.766984</c:v>
                </c:pt>
                <c:pt idx="11">
                  <c:v>0.86544945017474995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559-4D68-B89A-353180176933}"/>
            </c:ext>
          </c:extLst>
        </c:ser>
        <c:ser>
          <c:idx val="11"/>
          <c:order val="4"/>
          <c:tx>
            <c:strRef>
              <c:f>'MFP-rsum (2)'!$AF$57</c:f>
              <c:strCache>
                <c:ptCount val="1"/>
                <c:pt idx="0">
                  <c:v>Chloride Actinide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'MFP-rsum (2)'!$AN$36:$AN$37</c:f>
              <c:numCache>
                <c:formatCode>General</c:formatCode>
                <c:ptCount val="2"/>
                <c:pt idx="0">
                  <c:v>0.30100332748313402</c:v>
                </c:pt>
                <c:pt idx="1">
                  <c:v>0.292318880223921</c:v>
                </c:pt>
              </c:numCache>
            </c:numRef>
          </c:xVal>
          <c:yVal>
            <c:numRef>
              <c:f>'MFP-rsum (2)'!$AI$36:$AI$37</c:f>
              <c:numCache>
                <c:formatCode>General</c:formatCode>
                <c:ptCount val="2"/>
                <c:pt idx="0">
                  <c:v>0.239262577144952</c:v>
                </c:pt>
                <c:pt idx="1">
                  <c:v>0.27567442291687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559-4D68-B89A-353180176933}"/>
            </c:ext>
          </c:extLst>
        </c:ser>
        <c:ser>
          <c:idx val="2"/>
          <c:order val="5"/>
          <c:tx>
            <c:strRef>
              <c:f>'MFP-rsum (2)'!$AF$58</c:f>
              <c:strCache>
                <c:ptCount val="1"/>
                <c:pt idx="0">
                  <c:v>Water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'MFP-rsum (2)'!$AW$41</c:f>
              <c:numCache>
                <c:formatCode>0.00000</c:formatCode>
                <c:ptCount val="1"/>
                <c:pt idx="0">
                  <c:v>0.60645622271550126</c:v>
                </c:pt>
              </c:numCache>
            </c:numRef>
          </c:xVal>
          <c:yVal>
            <c:numRef>
              <c:f>'MFP-rsum (2)'!$AH$41</c:f>
              <c:numCache>
                <c:formatCode>General</c:formatCode>
                <c:ptCount val="1"/>
                <c:pt idx="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559-4D68-B89A-353180176933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B-6559-4D68-B89A-353180176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.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_predicted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1.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46935646933022263"/>
          <c:y val="0.55891138607674051"/>
          <c:w val="0.52718613298337713"/>
          <c:h val="0.281414510686164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SCL_Calc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66593759113446"/>
          <c:y val="5.9523809523809521E-2"/>
          <c:w val="0.67140662972683973"/>
          <c:h val="0.80395513060867396"/>
        </c:manualLayout>
      </c:layout>
      <c:scatterChart>
        <c:scatterStyle val="lineMarker"/>
        <c:varyColors val="0"/>
        <c:ser>
          <c:idx val="4"/>
          <c:order val="0"/>
          <c:tx>
            <c:v>Kinetic Theory - Unary Salts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'MFP-rsum (2)'!$AP$2:$AP$22</c:f>
              <c:numCache>
                <c:formatCode>General</c:formatCode>
                <c:ptCount val="21"/>
                <c:pt idx="0" formatCode="0.00E+00">
                  <c:v>1.3498414938304</c:v>
                </c:pt>
                <c:pt idx="1">
                  <c:v>0.842268101058265</c:v>
                </c:pt>
                <c:pt idx="2">
                  <c:v>0.58268227937308503</c:v>
                </c:pt>
                <c:pt idx="5">
                  <c:v>0.68631947375037605</c:v>
                </c:pt>
                <c:pt idx="6">
                  <c:v>0.48682954154178998</c:v>
                </c:pt>
                <c:pt idx="7">
                  <c:v>0.37423569928907002</c:v>
                </c:pt>
                <c:pt idx="12">
                  <c:v>0.43829220310135403</c:v>
                </c:pt>
                <c:pt idx="13">
                  <c:v>0.448735993317051</c:v>
                </c:pt>
                <c:pt idx="14">
                  <c:v>0.383511707903748</c:v>
                </c:pt>
              </c:numCache>
            </c:numRef>
          </c:xVal>
          <c:yVal>
            <c:numRef>
              <c:f>'MFP-rsum (2)'!$AI$2:$AI$19</c:f>
              <c:numCache>
                <c:formatCode>General</c:formatCode>
                <c:ptCount val="18"/>
                <c:pt idx="0">
                  <c:v>1.2682350574951</c:v>
                </c:pt>
                <c:pt idx="1">
                  <c:v>1.2192784382425901</c:v>
                </c:pt>
                <c:pt idx="2">
                  <c:v>0.62200825361355605</c:v>
                </c:pt>
                <c:pt idx="5">
                  <c:v>0.62171538406412596</c:v>
                </c:pt>
                <c:pt idx="6">
                  <c:v>0.47705461868503202</c:v>
                </c:pt>
                <c:pt idx="7">
                  <c:v>0.36559719352224501</c:v>
                </c:pt>
                <c:pt idx="12">
                  <c:v>0.79107788518133404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F48-43EA-85E3-36A4EBF8BA68}"/>
            </c:ext>
          </c:extLst>
        </c:ser>
        <c:ser>
          <c:idx val="6"/>
          <c:order val="1"/>
          <c:tx>
            <c:v>Kinetic Theory - Mixtures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noFill/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'MFP-rsum (2)'!$AP$22:$AP$35</c:f>
              <c:numCache>
                <c:formatCode>General</c:formatCode>
                <c:ptCount val="14"/>
                <c:pt idx="2">
                  <c:v>1.51848599870652</c:v>
                </c:pt>
                <c:pt idx="3">
                  <c:v>0.90509686778680298</c:v>
                </c:pt>
                <c:pt idx="11">
                  <c:v>0.59758620590054001</c:v>
                </c:pt>
                <c:pt idx="13">
                  <c:v>1.0757818270761199</c:v>
                </c:pt>
              </c:numCache>
            </c:numRef>
          </c:xVal>
          <c:yVal>
            <c:numRef>
              <c:f>'MFP-rsum (2)'!$AI$22:$AI$35</c:f>
              <c:numCache>
                <c:formatCode>General</c:formatCode>
                <c:ptCount val="14"/>
                <c:pt idx="2">
                  <c:v>1.1000000000000001</c:v>
                </c:pt>
                <c:pt idx="3">
                  <c:v>0.78633287605038305</c:v>
                </c:pt>
                <c:pt idx="11">
                  <c:v>0.766984</c:v>
                </c:pt>
                <c:pt idx="13">
                  <c:v>0.86544945017474995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3F48-43EA-85E3-36A4EBF8BA68}"/>
            </c:ext>
          </c:extLst>
        </c:ser>
        <c:ser>
          <c:idx val="0"/>
          <c:order val="2"/>
          <c:tx>
            <c:v>Kinetic Theory -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noFill/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'MFP-rsum (2)'!$AP$36:$AP$37</c:f>
              <c:numCache>
                <c:formatCode>General</c:formatCode>
                <c:ptCount val="2"/>
                <c:pt idx="0">
                  <c:v>0.114791473222003</c:v>
                </c:pt>
                <c:pt idx="1">
                  <c:v>0.111262755604788</c:v>
                </c:pt>
              </c:numCache>
            </c:numRef>
          </c:xVal>
          <c:yVal>
            <c:numRef>
              <c:f>'MFP-rsum (2)'!$AI$36:$AI$37</c:f>
              <c:numCache>
                <c:formatCode>General</c:formatCode>
                <c:ptCount val="2"/>
                <c:pt idx="0">
                  <c:v>0.239262577144952</c:v>
                </c:pt>
                <c:pt idx="1">
                  <c:v>0.27567442291687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F48-43EA-85E3-36A4EBF8BA68}"/>
            </c:ext>
          </c:extLst>
        </c:ser>
        <c:ser>
          <c:idx val="1"/>
          <c:order val="3"/>
          <c:tx>
            <c:v>Present Model - Unary Salts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'MFP-rsum (2)'!$AN$2:$AN$22</c:f>
              <c:numCache>
                <c:formatCode>General</c:formatCode>
                <c:ptCount val="21"/>
                <c:pt idx="0" formatCode="0.00E+00">
                  <c:v>1.27254998016219</c:v>
                </c:pt>
                <c:pt idx="1">
                  <c:v>0.85709429236785095</c:v>
                </c:pt>
                <c:pt idx="2">
                  <c:v>0.571754421134825</c:v>
                </c:pt>
                <c:pt idx="5">
                  <c:v>0.65758853659320404</c:v>
                </c:pt>
                <c:pt idx="6">
                  <c:v>0.50410392462777398</c:v>
                </c:pt>
                <c:pt idx="7">
                  <c:v>0.41550005782079902</c:v>
                </c:pt>
                <c:pt idx="12">
                  <c:v>0.54587387301537704</c:v>
                </c:pt>
                <c:pt idx="13">
                  <c:v>0.66840839048394896</c:v>
                </c:pt>
                <c:pt idx="14">
                  <c:v>0.57386328446067703</c:v>
                </c:pt>
              </c:numCache>
            </c:numRef>
          </c:xVal>
          <c:yVal>
            <c:numRef>
              <c:f>'MFP-rsum (2)'!$AI$2:$AI$22</c:f>
              <c:numCache>
                <c:formatCode>General</c:formatCode>
                <c:ptCount val="21"/>
                <c:pt idx="0">
                  <c:v>1.2682350574951</c:v>
                </c:pt>
                <c:pt idx="1">
                  <c:v>1.2192784382425901</c:v>
                </c:pt>
                <c:pt idx="2">
                  <c:v>0.62200825361355605</c:v>
                </c:pt>
                <c:pt idx="5">
                  <c:v>0.62171538406412596</c:v>
                </c:pt>
                <c:pt idx="6">
                  <c:v>0.47705461868503202</c:v>
                </c:pt>
                <c:pt idx="7">
                  <c:v>0.36559719352224501</c:v>
                </c:pt>
                <c:pt idx="12">
                  <c:v>0.79107788518133404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F48-43EA-85E3-36A4EBF8BA68}"/>
            </c:ext>
          </c:extLst>
        </c:ser>
        <c:ser>
          <c:idx val="5"/>
          <c:order val="4"/>
          <c:tx>
            <c:v>Present Model -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'MFP-rsum (2)'!$AN$23:$AN$35</c:f>
              <c:numCache>
                <c:formatCode>General</c:formatCode>
                <c:ptCount val="13"/>
                <c:pt idx="1">
                  <c:v>1.2767938196406401</c:v>
                </c:pt>
                <c:pt idx="2">
                  <c:v>0.75631548066380605</c:v>
                </c:pt>
                <c:pt idx="10">
                  <c:v>0.497568288937763</c:v>
                </c:pt>
                <c:pt idx="12">
                  <c:v>0.77860022830973397</c:v>
                </c:pt>
              </c:numCache>
            </c:numRef>
          </c:xVal>
          <c:yVal>
            <c:numRef>
              <c:f>'MFP-rsum (2)'!$AI$23:$AI$35</c:f>
              <c:numCache>
                <c:formatCode>General</c:formatCode>
                <c:ptCount val="13"/>
                <c:pt idx="1">
                  <c:v>1.1000000000000001</c:v>
                </c:pt>
                <c:pt idx="2">
                  <c:v>0.78633287605038305</c:v>
                </c:pt>
                <c:pt idx="10">
                  <c:v>0.766984</c:v>
                </c:pt>
                <c:pt idx="12">
                  <c:v>0.86544945017474995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3F48-43EA-85E3-36A4EBF8BA68}"/>
            </c:ext>
          </c:extLst>
        </c:ser>
        <c:ser>
          <c:idx val="11"/>
          <c:order val="5"/>
          <c:tx>
            <c:v>Present Model - Actinides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'MFP-rsum (2)'!$AN$36:$AN$37</c:f>
              <c:numCache>
                <c:formatCode>General</c:formatCode>
                <c:ptCount val="2"/>
                <c:pt idx="0">
                  <c:v>0.30100332748313402</c:v>
                </c:pt>
                <c:pt idx="1">
                  <c:v>0.292318880223921</c:v>
                </c:pt>
              </c:numCache>
            </c:numRef>
          </c:xVal>
          <c:yVal>
            <c:numRef>
              <c:f>'MFP-rsum (2)'!$AI$36:$AI$37</c:f>
              <c:numCache>
                <c:formatCode>General</c:formatCode>
                <c:ptCount val="2"/>
                <c:pt idx="0">
                  <c:v>0.239262577144952</c:v>
                </c:pt>
                <c:pt idx="1">
                  <c:v>0.27567442291687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F48-43EA-85E3-36A4EBF8BA68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3F48-43EA-85E3-36A4EBF8BA68}"/>
            </c:ext>
          </c:extLst>
        </c:ser>
        <c:ser>
          <c:idx val="2"/>
          <c:order val="7"/>
          <c:tx>
            <c:strRef>
              <c:f>'MFP-rsum (2)'!$AK$1</c:f>
              <c:strCache>
                <c:ptCount val="1"/>
                <c:pt idx="0">
                  <c:v>115%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4">
                    <a:alpha val="50000"/>
                  </a:schemeClr>
                </a:solidFill>
                <a:prstDash val="dash"/>
              </a:ln>
              <a:effectLst/>
            </c:spPr>
            <c:trendlineType val="linear"/>
            <c:forward val="5"/>
            <c:backward val="5"/>
            <c:dispRSqr val="0"/>
            <c:dispEq val="0"/>
          </c:trendline>
          <c:xVal>
            <c:numRef>
              <c:f>'MFP-rsum (2)'!$AI$2:$AI$37</c:f>
              <c:numCache>
                <c:formatCode>General</c:formatCode>
                <c:ptCount val="36"/>
                <c:pt idx="0">
                  <c:v>1.2682350574951</c:v>
                </c:pt>
                <c:pt idx="1">
                  <c:v>1.2192784382425901</c:v>
                </c:pt>
                <c:pt idx="2">
                  <c:v>0.62200825361355605</c:v>
                </c:pt>
                <c:pt idx="5">
                  <c:v>0.62171538406412596</c:v>
                </c:pt>
                <c:pt idx="6">
                  <c:v>0.47705461868503202</c:v>
                </c:pt>
                <c:pt idx="7">
                  <c:v>0.36559719352224501</c:v>
                </c:pt>
                <c:pt idx="12">
                  <c:v>0.79107788518133404</c:v>
                </c:pt>
                <c:pt idx="22">
                  <c:v>1.1000000000000001</c:v>
                </c:pt>
                <c:pt idx="23">
                  <c:v>0.78633287605038305</c:v>
                </c:pt>
                <c:pt idx="31">
                  <c:v>0.766984</c:v>
                </c:pt>
                <c:pt idx="33">
                  <c:v>0.86544945017474995</c:v>
                </c:pt>
                <c:pt idx="34">
                  <c:v>0.239262577144952</c:v>
                </c:pt>
                <c:pt idx="35">
                  <c:v>0.27567442291687</c:v>
                </c:pt>
              </c:numCache>
            </c:numRef>
          </c:xVal>
          <c:yVal>
            <c:numRef>
              <c:f>'MFP-rsum (2)'!$AK$2:$AK$37</c:f>
              <c:numCache>
                <c:formatCode>General</c:formatCode>
                <c:ptCount val="36"/>
                <c:pt idx="0">
                  <c:v>1.4584703161193648</c:v>
                </c:pt>
                <c:pt idx="1">
                  <c:v>1.4021702039789785</c:v>
                </c:pt>
                <c:pt idx="2">
                  <c:v>0.71530949165558944</c:v>
                </c:pt>
                <c:pt idx="5">
                  <c:v>0.71497269167374478</c:v>
                </c:pt>
                <c:pt idx="6">
                  <c:v>0.54861281148778673</c:v>
                </c:pt>
                <c:pt idx="7">
                  <c:v>0.42043677255058171</c:v>
                </c:pt>
                <c:pt idx="12">
                  <c:v>0.90973956795853406</c:v>
                </c:pt>
                <c:pt idx="22">
                  <c:v>1.2649999999999999</c:v>
                </c:pt>
                <c:pt idx="23">
                  <c:v>0.90428280745794043</c:v>
                </c:pt>
                <c:pt idx="31">
                  <c:v>0.88203159999999992</c:v>
                </c:pt>
                <c:pt idx="33">
                  <c:v>0.9952668677009624</c:v>
                </c:pt>
                <c:pt idx="34">
                  <c:v>0.27515196371669476</c:v>
                </c:pt>
                <c:pt idx="35">
                  <c:v>0.31702558635440048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3F48-43EA-85E3-36A4EBF8BA68}"/>
            </c:ext>
          </c:extLst>
        </c:ser>
        <c:ser>
          <c:idx val="7"/>
          <c:order val="8"/>
          <c:tx>
            <c:strRef>
              <c:f>'MFP-rsum (2)'!$AL$1</c:f>
              <c:strCache>
                <c:ptCount val="1"/>
                <c:pt idx="0">
                  <c:v>0.85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4">
                    <a:alpha val="50000"/>
                  </a:schemeClr>
                </a:solidFill>
                <a:prstDash val="dash"/>
              </a:ln>
              <a:effectLst/>
            </c:spPr>
            <c:trendlineType val="linear"/>
            <c:forward val="3"/>
            <c:backward val="3"/>
            <c:intercept val="0"/>
            <c:dispRSqr val="0"/>
            <c:dispEq val="0"/>
          </c:trendline>
          <c:xVal>
            <c:numRef>
              <c:f>'MFP-rsum (2)'!$AI$2:$AI$38</c:f>
              <c:numCache>
                <c:formatCode>General</c:formatCode>
                <c:ptCount val="37"/>
                <c:pt idx="0">
                  <c:v>1.2682350574951</c:v>
                </c:pt>
                <c:pt idx="1">
                  <c:v>1.2192784382425901</c:v>
                </c:pt>
                <c:pt idx="2">
                  <c:v>0.62200825361355605</c:v>
                </c:pt>
                <c:pt idx="5">
                  <c:v>0.62171538406412596</c:v>
                </c:pt>
                <c:pt idx="6">
                  <c:v>0.47705461868503202</c:v>
                </c:pt>
                <c:pt idx="7">
                  <c:v>0.36559719352224501</c:v>
                </c:pt>
                <c:pt idx="12">
                  <c:v>0.79107788518133404</c:v>
                </c:pt>
                <c:pt idx="22">
                  <c:v>1.1000000000000001</c:v>
                </c:pt>
                <c:pt idx="23">
                  <c:v>0.78633287605038305</c:v>
                </c:pt>
                <c:pt idx="31">
                  <c:v>0.766984</c:v>
                </c:pt>
                <c:pt idx="33">
                  <c:v>0.86544945017474995</c:v>
                </c:pt>
                <c:pt idx="34">
                  <c:v>0.239262577144952</c:v>
                </c:pt>
                <c:pt idx="35">
                  <c:v>0.27567442291687</c:v>
                </c:pt>
              </c:numCache>
            </c:numRef>
          </c:xVal>
          <c:yVal>
            <c:numRef>
              <c:f>'MFP-rsum (2)'!$AL$2:$AL$39</c:f>
              <c:numCache>
                <c:formatCode>General</c:formatCode>
                <c:ptCount val="38"/>
                <c:pt idx="0">
                  <c:v>1.077999798870835</c:v>
                </c:pt>
                <c:pt idx="1">
                  <c:v>1.0363866725062016</c:v>
                </c:pt>
                <c:pt idx="2">
                  <c:v>0.52870701557152266</c:v>
                </c:pt>
                <c:pt idx="5">
                  <c:v>0.52845807645450704</c:v>
                </c:pt>
                <c:pt idx="6">
                  <c:v>0.40549642588227719</c:v>
                </c:pt>
                <c:pt idx="7">
                  <c:v>0.31075761449390826</c:v>
                </c:pt>
                <c:pt idx="12">
                  <c:v>0.67241620240413391</c:v>
                </c:pt>
                <c:pt idx="22">
                  <c:v>0.93500000000000005</c:v>
                </c:pt>
                <c:pt idx="23">
                  <c:v>0.66838294464282555</c:v>
                </c:pt>
                <c:pt idx="31">
                  <c:v>0.65193639999999997</c:v>
                </c:pt>
                <c:pt idx="33">
                  <c:v>0.73563203264853738</c:v>
                </c:pt>
                <c:pt idx="34">
                  <c:v>0.20337319057320918</c:v>
                </c:pt>
                <c:pt idx="35">
                  <c:v>0.23432325947933949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3F48-43EA-85E3-36A4EBF8B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.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kpredicted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1.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0.54690288713910762"/>
          <c:y val="0.54700662417197854"/>
          <c:w val="0.43457859434237389"/>
          <c:h val="0.28632670916135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SCL_Calc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66593759113446"/>
          <c:y val="5.9523809523809521E-2"/>
          <c:w val="0.53988238205690331"/>
          <c:h val="0.80395513060867396"/>
        </c:manualLayout>
      </c:layout>
      <c:scatterChart>
        <c:scatterStyle val="lineMarker"/>
        <c:varyColors val="0"/>
        <c:ser>
          <c:idx val="1"/>
          <c:order val="0"/>
          <c:tx>
            <c:v>Unary Salts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'MFP-rsum (2)'!$AN$2:$AN$22</c:f>
              <c:numCache>
                <c:formatCode>General</c:formatCode>
                <c:ptCount val="21"/>
                <c:pt idx="0" formatCode="0.00E+00">
                  <c:v>1.27254998016219</c:v>
                </c:pt>
                <c:pt idx="1">
                  <c:v>0.85709429236785095</c:v>
                </c:pt>
                <c:pt idx="2">
                  <c:v>0.571754421134825</c:v>
                </c:pt>
                <c:pt idx="5">
                  <c:v>0.65758853659320404</c:v>
                </c:pt>
                <c:pt idx="6">
                  <c:v>0.50410392462777398</c:v>
                </c:pt>
                <c:pt idx="7">
                  <c:v>0.41550005782079902</c:v>
                </c:pt>
                <c:pt idx="12">
                  <c:v>0.54587387301537704</c:v>
                </c:pt>
                <c:pt idx="13">
                  <c:v>0.66840839048394896</c:v>
                </c:pt>
                <c:pt idx="14">
                  <c:v>0.57386328446067703</c:v>
                </c:pt>
              </c:numCache>
            </c:numRef>
          </c:xVal>
          <c:yVal>
            <c:numRef>
              <c:f>'MFP-rsum (2)'!$AP$2:$AP$22</c:f>
              <c:numCache>
                <c:formatCode>General</c:formatCode>
                <c:ptCount val="21"/>
                <c:pt idx="0" formatCode="0.00E+00">
                  <c:v>1.3498414938304</c:v>
                </c:pt>
                <c:pt idx="1">
                  <c:v>0.842268101058265</c:v>
                </c:pt>
                <c:pt idx="2">
                  <c:v>0.58268227937308503</c:v>
                </c:pt>
                <c:pt idx="5">
                  <c:v>0.68631947375037605</c:v>
                </c:pt>
                <c:pt idx="6">
                  <c:v>0.48682954154178998</c:v>
                </c:pt>
                <c:pt idx="7">
                  <c:v>0.37423569928907002</c:v>
                </c:pt>
                <c:pt idx="12">
                  <c:v>0.43829220310135403</c:v>
                </c:pt>
                <c:pt idx="13">
                  <c:v>0.448735993317051</c:v>
                </c:pt>
                <c:pt idx="14">
                  <c:v>0.383511707903748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CDC-4C6A-BFE7-F8FAA244DC30}"/>
            </c:ext>
          </c:extLst>
        </c:ser>
        <c:ser>
          <c:idx val="5"/>
          <c:order val="1"/>
          <c:tx>
            <c:v>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'MFP-rsum (2)'!$AN$23:$AN$35</c:f>
              <c:numCache>
                <c:formatCode>General</c:formatCode>
                <c:ptCount val="13"/>
                <c:pt idx="1">
                  <c:v>1.2767938196406401</c:v>
                </c:pt>
                <c:pt idx="2">
                  <c:v>0.75631548066380605</c:v>
                </c:pt>
                <c:pt idx="10">
                  <c:v>0.497568288937763</c:v>
                </c:pt>
                <c:pt idx="12">
                  <c:v>0.77860022830973397</c:v>
                </c:pt>
              </c:numCache>
            </c:numRef>
          </c:xVal>
          <c:yVal>
            <c:numRef>
              <c:f>'MFP-rsum (2)'!$AP$23:$AP$35</c:f>
              <c:numCache>
                <c:formatCode>General</c:formatCode>
                <c:ptCount val="13"/>
                <c:pt idx="1">
                  <c:v>1.51848599870652</c:v>
                </c:pt>
                <c:pt idx="2">
                  <c:v>0.90509686778680298</c:v>
                </c:pt>
                <c:pt idx="10">
                  <c:v>0.59758620590054001</c:v>
                </c:pt>
                <c:pt idx="12">
                  <c:v>1.0757818270761199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CDC-4C6A-BFE7-F8FAA244DC30}"/>
            </c:ext>
          </c:extLst>
        </c:ser>
        <c:ser>
          <c:idx val="11"/>
          <c:order val="2"/>
          <c:tx>
            <c:v>Actinides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'MFP-rsum (2)'!$AN$36:$AN$41</c:f>
              <c:numCache>
                <c:formatCode>General</c:formatCode>
                <c:ptCount val="6"/>
                <c:pt idx="0">
                  <c:v>0.30100332748313402</c:v>
                </c:pt>
                <c:pt idx="1">
                  <c:v>0.292318880223921</c:v>
                </c:pt>
                <c:pt idx="5">
                  <c:v>0.64505869517877501</c:v>
                </c:pt>
              </c:numCache>
            </c:numRef>
          </c:xVal>
          <c:yVal>
            <c:numRef>
              <c:f>'MFP-rsum (2)'!$AP$36:$AP$41</c:f>
              <c:numCache>
                <c:formatCode>General</c:formatCode>
                <c:ptCount val="6"/>
                <c:pt idx="0">
                  <c:v>0.114791473222003</c:v>
                </c:pt>
                <c:pt idx="1">
                  <c:v>0.111262755604788</c:v>
                </c:pt>
                <c:pt idx="5">
                  <c:v>0.20005523777946899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CDC-4C6A-BFE7-F8FAA244DC30}"/>
            </c:ext>
          </c:extLst>
        </c:ser>
        <c:ser>
          <c:idx val="2"/>
          <c:order val="3"/>
          <c:tx>
            <c:strRef>
              <c:f>'MFP-rsum (2)'!$AF$58</c:f>
              <c:strCache>
                <c:ptCount val="1"/>
                <c:pt idx="0">
                  <c:v>Water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'MFP-rsum (2)'!$AF$41</c:f>
              <c:numCache>
                <c:formatCode>General</c:formatCode>
                <c:ptCount val="1"/>
                <c:pt idx="0">
                  <c:v>6.0645622271550117E-7</c:v>
                </c:pt>
              </c:numCache>
            </c:numRef>
          </c:xVal>
          <c:yVal>
            <c:numRef>
              <c:f>'MFP-rsum (2)'!$AI$41</c:f>
              <c:numCache>
                <c:formatCode>0.00000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CDC-4C6A-BFE7-F8FAA244DC30}"/>
            </c:ext>
          </c:extLst>
        </c:ser>
        <c:ser>
          <c:idx val="3"/>
          <c:order val="4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B-ECDC-4C6A-BFE7-F8FAA244DC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.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_predicted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1.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ayout>
        <c:manualLayout>
          <c:xMode val="edge"/>
          <c:yMode val="edge"/>
          <c:x val="0.50060647325191243"/>
          <c:y val="0.47160983224108749"/>
          <c:w val="0.3935271602338189"/>
          <c:h val="0.228493070064087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Unary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2606517935258094"/>
                  <c:y val="-0.1176490959463400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'MFP-rsum'!$AC$2:$AC$22</c:f>
              <c:numCache>
                <c:formatCode>General</c:formatCode>
                <c:ptCount val="21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0.61260000000000003</c:v>
                </c:pt>
                <c:pt idx="6">
                  <c:v>0.46649999999999997</c:v>
                </c:pt>
                <c:pt idx="7">
                  <c:v>0.35505000000000003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0.45680000000000004</c:v>
                </c:pt>
                <c:pt idx="13">
                  <c:v>0.44125000000000003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</c:numCache>
            </c:numRef>
          </c:xVal>
          <c:yVal>
            <c:numRef>
              <c:f>'MFP-rsum'!$BC$2:$BC$22</c:f>
              <c:numCache>
                <c:formatCode>0.00E+00</c:formatCode>
                <c:ptCount val="21"/>
                <c:pt idx="0">
                  <c:v>11518926760.563383</c:v>
                </c:pt>
                <c:pt idx="1">
                  <c:v>6777875000</c:v>
                </c:pt>
                <c:pt idx="2">
                  <c:v>3997275000.0000005</c:v>
                </c:pt>
                <c:pt idx="3">
                  <c:v>3427109243.6974792</c:v>
                </c:pt>
                <c:pt idx="4">
                  <c:v>3014216126.91466</c:v>
                </c:pt>
                <c:pt idx="5">
                  <c:v>4695528296.8415575</c:v>
                </c:pt>
                <c:pt idx="6">
                  <c:v>3224302831.3413014</c:v>
                </c:pt>
                <c:pt idx="7">
                  <c:v>2406894807.5348067</c:v>
                </c:pt>
                <c:pt idx="8">
                  <c:v>9331317500</c:v>
                </c:pt>
                <c:pt idx="9">
                  <c:v>8073020808.7671309</c:v>
                </c:pt>
                <c:pt idx="10">
                  <c:v>5512102699.499424</c:v>
                </c:pt>
                <c:pt idx="11">
                  <c:v>3823441889.1071892</c:v>
                </c:pt>
                <c:pt idx="12">
                  <c:v>3422259818.6733885</c:v>
                </c:pt>
                <c:pt idx="13">
                  <c:v>3983390387.325068</c:v>
                </c:pt>
                <c:pt idx="14">
                  <c:v>3371178085.2199383</c:v>
                </c:pt>
                <c:pt idx="15">
                  <c:v>6329022162.5251837</c:v>
                </c:pt>
                <c:pt idx="16">
                  <c:v>4607564927.857935</c:v>
                </c:pt>
                <c:pt idx="17">
                  <c:v>4870875766.9995823</c:v>
                </c:pt>
                <c:pt idx="18">
                  <c:v>4546135738.6269007</c:v>
                </c:pt>
                <c:pt idx="19">
                  <c:v>3807301578.7085323</c:v>
                </c:pt>
                <c:pt idx="20">
                  <c:v>2489564819.2053208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0D-40A5-B930-C2C8188274DC}"/>
            </c:ext>
          </c:extLst>
        </c:ser>
        <c:ser>
          <c:idx val="1"/>
          <c:order val="1"/>
          <c:tx>
            <c:v>Mixture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'MFP-rsum'!$AC$23:$AC$40</c:f>
              <c:numCache>
                <c:formatCode>General</c:formatCode>
                <c:ptCount val="18"/>
                <c:pt idx="0">
                  <c:v>0.43524000000000002</c:v>
                </c:pt>
                <c:pt idx="1">
                  <c:v>1.1000000000000001</c:v>
                </c:pt>
                <c:pt idx="2">
                  <c:v>0.78024246508674777</c:v>
                </c:pt>
                <c:pt idx="3">
                  <c:v>1.1599999999999999</c:v>
                </c:pt>
                <c:pt idx="4">
                  <c:v>1.24</c:v>
                </c:pt>
                <c:pt idx="5">
                  <c:v>0.98602842355479869</c:v>
                </c:pt>
                <c:pt idx="6">
                  <c:v>0.89056771657477962</c:v>
                </c:pt>
                <c:pt idx="7">
                  <c:v>0.80397278022492213</c:v>
                </c:pt>
                <c:pt idx="8">
                  <c:v>0.45966666666666672</c:v>
                </c:pt>
                <c:pt idx="9">
                  <c:v>0.46554761904761921</c:v>
                </c:pt>
                <c:pt idx="10">
                  <c:v>0.82855603900974906</c:v>
                </c:pt>
                <c:pt idx="11">
                  <c:v>0.58438111223711209</c:v>
                </c:pt>
                <c:pt idx="12">
                  <c:v>0.86544945017475028</c:v>
                </c:pt>
                <c:pt idx="13">
                  <c:v>0.23926257714495269</c:v>
                </c:pt>
                <c:pt idx="14">
                  <c:v>0.27567442291687039</c:v>
                </c:pt>
                <c:pt idx="15">
                  <c:v>0.49395061728395051</c:v>
                </c:pt>
                <c:pt idx="16">
                  <c:v>0.45693693693693682</c:v>
                </c:pt>
                <c:pt idx="17">
                  <c:v>0.43928571428571439</c:v>
                </c:pt>
              </c:numCache>
            </c:numRef>
          </c:xVal>
          <c:yVal>
            <c:numRef>
              <c:f>'MFP-rsum'!$BC$23:$BC$40</c:f>
              <c:numCache>
                <c:formatCode>0.00E+00</c:formatCode>
                <c:ptCount val="18"/>
                <c:pt idx="0">
                  <c:v>3361294029.8277016</c:v>
                </c:pt>
                <c:pt idx="1">
                  <c:v>11014048595.585625</c:v>
                </c:pt>
                <c:pt idx="2">
                  <c:v>6847060325.5856342</c:v>
                </c:pt>
                <c:pt idx="3">
                  <c:v>7665996750.5133219</c:v>
                </c:pt>
                <c:pt idx="4">
                  <c:v>10070070932.608982</c:v>
                </c:pt>
                <c:pt idx="5">
                  <c:v>11282080942.364857</c:v>
                </c:pt>
                <c:pt idx="6">
                  <c:v>10786052187.787994</c:v>
                </c:pt>
                <c:pt idx="7">
                  <c:v>10349189533.056168</c:v>
                </c:pt>
                <c:pt idx="8">
                  <c:v>3485131631.7353826</c:v>
                </c:pt>
                <c:pt idx="9">
                  <c:v>3782781119.2374964</c:v>
                </c:pt>
                <c:pt idx="10">
                  <c:v>5226986464.2849884</c:v>
                </c:pt>
                <c:pt idx="11">
                  <c:v>4340930976.2372341</c:v>
                </c:pt>
                <c:pt idx="12">
                  <c:v>9635277745.8242054</c:v>
                </c:pt>
                <c:pt idx="13">
                  <c:v>3130460262.2672262</c:v>
                </c:pt>
                <c:pt idx="14">
                  <c:v>3161141720.5960979</c:v>
                </c:pt>
                <c:pt idx="15">
                  <c:v>4477759355.51367</c:v>
                </c:pt>
                <c:pt idx="16">
                  <c:v>4322676588.5674448</c:v>
                </c:pt>
                <c:pt idx="17">
                  <c:v>4222434861.0504155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70D-40A5-B930-C2C8188274DC}"/>
            </c:ext>
          </c:extLst>
        </c:ser>
        <c:ser>
          <c:idx val="2"/>
          <c:order val="2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'MFP-rsum'!$AC$41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xVal>
          <c:yVal>
            <c:numRef>
              <c:f>'MFP-rsum'!$BC$41</c:f>
              <c:numCache>
                <c:formatCode>0.00E+00</c:formatCode>
                <c:ptCount val="1"/>
                <c:pt idx="0">
                  <c:v>5868931187.5693665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70D-40A5-B930-C2C818827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baseline="0">
                    <a:effectLst/>
                  </a:rPr>
                  <a:t>kExp.</a:t>
                </a:r>
                <a:endParaRPr lang="en-US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baseline="0">
                    <a:effectLst/>
                  </a:rPr>
                  <a:t>1/3*cp*vs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Unary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663695203635465"/>
                  <c:y val="-0.15127041411490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'MFP-rsum'!$AC$2:$AC$23</c:f>
              <c:numCache>
                <c:formatCode>General</c:formatCode>
                <c:ptCount val="22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0.61260000000000003</c:v>
                </c:pt>
                <c:pt idx="6">
                  <c:v>0.46649999999999997</c:v>
                </c:pt>
                <c:pt idx="7">
                  <c:v>0.35505000000000003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0.45680000000000004</c:v>
                </c:pt>
                <c:pt idx="13">
                  <c:v>0.44125000000000003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1">
                  <c:v>0.43524000000000002</c:v>
                </c:pt>
              </c:numCache>
            </c:numRef>
          </c:xVal>
          <c:yVal>
            <c:numRef>
              <c:f>'MFP-rsum'!$T$2:$T$22</c:f>
              <c:numCache>
                <c:formatCode>0.00E+00</c:formatCode>
                <c:ptCount val="21"/>
                <c:pt idx="0">
                  <c:v>2.09E-10</c:v>
                </c:pt>
                <c:pt idx="1">
                  <c:v>2.3500000000000002E-10</c:v>
                </c:pt>
                <c:pt idx="2">
                  <c:v>2.7099999999999999E-10</c:v>
                </c:pt>
                <c:pt idx="3">
                  <c:v>2.85E-10</c:v>
                </c:pt>
                <c:pt idx="4">
                  <c:v>3E-10</c:v>
                </c:pt>
                <c:pt idx="5">
                  <c:v>2.5699999999999999E-10</c:v>
                </c:pt>
                <c:pt idx="6">
                  <c:v>2.8300000000000001E-10</c:v>
                </c:pt>
                <c:pt idx="7">
                  <c:v>3.1899999999999998E-10</c:v>
                </c:pt>
                <c:pt idx="8">
                  <c:v>1.6699999999999999E-10</c:v>
                </c:pt>
                <c:pt idx="9">
                  <c:v>2.0500000000000002E-10</c:v>
                </c:pt>
                <c:pt idx="10">
                  <c:v>2.3300000000000002E-10</c:v>
                </c:pt>
                <c:pt idx="11">
                  <c:v>2.5100000000000001E-10</c:v>
                </c:pt>
                <c:pt idx="12">
                  <c:v>2.5300000000000001E-10</c:v>
                </c:pt>
                <c:pt idx="13">
                  <c:v>2.8100000000000001E-10</c:v>
                </c:pt>
                <c:pt idx="14">
                  <c:v>2.99E-10</c:v>
                </c:pt>
                <c:pt idx="15">
                  <c:v>3.3299999999999999E-10</c:v>
                </c:pt>
                <c:pt idx="16">
                  <c:v>3.6899999999999997E-10</c:v>
                </c:pt>
                <c:pt idx="17">
                  <c:v>2.0500000000000002E-10</c:v>
                </c:pt>
                <c:pt idx="18">
                  <c:v>2.2699999999999999E-10</c:v>
                </c:pt>
                <c:pt idx="19">
                  <c:v>2.2200000000000001E-10</c:v>
                </c:pt>
                <c:pt idx="20">
                  <c:v>2.9700000000000001E-10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8C-4763-9820-0836AD111123}"/>
            </c:ext>
          </c:extLst>
        </c:ser>
        <c:ser>
          <c:idx val="1"/>
          <c:order val="1"/>
          <c:tx>
            <c:v>Mixture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'MFP-rsum'!$AC$23:$AC$40</c:f>
              <c:numCache>
                <c:formatCode>General</c:formatCode>
                <c:ptCount val="18"/>
                <c:pt idx="0">
                  <c:v>0.43524000000000002</c:v>
                </c:pt>
                <c:pt idx="1">
                  <c:v>1.1000000000000001</c:v>
                </c:pt>
                <c:pt idx="2">
                  <c:v>0.78024246508674777</c:v>
                </c:pt>
                <c:pt idx="3">
                  <c:v>1.1599999999999999</c:v>
                </c:pt>
                <c:pt idx="4">
                  <c:v>1.24</c:v>
                </c:pt>
                <c:pt idx="5">
                  <c:v>0.98602842355479869</c:v>
                </c:pt>
                <c:pt idx="6">
                  <c:v>0.89056771657477962</c:v>
                </c:pt>
                <c:pt idx="7">
                  <c:v>0.80397278022492213</c:v>
                </c:pt>
                <c:pt idx="8">
                  <c:v>0.45966666666666672</c:v>
                </c:pt>
                <c:pt idx="9">
                  <c:v>0.46554761904761921</c:v>
                </c:pt>
                <c:pt idx="10">
                  <c:v>0.82855603900974906</c:v>
                </c:pt>
                <c:pt idx="11">
                  <c:v>0.58438111223711209</c:v>
                </c:pt>
                <c:pt idx="12">
                  <c:v>0.86544945017475028</c:v>
                </c:pt>
                <c:pt idx="13">
                  <c:v>0.23926257714495269</c:v>
                </c:pt>
                <c:pt idx="14">
                  <c:v>0.27567442291687039</c:v>
                </c:pt>
                <c:pt idx="15">
                  <c:v>0.49395061728395051</c:v>
                </c:pt>
                <c:pt idx="16">
                  <c:v>0.45693693693693682</c:v>
                </c:pt>
                <c:pt idx="17">
                  <c:v>0.43928571428571439</c:v>
                </c:pt>
              </c:numCache>
            </c:numRef>
          </c:xVal>
          <c:yVal>
            <c:numRef>
              <c:f>'MFP-rsum'!$T$23:$T$40</c:f>
              <c:numCache>
                <c:formatCode>0.00E+00</c:formatCode>
                <c:ptCount val="18"/>
                <c:pt idx="0">
                  <c:v>2.9788000000000001E-10</c:v>
                </c:pt>
                <c:pt idx="1">
                  <c:v>1.9472000000000003E-10</c:v>
                </c:pt>
                <c:pt idx="2">
                  <c:v>2.3803E-10</c:v>
                </c:pt>
                <c:pt idx="3">
                  <c:v>2.0225E-10</c:v>
                </c:pt>
                <c:pt idx="4">
                  <c:v>1.9924399999999998E-10</c:v>
                </c:pt>
                <c:pt idx="5">
                  <c:v>1.9765999999999999E-10</c:v>
                </c:pt>
                <c:pt idx="6">
                  <c:v>1.9799999999999999E-10</c:v>
                </c:pt>
                <c:pt idx="7">
                  <c:v>1.9834000000000001E-10</c:v>
                </c:pt>
                <c:pt idx="8">
                  <c:v>2.7411999999999998E-10</c:v>
                </c:pt>
                <c:pt idx="9">
                  <c:v>2.9247459999999999E-10</c:v>
                </c:pt>
                <c:pt idx="10">
                  <c:v>2.5429000000000001E-10</c:v>
                </c:pt>
                <c:pt idx="11">
                  <c:v>2.8291599999999996E-10</c:v>
                </c:pt>
                <c:pt idx="12">
                  <c:v>2.1940000000000001E-10</c:v>
                </c:pt>
                <c:pt idx="13">
                  <c:v>2.8818000000000003E-10</c:v>
                </c:pt>
                <c:pt idx="14">
                  <c:v>2.8778800000000003E-10</c:v>
                </c:pt>
                <c:pt idx="15">
                  <c:v>3.0851800000000002E-10</c:v>
                </c:pt>
                <c:pt idx="16">
                  <c:v>3.2822400000000001E-10</c:v>
                </c:pt>
                <c:pt idx="17">
                  <c:v>3.4792999999999996E-10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08C-4763-9820-0836AD111123}"/>
            </c:ext>
          </c:extLst>
        </c:ser>
        <c:ser>
          <c:idx val="2"/>
          <c:order val="2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'MFP-rsum'!$AC$41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xVal>
          <c:yVal>
            <c:numRef>
              <c:f>'MFP-rsum'!$T$41</c:f>
              <c:numCache>
                <c:formatCode>0.00E+00</c:formatCode>
                <c:ptCount val="1"/>
                <c:pt idx="0">
                  <c:v>3.1000000000000002E-10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08C-4763-9820-0836AD111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baseline="0">
                    <a:effectLst/>
                  </a:rPr>
                  <a:t>kExp.</a:t>
                </a:r>
                <a:endParaRPr lang="en-US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davg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751476377952756"/>
          <c:y val="5.0925925925925923E-2"/>
          <c:w val="0.50349218066491686"/>
          <c:h val="0.74350320793234181"/>
        </c:manualLayout>
      </c:layout>
      <c:scatterChart>
        <c:scatterStyle val="lineMarker"/>
        <c:varyColors val="0"/>
        <c:ser>
          <c:idx val="0"/>
          <c:order val="0"/>
          <c:tx>
            <c:v>Alkali Fluoride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'MFP-rsum'!$BG$2:$BG$4</c:f>
              <c:numCache>
                <c:formatCode>0.00E+00</c:formatCode>
                <c:ptCount val="3"/>
                <c:pt idx="0">
                  <c:v>4.5513588360128237E-10</c:v>
                </c:pt>
                <c:pt idx="1">
                  <c:v>3.6428468840931505E-10</c:v>
                </c:pt>
                <c:pt idx="2">
                  <c:v>3.8914296812648964E-10</c:v>
                </c:pt>
              </c:numCache>
            </c:numRef>
          </c:xVal>
          <c:yVal>
            <c:numRef>
              <c:f>'MFP-rsum'!$AQ$2:$AQ$4</c:f>
            </c:numRef>
          </c:yVal>
          <c:smooth val="0"/>
          <c:extLst>
            <c:ext xmlns:c16="http://schemas.microsoft.com/office/drawing/2014/chart" uri="{C3380CC4-5D6E-409C-BE32-E72D297353CC}">
              <c16:uniqueId val="{00000000-5427-40AE-95BF-C6D0C4D3CAA3}"/>
            </c:ext>
          </c:extLst>
        </c:ser>
        <c:ser>
          <c:idx val="2"/>
          <c:order val="1"/>
          <c:tx>
            <c:v>Alkali Chloride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'MFP-rsum'!$BG$7:$BG$9</c:f>
              <c:numCache>
                <c:formatCode>0.00E+00</c:formatCode>
                <c:ptCount val="3"/>
                <c:pt idx="0">
                  <c:v>5.0986492855295244E-10</c:v>
                </c:pt>
                <c:pt idx="1">
                  <c:v>3.7944326183477726E-10</c:v>
                </c:pt>
                <c:pt idx="2">
                  <c:v>4.5335791979318428E-10</c:v>
                </c:pt>
              </c:numCache>
            </c:numRef>
          </c:xVal>
          <c:yVal>
            <c:numRef>
              <c:f>'MFP-rsum'!$AQ$7:$AQ$9</c:f>
            </c:numRef>
          </c:yVal>
          <c:smooth val="0"/>
          <c:extLst>
            <c:ext xmlns:c16="http://schemas.microsoft.com/office/drawing/2014/chart" uri="{C3380CC4-5D6E-409C-BE32-E72D297353CC}">
              <c16:uniqueId val="{00000001-5427-40AE-95BF-C6D0C4D3CAA3}"/>
            </c:ext>
          </c:extLst>
        </c:ser>
        <c:ser>
          <c:idx val="1"/>
          <c:order val="2"/>
          <c:tx>
            <c:v>Alkaline-Earth Fluoride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'MFP-rsum'!$BG$10:$BG$13</c:f>
              <c:numCache>
                <c:formatCode>0.00E+00</c:formatCode>
                <c:ptCount val="4"/>
                <c:pt idx="1">
                  <c:v>4.369716780765129E-10</c:v>
                </c:pt>
                <c:pt idx="2">
                  <c:v>6.843135125098611E-10</c:v>
                </c:pt>
                <c:pt idx="3">
                  <c:v>6.1875642429403127E-10</c:v>
                </c:pt>
              </c:numCache>
            </c:numRef>
          </c:xVal>
          <c:yVal>
            <c:numRef>
              <c:f>'MFP-rsum'!$AQ$10:$AQ$13</c:f>
            </c:numRef>
          </c:yVal>
          <c:smooth val="0"/>
          <c:extLst>
            <c:ext xmlns:c16="http://schemas.microsoft.com/office/drawing/2014/chart" uri="{C3380CC4-5D6E-409C-BE32-E72D297353CC}">
              <c16:uniqueId val="{00000002-5427-40AE-95BF-C6D0C4D3CAA3}"/>
            </c:ext>
          </c:extLst>
        </c:ser>
        <c:ser>
          <c:idx val="3"/>
          <c:order val="3"/>
          <c:tx>
            <c:v>Alkaline-Earth Chloride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'MFP-rsum'!$BG$14:$BG$16</c:f>
              <c:numCache>
                <c:formatCode>0.00E+00</c:formatCode>
                <c:ptCount val="3"/>
                <c:pt idx="0">
                  <c:v>6.1827251968353004E-10</c:v>
                </c:pt>
                <c:pt idx="1">
                  <c:v>7.7916751857846874E-10</c:v>
                </c:pt>
                <c:pt idx="2">
                  <c:v>7.4001853993764589E-10</c:v>
                </c:pt>
              </c:numCache>
            </c:numRef>
          </c:xVal>
          <c:yVal>
            <c:numRef>
              <c:f>'MFP-rsum'!$AQ$14:$AQ$16</c:f>
            </c:numRef>
          </c:yVal>
          <c:smooth val="0"/>
          <c:extLst>
            <c:ext xmlns:c16="http://schemas.microsoft.com/office/drawing/2014/chart" uri="{C3380CC4-5D6E-409C-BE32-E72D297353CC}">
              <c16:uniqueId val="{00000003-5427-40AE-95BF-C6D0C4D3CAA3}"/>
            </c:ext>
          </c:extLst>
        </c:ser>
        <c:ser>
          <c:idx val="4"/>
          <c:order val="4"/>
          <c:tx>
            <c:v>Fluoride Mixture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('MFP-rsum'!$BG$35,'MFP-rsum'!$BG$28:$BG$30,'MFP-rsum'!$BG$24:$BG$26)</c:f>
              <c:numCache>
                <c:formatCode>0.00E+00</c:formatCode>
                <c:ptCount val="7"/>
                <c:pt idx="0">
                  <c:v>8.4406168446792717E-10</c:v>
                </c:pt>
                <c:pt idx="1">
                  <c:v>3.2730306153599925E-9</c:v>
                </c:pt>
                <c:pt idx="2">
                  <c:v>3.304548673097048E-9</c:v>
                </c:pt>
                <c:pt idx="3">
                  <c:v>3.352633671505172E-9</c:v>
                </c:pt>
                <c:pt idx="4">
                  <c:v>3.8338347353322035E-9</c:v>
                </c:pt>
                <c:pt idx="5">
                  <c:v>2.8369914793196441E-9</c:v>
                </c:pt>
                <c:pt idx="6">
                  <c:v>6.5543423785317211E-9</c:v>
                </c:pt>
              </c:numCache>
            </c:numRef>
          </c:xVal>
          <c:yVal>
            <c:numRef>
              <c:f>('MFP-rsum'!$AQ$35,'MFP-rsum'!$AQ$28:$AQ$30,'MFP-rsum'!$AQ$24:$AQ$26)</c:f>
            </c:numRef>
          </c:yVal>
          <c:smooth val="0"/>
          <c:extLst>
            <c:ext xmlns:c16="http://schemas.microsoft.com/office/drawing/2014/chart" uri="{C3380CC4-5D6E-409C-BE32-E72D297353CC}">
              <c16:uniqueId val="{00000004-5427-40AE-95BF-C6D0C4D3CAA3}"/>
            </c:ext>
          </c:extLst>
        </c:ser>
        <c:ser>
          <c:idx val="5"/>
          <c:order val="5"/>
          <c:tx>
            <c:v>Chloride Mixture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('MFP-rsum'!$BG$23,'MFP-rsum'!$BG$36:$BG$37)</c:f>
              <c:numCache>
                <c:formatCode>0.00E+00</c:formatCode>
                <c:ptCount val="3"/>
                <c:pt idx="0">
                  <c:v>1.0517297026523455E-9</c:v>
                </c:pt>
                <c:pt idx="1">
                  <c:v>1.8511567318115176E-9</c:v>
                </c:pt>
                <c:pt idx="2">
                  <c:v>1.3749528367298905E-9</c:v>
                </c:pt>
              </c:numCache>
            </c:numRef>
          </c:xVal>
          <c:yVal>
            <c:numRef>
              <c:f>'MFP-rsum'!$AQ$36:$AQ$37</c:f>
            </c:numRef>
          </c:yVal>
          <c:smooth val="0"/>
          <c:extLst>
            <c:ext xmlns:c16="http://schemas.microsoft.com/office/drawing/2014/chart" uri="{C3380CC4-5D6E-409C-BE32-E72D297353CC}">
              <c16:uniqueId val="{00000005-5427-40AE-95BF-C6D0C4D3CAA3}"/>
            </c:ext>
          </c:extLst>
        </c:ser>
        <c:ser>
          <c:idx val="6"/>
          <c:order val="6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'MFP-rsum'!$BG$41</c:f>
              <c:numCache>
                <c:formatCode>0.00E+00</c:formatCode>
                <c:ptCount val="1"/>
                <c:pt idx="0">
                  <c:v>1.2781802750592626E-9</c:v>
                </c:pt>
              </c:numCache>
            </c:numRef>
          </c:xVal>
          <c:yVal>
            <c:numRef>
              <c:f>'MFP-rsum'!$AQ$41</c:f>
            </c:numRef>
          </c:yVal>
          <c:smooth val="0"/>
          <c:extLst>
            <c:ext xmlns:c16="http://schemas.microsoft.com/office/drawing/2014/chart" uri="{C3380CC4-5D6E-409C-BE32-E72D297353CC}">
              <c16:uniqueId val="{00000006-5427-40AE-95BF-C6D0C4D3C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5211920"/>
        <c:axId val="1253312992"/>
      </c:scatterChart>
      <c:valAx>
        <c:axId val="1655211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Viscosity/(Dens*SoundVelocity)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312992"/>
        <c:crosses val="autoZero"/>
        <c:crossBetween val="midCat"/>
      </c:valAx>
      <c:valAx>
        <c:axId val="125331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MFP_calc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211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652777777777779"/>
          <c:y val="6.1919655876348803E-2"/>
          <c:w val="0.2326388888888889"/>
          <c:h val="0.848382910469524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Pure Salts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'MFP-rsum'!$AV$2:$AV$22</c:f>
            </c:numRef>
          </c:xVal>
          <c:yVal>
            <c:numRef>
              <c:f>'MFP-rsum'!$AT$2:$AT$22</c:f>
              <c:numCache>
                <c:formatCode>0.00E+00</c:formatCode>
                <c:ptCount val="21"/>
                <c:pt idx="0">
                  <c:v>2547.8000000000002</c:v>
                </c:pt>
                <c:pt idx="1">
                  <c:v>2085.5</c:v>
                </c:pt>
                <c:pt idx="2">
                  <c:v>1816.4</c:v>
                </c:pt>
                <c:pt idx="3">
                  <c:v>1760.4</c:v>
                </c:pt>
                <c:pt idx="4">
                  <c:v>1858.9699999999998</c:v>
                </c:pt>
                <c:pt idx="5">
                  <c:v>2042.3974499999999</c:v>
                </c:pt>
                <c:pt idx="6">
                  <c:v>1743.6799999999998</c:v>
                </c:pt>
                <c:pt idx="7">
                  <c:v>1597.1839999999997</c:v>
                </c:pt>
                <c:pt idx="8">
                  <c:v>2547.8000000000002</c:v>
                </c:pt>
                <c:pt idx="9">
                  <c:v>2175.6</c:v>
                </c:pt>
                <c:pt idx="10">
                  <c:v>1710.3</c:v>
                </c:pt>
                <c:pt idx="11">
                  <c:v>1398.6</c:v>
                </c:pt>
                <c:pt idx="12">
                  <c:v>2101</c:v>
                </c:pt>
                <c:pt idx="13">
                  <c:v>2065.0300000000002</c:v>
                </c:pt>
                <c:pt idx="14">
                  <c:v>1873.13</c:v>
                </c:pt>
                <c:pt idx="15">
                  <c:v>1816.9499999999998</c:v>
                </c:pt>
                <c:pt idx="16">
                  <c:v>1766.56</c:v>
                </c:pt>
                <c:pt idx="17">
                  <c:v>1700</c:v>
                </c:pt>
                <c:pt idx="18">
                  <c:v>1362</c:v>
                </c:pt>
                <c:pt idx="19">
                  <c:v>1062</c:v>
                </c:pt>
                <c:pt idx="20">
                  <c:v>1248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30-46E4-8454-B4385253CD8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'MFP-rsum'!$AV$23:$AV$40</c:f>
            </c:numRef>
          </c:xVal>
          <c:yVal>
            <c:numRef>
              <c:f>'MFP-rsum'!$AT$23:$AT$40</c:f>
              <c:numCache>
                <c:formatCode>0.00E+00</c:formatCode>
                <c:ptCount val="18"/>
                <c:pt idx="0">
                  <c:v>1968.0306331357569</c:v>
                </c:pt>
                <c:pt idx="1">
                  <c:v>2547.6863757231322</c:v>
                </c:pt>
                <c:pt idx="2">
                  <c:v>2012.468707779205</c:v>
                </c:pt>
                <c:pt idx="3">
                  <c:v>1781.433208193873</c:v>
                </c:pt>
                <c:pt idx="4">
                  <c:v>2319.1206460873409</c:v>
                </c:pt>
                <c:pt idx="5">
                  <c:v>2547.687552638462</c:v>
                </c:pt>
                <c:pt idx="6">
                  <c:v>2441.8705732183512</c:v>
                </c:pt>
                <c:pt idx="7">
                  <c:v>2348.7520215904742</c:v>
                </c:pt>
                <c:pt idx="8">
                  <c:v>2039.5014589190009</c:v>
                </c:pt>
                <c:pt idx="9">
                  <c:v>2024.776905844504</c:v>
                </c:pt>
                <c:pt idx="10">
                  <c:v>1885.1934295243609</c:v>
                </c:pt>
                <c:pt idx="11">
                  <c:v>2084.8843456983841</c:v>
                </c:pt>
                <c:pt idx="12">
                  <c:v>2298.228366828082</c:v>
                </c:pt>
                <c:pt idx="13">
                  <c:v>1451.7494609289899</c:v>
                </c:pt>
                <c:pt idx="14">
                  <c:v>1470.4555590061771</c:v>
                </c:pt>
                <c:pt idx="15" formatCode="General">
                  <c:v>1348.6175138087231</c:v>
                </c:pt>
                <c:pt idx="16" formatCode="General">
                  <c:v>1272.126022947567</c:v>
                </c:pt>
                <c:pt idx="17" formatCode="General">
                  <c:v>1215.1718333840431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30-46E4-8454-B4385253CD89}"/>
            </c:ext>
          </c:extLst>
        </c:ser>
        <c:ser>
          <c:idx val="2"/>
          <c:order val="2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'MFP-rsum'!$AV$41</c:f>
            </c:numRef>
          </c:xVal>
          <c:yVal>
            <c:numRef>
              <c:f>'MFP-rsum'!$AT$41</c:f>
              <c:numCache>
                <c:formatCode>0.00E+00</c:formatCode>
                <c:ptCount val="1"/>
                <c:pt idx="0">
                  <c:v>1403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230-46E4-8454-B4385253CD89}"/>
            </c:ext>
          </c:extLst>
        </c:ser>
        <c:ser>
          <c:idx val="3"/>
          <c:order val="3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.000000000000001E-2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5000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5000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7-F230-46E4-8454-B4385253C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vsound,calc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vsound,bulk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Pure Salts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663695203635465"/>
                  <c:y val="-0.15127041411490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'MFP-rsum'!$AY$2:$AY$22</c:f>
            </c:numRef>
          </c:xVal>
          <c:yVal>
            <c:numRef>
              <c:f>'MFP-rsum'!$AC$2:$AC$22</c:f>
              <c:numCache>
                <c:formatCode>General</c:formatCode>
                <c:ptCount val="21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0.61260000000000003</c:v>
                </c:pt>
                <c:pt idx="6">
                  <c:v>0.46649999999999997</c:v>
                </c:pt>
                <c:pt idx="7">
                  <c:v>0.35505000000000003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0.45680000000000004</c:v>
                </c:pt>
                <c:pt idx="13">
                  <c:v>0.44125000000000003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CB-4BA0-AAB2-884544C3B53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'MFP-rsum'!$AY$23:$AY$40</c:f>
            </c:numRef>
          </c:xVal>
          <c:yVal>
            <c:numRef>
              <c:f>'MFP-rsum'!$AC$23:$AC$40</c:f>
              <c:numCache>
                <c:formatCode>General</c:formatCode>
                <c:ptCount val="18"/>
                <c:pt idx="0">
                  <c:v>0.43524000000000002</c:v>
                </c:pt>
                <c:pt idx="1">
                  <c:v>1.1000000000000001</c:v>
                </c:pt>
                <c:pt idx="2">
                  <c:v>0.78024246508674777</c:v>
                </c:pt>
                <c:pt idx="3">
                  <c:v>1.1599999999999999</c:v>
                </c:pt>
                <c:pt idx="4">
                  <c:v>1.24</c:v>
                </c:pt>
                <c:pt idx="5">
                  <c:v>0.98602842355479869</c:v>
                </c:pt>
                <c:pt idx="6">
                  <c:v>0.89056771657477962</c:v>
                </c:pt>
                <c:pt idx="7">
                  <c:v>0.80397278022492213</c:v>
                </c:pt>
                <c:pt idx="8">
                  <c:v>0.45966666666666672</c:v>
                </c:pt>
                <c:pt idx="9">
                  <c:v>0.46554761904761921</c:v>
                </c:pt>
                <c:pt idx="10">
                  <c:v>0.82855603900974906</c:v>
                </c:pt>
                <c:pt idx="11">
                  <c:v>0.58438111223711209</c:v>
                </c:pt>
                <c:pt idx="12">
                  <c:v>0.86544945017475028</c:v>
                </c:pt>
                <c:pt idx="13">
                  <c:v>0.23926257714495269</c:v>
                </c:pt>
                <c:pt idx="14">
                  <c:v>0.27567442291687039</c:v>
                </c:pt>
                <c:pt idx="15">
                  <c:v>0.49395061728395051</c:v>
                </c:pt>
                <c:pt idx="16">
                  <c:v>0.45693693693693682</c:v>
                </c:pt>
                <c:pt idx="17">
                  <c:v>0.43928571428571439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6CB-4BA0-AAB2-884544C3B531}"/>
            </c:ext>
          </c:extLst>
        </c:ser>
        <c:ser>
          <c:idx val="2"/>
          <c:order val="2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'MFP-rsum'!$AY$41</c:f>
            </c:numRef>
          </c:xVal>
          <c:yVal>
            <c:numRef>
              <c:f>'MFP-rsum'!$AC$41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6CB-4BA0-AAB2-884544C3B5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baseline="0">
                    <a:effectLst/>
                  </a:rPr>
                  <a:t>λ</a:t>
                </a:r>
                <a:r>
                  <a:rPr lang="en-US" sz="1000" b="0" i="0" u="none" strike="noStrike" baseline="0">
                    <a:effectLst/>
                  </a:rPr>
                  <a:t>_measured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779090113735782"/>
          <c:y val="4.3650793650793648E-2"/>
          <c:w val="0.51169898901526201"/>
          <c:h val="0.85554243219597548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('MFP-rsum'!$AQ$7:$AQ$9,'MFP-rsum'!$AQ$7:$AQ$9)</c:f>
            </c:numRef>
          </c:xVal>
          <c:yVal>
            <c:numRef>
              <c:f>'MFP-rsum'!$AM$7:$AM$9</c:f>
            </c:numRef>
          </c:yVal>
          <c:smooth val="0"/>
          <c:extLst>
            <c:ext xmlns:c16="http://schemas.microsoft.com/office/drawing/2014/chart" uri="{C3380CC4-5D6E-409C-BE32-E72D297353CC}">
              <c16:uniqueId val="{00000000-133D-4394-B1DC-865CF1A354B8}"/>
            </c:ext>
          </c:extLst>
        </c:ser>
        <c:ser>
          <c:idx val="0"/>
          <c:order val="1"/>
          <c:tx>
            <c:v>Pure Fluorides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('MFP-rsum'!$AQ$2:$AQ$4,'MFP-rsum'!$AQ$10,'MFP-rsum'!$AQ$10:$AQ$13)</c:f>
            </c:numRef>
          </c:xVal>
          <c:yVal>
            <c:numRef>
              <c:f>('MFP-rsum'!$AM$2:$AM$4,'MFP-rsum'!$AM$10,'MFP-rsum'!$AM$11,'MFP-rsum'!$AM$12,'MFP-rsum'!$AM$13)</c:f>
            </c:numRef>
          </c:yVal>
          <c:smooth val="0"/>
          <c:extLst>
            <c:ext xmlns:c16="http://schemas.microsoft.com/office/drawing/2014/chart" uri="{C3380CC4-5D6E-409C-BE32-E72D297353CC}">
              <c16:uniqueId val="{00000001-133D-4394-B1DC-865CF1A354B8}"/>
            </c:ext>
          </c:extLst>
        </c:ser>
        <c:ser>
          <c:idx val="1"/>
          <c:order val="2"/>
          <c:tx>
            <c:v>Chloride Mixtures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'MFP-rsum'!$AQ$31:$AQ$32</c:f>
            </c:numRef>
          </c:xVal>
          <c:yVal>
            <c:numRef>
              <c:f>'MFP-rsum'!$AM$31:$AM$32</c:f>
            </c:numRef>
          </c:yVal>
          <c:smooth val="0"/>
          <c:extLst>
            <c:ext xmlns:c16="http://schemas.microsoft.com/office/drawing/2014/chart" uri="{C3380CC4-5D6E-409C-BE32-E72D297353CC}">
              <c16:uniqueId val="{00000002-133D-4394-B1DC-865CF1A354B8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('MFP-rsum'!$AQ$24:$AQ$25,'MFP-rsum'!$AQ$28,'MFP-rsum'!$AQ$33,'MFP-rsum'!$AQ$35)</c:f>
            </c:numRef>
          </c:xVal>
          <c:yVal>
            <c:numRef>
              <c:f>('MFP-rsum'!$AM$24:$AM$25,'MFP-rsum'!$AM$28,'MFP-rsum'!$AM$33,'MFP-rsum'!$AM$35)</c:f>
            </c:numRef>
          </c:yVal>
          <c:smooth val="0"/>
          <c:extLst>
            <c:ext xmlns:c16="http://schemas.microsoft.com/office/drawing/2014/chart" uri="{C3380CC4-5D6E-409C-BE32-E72D297353CC}">
              <c16:uniqueId val="{00000003-133D-4394-B1DC-865CF1A354B8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'MFP-rsum'!$AQ$36:$AQ$37</c:f>
            </c:numRef>
          </c:xVal>
          <c:yVal>
            <c:numRef>
              <c:f>'MFP-rsum'!$AM$36:$AM$37</c:f>
            </c:numRef>
          </c:yVal>
          <c:smooth val="0"/>
          <c:extLst>
            <c:ext xmlns:c16="http://schemas.microsoft.com/office/drawing/2014/chart" uri="{C3380CC4-5D6E-409C-BE32-E72D297353CC}">
              <c16:uniqueId val="{00000004-133D-4394-B1DC-865CF1A354B8}"/>
            </c:ext>
          </c:extLst>
        </c:ser>
        <c:ser>
          <c:idx val="7"/>
          <c:order val="5"/>
          <c:tx>
            <c:v>Fluoride Actinides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('MFP-rsum'!$AQ$26:$AQ$27,'MFP-rsum'!$AQ$29:$AQ$30,'MFP-rsum'!$AQ$38:$AQ$40)</c:f>
            </c:numRef>
          </c:xVal>
          <c:yVal>
            <c:numRef>
              <c:f>('MFP-rsum'!$AM$26:$AM$27,'MFP-rsum'!$AM$29:$AM$30,'MFP-rsum'!$AM$38:$AM$40)</c:f>
            </c:numRef>
          </c:yVal>
          <c:smooth val="0"/>
          <c:extLst>
            <c:ext xmlns:c16="http://schemas.microsoft.com/office/drawing/2014/chart" uri="{C3380CC4-5D6E-409C-BE32-E72D297353CC}">
              <c16:uniqueId val="{00000005-133D-4394-B1DC-865CF1A354B8}"/>
            </c:ext>
          </c:extLst>
        </c:ser>
        <c:ser>
          <c:idx val="8"/>
          <c:order val="6"/>
          <c:tx>
            <c:v>Pure Nitrates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'MFP-rsum'!$AQ$17:$AQ$18</c:f>
            </c:numRef>
          </c:xVal>
          <c:yVal>
            <c:numRef>
              <c:f>'MFP-rsum'!$AM$17:$AM$18</c:f>
            </c:numRef>
          </c:yVal>
          <c:smooth val="0"/>
          <c:extLst>
            <c:ext xmlns:c16="http://schemas.microsoft.com/office/drawing/2014/chart" uri="{C3380CC4-5D6E-409C-BE32-E72D297353CC}">
              <c16:uniqueId val="{00000006-133D-4394-B1DC-865CF1A354B8}"/>
            </c:ext>
          </c:extLst>
        </c:ser>
        <c:ser>
          <c:idx val="2"/>
          <c:order val="7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'MFP-rsum'!$AQ$41</c:f>
            </c:numRef>
          </c:xVal>
          <c:yVal>
            <c:numRef>
              <c:f>'MFP-rsum'!$AM$41</c:f>
            </c:numRef>
          </c:yVal>
          <c:smooth val="0"/>
          <c:extLst>
            <c:ext xmlns:c16="http://schemas.microsoft.com/office/drawing/2014/chart" uri="{C3380CC4-5D6E-409C-BE32-E72D297353CC}">
              <c16:uniqueId val="{0000000A-133D-4394-B1DC-865CF1A354B8}"/>
            </c:ext>
          </c:extLst>
        </c:ser>
        <c:ser>
          <c:idx val="3"/>
          <c:order val="8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9.9999999999999994E-12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9.9999999999999994E-12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C-133D-4394-B1DC-865CF1A35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6.0000000000000031E-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MFP_calc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6.0000000000000031E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MFP r_sum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Unary Salts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'MFP-rsum'!$AC$2:$AC$22</c:f>
              <c:numCache>
                <c:formatCode>General</c:formatCode>
                <c:ptCount val="21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0.61260000000000003</c:v>
                </c:pt>
                <c:pt idx="6">
                  <c:v>0.46649999999999997</c:v>
                </c:pt>
                <c:pt idx="7">
                  <c:v>0.35505000000000003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0.45680000000000004</c:v>
                </c:pt>
                <c:pt idx="13">
                  <c:v>0.44125000000000003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</c:numCache>
            </c:numRef>
          </c:xVal>
          <c:yVal>
            <c:numRef>
              <c:f>'MFP-rsum'!$BD$2:$BD$22</c:f>
              <c:numCache>
                <c:formatCode>0.00E+00</c:formatCode>
                <c:ptCount val="21"/>
                <c:pt idx="0">
                  <c:v>0.80248523098591573</c:v>
                </c:pt>
                <c:pt idx="1">
                  <c:v>0.53093354166666662</c:v>
                </c:pt>
                <c:pt idx="2">
                  <c:v>0.36108717499999998</c:v>
                </c:pt>
                <c:pt idx="3">
                  <c:v>0.32557537815126053</c:v>
                </c:pt>
                <c:pt idx="4">
                  <c:v>0.301421612691466</c:v>
                </c:pt>
                <c:pt idx="5">
                  <c:v>0.40225025742942672</c:v>
                </c:pt>
                <c:pt idx="6">
                  <c:v>0.30415923375652942</c:v>
                </c:pt>
                <c:pt idx="7">
                  <c:v>0.25593314786786775</c:v>
                </c:pt>
                <c:pt idx="8">
                  <c:v>0.51944334083333332</c:v>
                </c:pt>
                <c:pt idx="9">
                  <c:v>0.55165642193242059</c:v>
                </c:pt>
                <c:pt idx="10">
                  <c:v>0.42810664299445528</c:v>
                </c:pt>
                <c:pt idx="11">
                  <c:v>0.31989463805530149</c:v>
                </c:pt>
                <c:pt idx="12">
                  <c:v>0.28861057804145579</c:v>
                </c:pt>
                <c:pt idx="13">
                  <c:v>0.37311089961278132</c:v>
                </c:pt>
                <c:pt idx="14">
                  <c:v>0.33599408249358714</c:v>
                </c:pt>
                <c:pt idx="15">
                  <c:v>0.70252146004029536</c:v>
                </c:pt>
                <c:pt idx="16">
                  <c:v>0.56673048612652588</c:v>
                </c:pt>
                <c:pt idx="17">
                  <c:v>0.3328431774116381</c:v>
                </c:pt>
                <c:pt idx="18">
                  <c:v>0.34399093755610216</c:v>
                </c:pt>
                <c:pt idx="19">
                  <c:v>0.2817403168244314</c:v>
                </c:pt>
                <c:pt idx="20">
                  <c:v>0.24646691710132676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3D-4719-B849-33CE3BDF4E54}"/>
            </c:ext>
          </c:extLst>
        </c:ser>
        <c:ser>
          <c:idx val="1"/>
          <c:order val="1"/>
          <c:tx>
            <c:v>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'MFP-rsum'!$AC$23:$AC$40</c:f>
              <c:numCache>
                <c:formatCode>General</c:formatCode>
                <c:ptCount val="18"/>
                <c:pt idx="0">
                  <c:v>0.43524000000000002</c:v>
                </c:pt>
                <c:pt idx="1">
                  <c:v>1.1000000000000001</c:v>
                </c:pt>
                <c:pt idx="2">
                  <c:v>0.78024246508674777</c:v>
                </c:pt>
                <c:pt idx="3">
                  <c:v>1.1599999999999999</c:v>
                </c:pt>
                <c:pt idx="4">
                  <c:v>1.24</c:v>
                </c:pt>
                <c:pt idx="5">
                  <c:v>0.98602842355479869</c:v>
                </c:pt>
                <c:pt idx="6">
                  <c:v>0.89056771657477962</c:v>
                </c:pt>
                <c:pt idx="7">
                  <c:v>0.80397278022492213</c:v>
                </c:pt>
                <c:pt idx="8">
                  <c:v>0.45966666666666672</c:v>
                </c:pt>
                <c:pt idx="9">
                  <c:v>0.46554761904761921</c:v>
                </c:pt>
                <c:pt idx="10">
                  <c:v>0.82855603900974906</c:v>
                </c:pt>
                <c:pt idx="11">
                  <c:v>0.58438111223711209</c:v>
                </c:pt>
                <c:pt idx="12">
                  <c:v>0.86544945017475028</c:v>
                </c:pt>
                <c:pt idx="13">
                  <c:v>0.23926257714495269</c:v>
                </c:pt>
                <c:pt idx="14">
                  <c:v>0.27567442291687039</c:v>
                </c:pt>
                <c:pt idx="15">
                  <c:v>0.49395061728395051</c:v>
                </c:pt>
                <c:pt idx="16">
                  <c:v>0.45693693693693682</c:v>
                </c:pt>
                <c:pt idx="17">
                  <c:v>0.43928571428571439</c:v>
                </c:pt>
              </c:numCache>
            </c:numRef>
          </c:xVal>
          <c:yVal>
            <c:numRef>
              <c:f>'MFP-rsum'!$BD$23:$BD$40</c:f>
              <c:numCache>
                <c:formatCode>0.00E+00</c:formatCode>
                <c:ptCount val="18"/>
                <c:pt idx="0">
                  <c:v>0.3337540885350252</c:v>
                </c:pt>
                <c:pt idx="1">
                  <c:v>0.71488518084414432</c:v>
                </c:pt>
                <c:pt idx="2">
                  <c:v>0.54326858976638281</c:v>
                </c:pt>
                <c:pt idx="3">
                  <c:v>0.51681594759710647</c:v>
                </c:pt>
                <c:pt idx="4">
                  <c:v>0.66880040429891452</c:v>
                </c:pt>
                <c:pt idx="5">
                  <c:v>0.74333870635594579</c:v>
                </c:pt>
                <c:pt idx="6">
                  <c:v>0.71187944439400763</c:v>
                </c:pt>
                <c:pt idx="7">
                  <c:v>0.68421941732878677</c:v>
                </c:pt>
                <c:pt idx="8">
                  <c:v>0.31844809429710103</c:v>
                </c:pt>
                <c:pt idx="9">
                  <c:v>0.3687891315788463</c:v>
                </c:pt>
                <c:pt idx="10">
                  <c:v>0.44305679600100989</c:v>
                </c:pt>
                <c:pt idx="11">
                  <c:v>0.40937294269104435</c:v>
                </c:pt>
                <c:pt idx="12">
                  <c:v>0.70465997914461032</c:v>
                </c:pt>
                <c:pt idx="13">
                  <c:v>0.30071201279338977</c:v>
                </c:pt>
                <c:pt idx="14">
                  <c:v>0.30324621782896999</c:v>
                </c:pt>
                <c:pt idx="15">
                  <c:v>0.46048978694812215</c:v>
                </c:pt>
                <c:pt idx="16">
                  <c:v>0.47293540020198699</c:v>
                </c:pt>
                <c:pt idx="17">
                  <c:v>0.48970392040175698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3D-4719-B849-33CE3BDF4E54}"/>
            </c:ext>
          </c:extLst>
        </c:ser>
        <c:ser>
          <c:idx val="2"/>
          <c:order val="2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'MFP-rsum'!$AC$41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xVal>
          <c:yVal>
            <c:numRef>
              <c:f>'MFP-rsum'!$BD$41</c:f>
              <c:numCache>
                <c:formatCode>0.00E+00</c:formatCode>
                <c:ptCount val="1"/>
                <c:pt idx="0">
                  <c:v>0.60645622271550115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C3D-4719-B849-33CE3BDF4E54}"/>
            </c:ext>
          </c:extLst>
        </c:ser>
        <c:ser>
          <c:idx val="3"/>
          <c:order val="3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.000000000000001E-2"/>
            <c:intercept val="0"/>
            <c:dispRSqr val="0"/>
            <c:dispEq val="0"/>
          </c:trendline>
          <c:xVal>
            <c:numLit>
              <c:formatCode>General</c:formatCode>
              <c:ptCount val="6"/>
              <c:pt idx="0">
                <c:v>0</c:v>
              </c:pt>
              <c:pt idx="1">
                <c:v>0.2</c:v>
              </c:pt>
              <c:pt idx="2">
                <c:v>0.4</c:v>
              </c:pt>
              <c:pt idx="3">
                <c:v>0.6</c:v>
              </c:pt>
              <c:pt idx="4">
                <c:v>0.8</c:v>
              </c:pt>
              <c:pt idx="5">
                <c:v>1</c:v>
              </c:pt>
            </c:numLit>
          </c:xVal>
          <c:yVal>
            <c:numLit>
              <c:formatCode>General</c:formatCode>
              <c:ptCount val="6"/>
              <c:pt idx="0">
                <c:v>0</c:v>
              </c:pt>
              <c:pt idx="1">
                <c:v>0.2</c:v>
              </c:pt>
              <c:pt idx="2">
                <c:v>0.4</c:v>
              </c:pt>
              <c:pt idx="3">
                <c:v>0.6</c:v>
              </c:pt>
              <c:pt idx="4">
                <c:v>0.8</c:v>
              </c:pt>
              <c:pt idx="5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7-AC3D-4719-B849-33CE3BDF4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kExp.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baseline="0">
                    <a:effectLst/>
                  </a:rPr>
                  <a:t>1/3*cp*vs*davg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66593759113446"/>
          <c:y val="5.9523809523809521E-2"/>
          <c:w val="0.56891659375911341"/>
          <c:h val="0.80395513060867396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'MFP-rsum'!$AH$7:$AH$9</c:f>
            </c:numRef>
          </c:xVal>
          <c:yVal>
            <c:numRef>
              <c:f>'MFP-rsum'!$AC$7:$AC$9</c:f>
              <c:numCache>
                <c:formatCode>General</c:formatCode>
                <c:ptCount val="3"/>
                <c:pt idx="0">
                  <c:v>0.61260000000000003</c:v>
                </c:pt>
                <c:pt idx="1">
                  <c:v>0.46649999999999997</c:v>
                </c:pt>
                <c:pt idx="2">
                  <c:v>0.35505000000000003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25-40F9-8CD1-FAB7AB0633F5}"/>
            </c:ext>
          </c:extLst>
        </c:ser>
        <c:ser>
          <c:idx val="0"/>
          <c:order val="1"/>
          <c:tx>
            <c:v>Pure Fluorides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('MFP-rsum'!$AH$3:$AH$4,'MFP-rsum'!$AH$10:$AH$13)</c:f>
            </c:numRef>
          </c:xVal>
          <c:yVal>
            <c:numRef>
              <c:f>('MFP-rsum'!$AC$3:$AC$4,'MFP-rsum'!$AC$10:$AC$13)</c:f>
              <c:numCache>
                <c:formatCode>General</c:formatCode>
                <c:ptCount val="6"/>
                <c:pt idx="0">
                  <c:v>0.82789999999999997</c:v>
                </c:pt>
                <c:pt idx="1">
                  <c:v>0.56999999999999995</c:v>
                </c:pt>
                <c:pt idx="2">
                  <c:v>0.79925905600000002</c:v>
                </c:pt>
                <c:pt idx="3">
                  <c:v>0.65067779999999997</c:v>
                </c:pt>
                <c:pt idx="4">
                  <c:v>0.56480320000000006</c:v>
                </c:pt>
                <c:pt idx="5">
                  <c:v>0.39041500000000001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25-40F9-8CD1-FAB7AB0633F5}"/>
            </c:ext>
          </c:extLst>
        </c:ser>
        <c:ser>
          <c:idx val="1"/>
          <c:order val="2"/>
          <c:tx>
            <c:v>Chloride Mixtures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'MFP-rsum'!$AH$31:$AH$32</c:f>
            </c:numRef>
          </c:xVal>
          <c:yVal>
            <c:numRef>
              <c:f>'MFP-rsum'!$AC$31:$AC$32</c:f>
              <c:numCache>
                <c:formatCode>General</c:formatCode>
                <c:ptCount val="2"/>
                <c:pt idx="0">
                  <c:v>0.45966666666666672</c:v>
                </c:pt>
                <c:pt idx="1">
                  <c:v>0.46554761904761921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25-40F9-8CD1-FAB7AB0633F5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('MFP-rsum'!$AH$24,'MFP-rsum'!$AH$25,'MFP-rsum'!$AH$28,'MFP-rsum'!$AH$33,'MFP-rsum'!$AH$35)</c:f>
            </c:numRef>
          </c:xVal>
          <c:yVal>
            <c:numRef>
              <c:f>('MFP-rsum'!$AC$24,'MFP-rsum'!$AC$25,'MFP-rsum'!$AC$28,'MFP-rsum'!$AC$33,'MFP-rsum'!$AC$35)</c:f>
              <c:numCache>
                <c:formatCode>General</c:formatCode>
                <c:ptCount val="5"/>
                <c:pt idx="0">
                  <c:v>1.1000000000000001</c:v>
                </c:pt>
                <c:pt idx="1">
                  <c:v>0.78024246508674777</c:v>
                </c:pt>
                <c:pt idx="2">
                  <c:v>0.98602842355479869</c:v>
                </c:pt>
                <c:pt idx="3">
                  <c:v>0.82855603900974906</c:v>
                </c:pt>
                <c:pt idx="4">
                  <c:v>0.86544945017475028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25-40F9-8CD1-FAB7AB0633F5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'MFP-rsum'!$AH$36:$AH$37</c:f>
            </c:numRef>
          </c:xVal>
          <c:yVal>
            <c:numRef>
              <c:f>'MFP-rsum'!$AC$36:$AC$37</c:f>
              <c:numCache>
                <c:formatCode>General</c:formatCode>
                <c:ptCount val="2"/>
                <c:pt idx="0">
                  <c:v>0.23926257714495269</c:v>
                </c:pt>
                <c:pt idx="1">
                  <c:v>0.27567442291687039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625-40F9-8CD1-FAB7AB0633F5}"/>
            </c:ext>
          </c:extLst>
        </c:ser>
        <c:ser>
          <c:idx val="7"/>
          <c:order val="5"/>
          <c:tx>
            <c:v>Fluoride Actinides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('MFP-rsum'!$AH$26:$AH$27,'MFP-rsum'!$AH$29:$AH$30,'MFP-rsum'!$AH$38:$AH$40)</c:f>
            </c:numRef>
          </c:xVal>
          <c:yVal>
            <c:numRef>
              <c:f>('MFP-rsum'!$AC$26:$AC$27,'MFP-rsum'!$AC$29:$AC$30,'MFP-rsum'!$AC$38:$AC$40)</c:f>
              <c:numCache>
                <c:formatCode>General</c:formatCode>
                <c:ptCount val="7"/>
                <c:pt idx="0">
                  <c:v>1.1599999999999999</c:v>
                </c:pt>
                <c:pt idx="1">
                  <c:v>1.24</c:v>
                </c:pt>
                <c:pt idx="2">
                  <c:v>0.89056771657477962</c:v>
                </c:pt>
                <c:pt idx="3">
                  <c:v>0.80397278022492213</c:v>
                </c:pt>
                <c:pt idx="4">
                  <c:v>0.49395061728395051</c:v>
                </c:pt>
                <c:pt idx="5">
                  <c:v>0.45693693693693682</c:v>
                </c:pt>
                <c:pt idx="6">
                  <c:v>0.43928571428571439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625-40F9-8CD1-FAB7AB0633F5}"/>
            </c:ext>
          </c:extLst>
        </c:ser>
        <c:ser>
          <c:idx val="8"/>
          <c:order val="6"/>
          <c:tx>
            <c:v>Pure Nitrates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'MFP-rsum'!$AH$17:$AH$18</c:f>
            </c:numRef>
          </c:xVal>
          <c:yVal>
            <c:numRef>
              <c:f>'MFP-rsum'!$AC$17:$AC$18</c:f>
              <c:numCache>
                <c:formatCode>General</c:formatCode>
                <c:ptCount val="2"/>
                <c:pt idx="0">
                  <c:v>0.51224999999999998</c:v>
                </c:pt>
                <c:pt idx="1">
                  <c:v>0.40920000000000001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625-40F9-8CD1-FAB7AB0633F5}"/>
            </c:ext>
          </c:extLst>
        </c:ser>
        <c:ser>
          <c:idx val="2"/>
          <c:order val="7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'MFP-rsum'!$AH$41</c:f>
            </c:numRef>
          </c:xVal>
          <c:yVal>
            <c:numRef>
              <c:f>'MFP-rsum'!$AC$41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D625-40F9-8CD1-FAB7AB0633F5}"/>
            </c:ext>
          </c:extLst>
        </c:ser>
        <c:ser>
          <c:idx val="3"/>
          <c:order val="8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3-D625-40F9-8CD1-FAB7AB0633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_predicted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ayout>
        <c:manualLayout>
          <c:xMode val="edge"/>
          <c:yMode val="edge"/>
          <c:x val="0.67247134733158342"/>
          <c:y val="0.16517622797150353"/>
          <c:w val="0.32205682200056962"/>
          <c:h val="0.583858091220240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15782055020897"/>
          <c:y val="4.3650793650793648E-2"/>
          <c:w val="0.52816515991056678"/>
          <c:h val="0.82379640044994373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('MFP-rsum'!$BA$7,'MFP-rsum'!$BA$8,'MFP-rsum'!$BA$9,'MFP-rsum'!$BA$14)</c:f>
            </c:numRef>
          </c:xVal>
          <c:yVal>
            <c:numRef>
              <c:f>('MFP-rsum'!$AY$7,'MFP-rsum'!$AY$8,'MFP-rsum'!$AY$9,'MFP-rsum'!$AY$14)</c:f>
            </c:numRef>
          </c:yVal>
          <c:smooth val="0"/>
          <c:extLst>
            <c:ext xmlns:c16="http://schemas.microsoft.com/office/drawing/2014/chart" uri="{C3380CC4-5D6E-409C-BE32-E72D297353CC}">
              <c16:uniqueId val="{00000000-8335-464A-B509-1D712255D5FD}"/>
            </c:ext>
          </c:extLst>
        </c:ser>
        <c:ser>
          <c:idx val="0"/>
          <c:order val="1"/>
          <c:tx>
            <c:v>Pure Fluorides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('MFP-rsum'!$BA$2:$BA$4,'MFP-rsum'!$BA$10:$BA$13)</c:f>
            </c:numRef>
          </c:xVal>
          <c:yVal>
            <c:numRef>
              <c:f>('MFP-rsum'!$AY$2:$AY$4,'MFP-rsum'!$AY$10,'MFP-rsum'!$AY$11,'MFP-rsum'!$AY$12,'MFP-rsum'!$AY$13)</c:f>
            </c:numRef>
          </c:yVal>
          <c:smooth val="0"/>
          <c:extLst>
            <c:ext xmlns:c16="http://schemas.microsoft.com/office/drawing/2014/chart" uri="{C3380CC4-5D6E-409C-BE32-E72D297353CC}">
              <c16:uniqueId val="{00000001-8335-464A-B509-1D712255D5FD}"/>
            </c:ext>
          </c:extLst>
        </c:ser>
        <c:ser>
          <c:idx val="1"/>
          <c:order val="2"/>
          <c:tx>
            <c:v>Chloride Mixtures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('MFP-rsum'!$BA$23,'MFP-rsum'!$BA$31,'MFP-rsum'!$BA$32,'MFP-rsum'!$BA$34)</c:f>
            </c:numRef>
          </c:xVal>
          <c:yVal>
            <c:numRef>
              <c:f>('MFP-rsum'!$AY$23,'MFP-rsum'!$AY$31,'MFP-rsum'!$AY$32,'MFP-rsum'!$AY$34,'MFP-rsum'!$AY$36,'MFP-rsum'!$AY$36)</c:f>
            </c:numRef>
          </c:yVal>
          <c:smooth val="0"/>
          <c:extLst>
            <c:ext xmlns:c16="http://schemas.microsoft.com/office/drawing/2014/chart" uri="{C3380CC4-5D6E-409C-BE32-E72D297353CC}">
              <c16:uniqueId val="{00000002-8335-464A-B509-1D712255D5FD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('MFP-rsum'!$BA$24:$BA$25,'MFP-rsum'!$BA$28,'MFP-rsum'!$BA$33,'MFP-rsum'!$BA$35)</c:f>
            </c:numRef>
          </c:xVal>
          <c:yVal>
            <c:numRef>
              <c:f>('MFP-rsum'!$AY$24:$AY$25,'MFP-rsum'!$AY$28,'MFP-rsum'!$AY$33,'MFP-rsum'!$AY$35)</c:f>
            </c:numRef>
          </c:yVal>
          <c:smooth val="0"/>
          <c:extLst>
            <c:ext xmlns:c16="http://schemas.microsoft.com/office/drawing/2014/chart" uri="{C3380CC4-5D6E-409C-BE32-E72D297353CC}">
              <c16:uniqueId val="{00000003-8335-464A-B509-1D712255D5FD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'MFP-rsum'!$BA$36:$BA$37</c:f>
            </c:numRef>
          </c:xVal>
          <c:yVal>
            <c:numRef>
              <c:f>'MFP-rsum'!$AY$36:$AY$37</c:f>
            </c:numRef>
          </c:yVal>
          <c:smooth val="0"/>
          <c:extLst>
            <c:ext xmlns:c16="http://schemas.microsoft.com/office/drawing/2014/chart" uri="{C3380CC4-5D6E-409C-BE32-E72D297353CC}">
              <c16:uniqueId val="{00000004-8335-464A-B509-1D712255D5FD}"/>
            </c:ext>
          </c:extLst>
        </c:ser>
        <c:ser>
          <c:idx val="7"/>
          <c:order val="5"/>
          <c:tx>
            <c:v>Fluoride Actinides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('MFP-rsum'!$BA$26:$BA$27,'MFP-rsum'!$BA$29:$BA$30,'MFP-rsum'!$BA$38:$BA$40)</c:f>
            </c:numRef>
          </c:xVal>
          <c:yVal>
            <c:numRef>
              <c:f>('MFP-rsum'!$AY$26:$AY$27,'MFP-rsum'!$AY$29:$AY$30,'MFP-rsum'!$AY$38:$AY$40)</c:f>
            </c:numRef>
          </c:yVal>
          <c:smooth val="0"/>
          <c:extLst>
            <c:ext xmlns:c16="http://schemas.microsoft.com/office/drawing/2014/chart" uri="{C3380CC4-5D6E-409C-BE32-E72D297353CC}">
              <c16:uniqueId val="{00000005-8335-464A-B509-1D712255D5FD}"/>
            </c:ext>
          </c:extLst>
        </c:ser>
        <c:ser>
          <c:idx val="8"/>
          <c:order val="6"/>
          <c:tx>
            <c:v>Pure Nitrates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'MFP-rsum'!$BA$17:$BA$18</c:f>
            </c:numRef>
          </c:xVal>
          <c:yVal>
            <c:numRef>
              <c:f>'MFP-rsum'!$AY$17:$AY$18</c:f>
            </c:numRef>
          </c:yVal>
          <c:smooth val="0"/>
          <c:extLst>
            <c:ext xmlns:c16="http://schemas.microsoft.com/office/drawing/2014/chart" uri="{C3380CC4-5D6E-409C-BE32-E72D297353CC}">
              <c16:uniqueId val="{00000006-8335-464A-B509-1D712255D5FD}"/>
            </c:ext>
          </c:extLst>
        </c:ser>
        <c:ser>
          <c:idx val="2"/>
          <c:order val="7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'MFP-rsum'!$BA$41</c:f>
            </c:numRef>
          </c:xVal>
          <c:yVal>
            <c:numRef>
              <c:f>'MFP-rsum'!$AY$41</c:f>
            </c:numRef>
          </c:yVal>
          <c:smooth val="0"/>
          <c:extLst>
            <c:ext xmlns:c16="http://schemas.microsoft.com/office/drawing/2014/chart" uri="{C3380CC4-5D6E-409C-BE32-E72D297353CC}">
              <c16:uniqueId val="{0000000A-8335-464A-B509-1D712255D5FD}"/>
            </c:ext>
          </c:extLst>
        </c:ser>
        <c:ser>
          <c:idx val="3"/>
          <c:order val="8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.000000000000001E-2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250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C-8335-464A-B509-1D712255D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C_p,calc (phonon)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C_p,measured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67928915135608048"/>
          <c:y val="0.19865860517435321"/>
          <c:w val="0.32071082567580395"/>
          <c:h val="0.593845798600688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00991542723829"/>
          <c:y val="4.3650793650793648E-2"/>
          <c:w val="0.51074058688893342"/>
          <c:h val="0.82379640044994373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'MFP-rsum'!$AV$7:$AV$9</c:f>
            </c:numRef>
          </c:xVal>
          <c:yVal>
            <c:numRef>
              <c:f>'MFP-rsum'!$AT$7:$AT$9</c:f>
              <c:numCache>
                <c:formatCode>0.00E+00</c:formatCode>
                <c:ptCount val="3"/>
                <c:pt idx="0">
                  <c:v>2042.3974499999999</c:v>
                </c:pt>
                <c:pt idx="1">
                  <c:v>1743.6799999999998</c:v>
                </c:pt>
                <c:pt idx="2">
                  <c:v>1597.1839999999997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05-47D9-B582-76112C27B369}"/>
            </c:ext>
          </c:extLst>
        </c:ser>
        <c:ser>
          <c:idx val="0"/>
          <c:order val="1"/>
          <c:tx>
            <c:v>Pure Fluorides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('MFP-rsum'!$AV$10:$AV$13,'MFP-rsum'!$AV$3:$AV$4)</c:f>
            </c:numRef>
          </c:xVal>
          <c:yVal>
            <c:numRef>
              <c:f>('MFP-rsum'!$AT$3:$AT$4,'MFP-rsum'!$AT$10:$AT$13)</c:f>
              <c:numCache>
                <c:formatCode>0.00E+00</c:formatCode>
                <c:ptCount val="6"/>
                <c:pt idx="0">
                  <c:v>2085.5</c:v>
                </c:pt>
                <c:pt idx="1">
                  <c:v>1816.4</c:v>
                </c:pt>
                <c:pt idx="2">
                  <c:v>2547.8000000000002</c:v>
                </c:pt>
                <c:pt idx="3">
                  <c:v>2175.6</c:v>
                </c:pt>
                <c:pt idx="4">
                  <c:v>1710.3</c:v>
                </c:pt>
                <c:pt idx="5">
                  <c:v>1398.6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05-47D9-B582-76112C27B369}"/>
            </c:ext>
          </c:extLst>
        </c:ser>
        <c:ser>
          <c:idx val="1"/>
          <c:order val="2"/>
          <c:tx>
            <c:v>Chloride Mixtures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'MFP-rsum'!$AV$31:$AV$32</c:f>
            </c:numRef>
          </c:xVal>
          <c:yVal>
            <c:numRef>
              <c:f>'MFP-rsum'!$AT$31:$AT$32</c:f>
              <c:numCache>
                <c:formatCode>0.00E+00</c:formatCode>
                <c:ptCount val="2"/>
                <c:pt idx="0">
                  <c:v>2039.5014589190009</c:v>
                </c:pt>
                <c:pt idx="1">
                  <c:v>2024.776905844504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D05-47D9-B582-76112C27B369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'MFP-rsum'!$AV$24:$AV$25</c:f>
            </c:numRef>
          </c:xVal>
          <c:yVal>
            <c:numRef>
              <c:f>'MFP-rsum'!$AT$24:$AT$25</c:f>
              <c:numCache>
                <c:formatCode>0.00E+00</c:formatCode>
                <c:ptCount val="2"/>
                <c:pt idx="0">
                  <c:v>2547.6863757231322</c:v>
                </c:pt>
                <c:pt idx="1">
                  <c:v>2012.468707779205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D05-47D9-B582-76112C27B369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D05-47D9-B582-76112C27B36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D05-47D9-B582-76112C27B36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'MFP-rsum'!$AV$36:$AV$37</c:f>
            </c:numRef>
          </c:xVal>
          <c:yVal>
            <c:numRef>
              <c:f>'MFP-rsum'!$AT$36:$AT$37</c:f>
              <c:numCache>
                <c:formatCode>0.00E+00</c:formatCode>
                <c:ptCount val="2"/>
                <c:pt idx="0">
                  <c:v>1451.7494609289899</c:v>
                </c:pt>
                <c:pt idx="1">
                  <c:v>1470.4555590061771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D05-47D9-B582-76112C27B369}"/>
            </c:ext>
          </c:extLst>
        </c:ser>
        <c:ser>
          <c:idx val="7"/>
          <c:order val="5"/>
          <c:tx>
            <c:v>Fluoride Actinides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D05-47D9-B582-76112C27B36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D05-47D9-B582-76112C27B36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D05-47D9-B582-76112C27B36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D05-47D9-B582-76112C27B369}"/>
                </c:ext>
              </c:extLst>
            </c:dLbl>
            <c:dLbl>
              <c:idx val="4"/>
              <c:layout>
                <c:manualLayout>
                  <c:x val="6.3760242389898511E-2"/>
                  <c:y val="2.5394638170228721E-2"/>
                </c:manualLayout>
              </c:layout>
              <c:tx>
                <c:rich>
                  <a:bodyPr/>
                  <a:lstStyle/>
                  <a:p>
                    <a:fld id="{1F7953C2-9264-422F-858E-ED5CD7486415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{1F7953C2-9264-422F-858E-ED5CD7486415}</c15:txfldGUID>
                      <c15:f>'MFP-rsum'!$A$38</c15:f>
                      <c15:dlblFieldTableCache>
                        <c:ptCount val="1"/>
                        <c:pt idx="0">
                          <c:v>(NaF-KF)-.3UF4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1D05-47D9-B582-76112C27B369}"/>
                </c:ext>
              </c:extLst>
            </c:dLbl>
            <c:dLbl>
              <c:idx val="5"/>
              <c:layout>
                <c:manualLayout>
                  <c:x val="3.0308242810333601E-2"/>
                  <c:y val="5.6474503187101614E-2"/>
                </c:manualLayout>
              </c:layout>
              <c:tx>
                <c:rich>
                  <a:bodyPr/>
                  <a:lstStyle/>
                  <a:p>
                    <a:fld id="{0313467D-F257-4864-873F-97E226AB7455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{0313467D-F257-4864-873F-97E226AB7455}</c15:txfldGUID>
                      <c15:f>'MFP-rsum'!$A$39</c15:f>
                      <c15:dlblFieldTableCache>
                        <c:ptCount val="1"/>
                        <c:pt idx="0">
                          <c:v>(NaF-KF)-.4UF4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1D05-47D9-B582-76112C27B369}"/>
                </c:ext>
              </c:extLst>
            </c:dLbl>
            <c:dLbl>
              <c:idx val="6"/>
              <c:layout>
                <c:manualLayout>
                  <c:x val="-4.1025495724816174E-2"/>
                  <c:y val="0.11421478565179352"/>
                </c:manualLayout>
              </c:layout>
              <c:tx>
                <c:rich>
                  <a:bodyPr/>
                  <a:lstStyle/>
                  <a:p>
                    <a:fld id="{737A964D-AFE4-41A3-AABE-3DCDE04524DB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{737A964D-AFE4-41A3-AABE-3DCDE04524DB}</c15:txfldGUID>
                      <c15:f>'MFP-rsum'!$A$40</c15:f>
                      <c15:dlblFieldTableCache>
                        <c:ptCount val="1"/>
                        <c:pt idx="0">
                          <c:v>(NaF-KF)-.5UF4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1D05-47D9-B582-76112C27B36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('MFP-rsum'!$AV$26:$AV$27,'MFP-rsum'!$AV$29:$AV$30,'MFP-rsum'!$AV$38:$AV$40)</c:f>
            </c:numRef>
          </c:xVal>
          <c:yVal>
            <c:numRef>
              <c:f>('MFP-rsum'!$AT$26:$AT$27,'MFP-rsum'!$AT$29:$AT$30,'MFP-rsum'!$AT$38:$AT$40)</c:f>
              <c:numCache>
                <c:formatCode>0.00E+00</c:formatCode>
                <c:ptCount val="7"/>
                <c:pt idx="0">
                  <c:v>1781.433208193873</c:v>
                </c:pt>
                <c:pt idx="1">
                  <c:v>2319.1206460873409</c:v>
                </c:pt>
                <c:pt idx="2">
                  <c:v>2441.8705732183512</c:v>
                </c:pt>
                <c:pt idx="3">
                  <c:v>2348.7520215904742</c:v>
                </c:pt>
                <c:pt idx="4" formatCode="General">
                  <c:v>1348.6175138087231</c:v>
                </c:pt>
                <c:pt idx="5" formatCode="General">
                  <c:v>1272.126022947567</c:v>
                </c:pt>
                <c:pt idx="6" formatCode="General">
                  <c:v>1215.1718333840431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1D05-47D9-B582-76112C27B369}"/>
            </c:ext>
          </c:extLst>
        </c:ser>
        <c:ser>
          <c:idx val="8"/>
          <c:order val="6"/>
          <c:tx>
            <c:v>Pure Nitrates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'MFP-rsum'!$AV$17:$AV$18</c:f>
            </c:numRef>
          </c:xVal>
          <c:yVal>
            <c:numRef>
              <c:f>'MFP-rsum'!$AT$17:$AT$18</c:f>
              <c:numCache>
                <c:formatCode>0.00E+00</c:formatCode>
                <c:ptCount val="2"/>
                <c:pt idx="0">
                  <c:v>1816.9499999999998</c:v>
                </c:pt>
                <c:pt idx="1">
                  <c:v>1766.56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1D05-47D9-B582-76112C27B369}"/>
            </c:ext>
          </c:extLst>
        </c:ser>
        <c:ser>
          <c:idx val="2"/>
          <c:order val="7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'MFP-rsum'!$AV$41</c:f>
            </c:numRef>
          </c:xVal>
          <c:yVal>
            <c:numRef>
              <c:f>'MFP-rsum'!$AT$41</c:f>
              <c:numCache>
                <c:formatCode>0.00E+00</c:formatCode>
                <c:ptCount val="1"/>
                <c:pt idx="0">
                  <c:v>1403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1D05-47D9-B582-76112C27B369}"/>
            </c:ext>
          </c:extLst>
        </c:ser>
        <c:ser>
          <c:idx val="3"/>
          <c:order val="8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6000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6000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5-1D05-47D9-B582-76112C27B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vs_calc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v_sound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1st Peak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66593759113446"/>
          <c:y val="5.9523809523809521E-2"/>
          <c:w val="0.53988238205690331"/>
          <c:h val="0.80395513060867396"/>
        </c:manualLayout>
      </c:layout>
      <c:scatterChart>
        <c:scatterStyle val="lineMarker"/>
        <c:varyColors val="0"/>
        <c:ser>
          <c:idx val="4"/>
          <c:order val="0"/>
          <c:tx>
            <c:strRef>
              <c:f>'MFP-rsum'!$AD$46</c:f>
              <c:strCache>
                <c:ptCount val="1"/>
                <c:pt idx="0">
                  <c:v>Unary Flourides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'MFP-rsum'!$AF$2:$AF$6</c:f>
            </c:numRef>
          </c:xVal>
          <c:yVal>
            <c:numRef>
              <c:f>'MFP-rsum'!$AC$2:$AC$6</c:f>
              <c:numCache>
                <c:formatCode>General</c:formatCode>
                <c:ptCount val="5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  <c:pt idx="3">
                  <c:v>0.48965000000000003</c:v>
                </c:pt>
                <c:pt idx="4">
                  <c:v>0.36715000000000003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F3-444E-BBBE-6059203043F7}"/>
            </c:ext>
          </c:extLst>
        </c:ser>
        <c:ser>
          <c:idx val="0"/>
          <c:order val="1"/>
          <c:tx>
            <c:strRef>
              <c:f>'MFP-rsum'!$AD$47</c:f>
              <c:strCache>
                <c:ptCount val="1"/>
                <c:pt idx="0">
                  <c:v>Unary Chlorides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'MFP-rsum'!$AF$7:$AF$9</c:f>
            </c:numRef>
          </c:xVal>
          <c:yVal>
            <c:numRef>
              <c:f>'MFP-rsum'!$AC$7:$AC$9</c:f>
              <c:numCache>
                <c:formatCode>General</c:formatCode>
                <c:ptCount val="3"/>
                <c:pt idx="0">
                  <c:v>0.61260000000000003</c:v>
                </c:pt>
                <c:pt idx="1">
                  <c:v>0.46649999999999997</c:v>
                </c:pt>
                <c:pt idx="2">
                  <c:v>0.35505000000000003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F3-444E-BBBE-6059203043F7}"/>
            </c:ext>
          </c:extLst>
        </c:ser>
        <c:ser>
          <c:idx val="5"/>
          <c:order val="2"/>
          <c:tx>
            <c:strRef>
              <c:f>'MFP-rsum'!$AD$49</c:f>
              <c:strCache>
                <c:ptCount val="1"/>
                <c:pt idx="0">
                  <c:v>Unary Alkaline Earth Chlorides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'MFP-rsum'!$AF$14:$AF$16</c:f>
            </c:numRef>
          </c:xVal>
          <c:yVal>
            <c:numRef>
              <c:f>'MFP-rsum'!$AC$14:$AC$16</c:f>
              <c:numCache>
                <c:formatCode>General</c:formatCode>
                <c:ptCount val="3"/>
                <c:pt idx="0">
                  <c:v>0.45680000000000004</c:v>
                </c:pt>
                <c:pt idx="1">
                  <c:v>0.44125000000000003</c:v>
                </c:pt>
                <c:pt idx="2">
                  <c:v>0.37705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0F3-444E-BBBE-6059203043F7}"/>
            </c:ext>
          </c:extLst>
        </c:ser>
        <c:ser>
          <c:idx val="6"/>
          <c:order val="3"/>
          <c:tx>
            <c:strRef>
              <c:f>'MFP-rsum'!$AD$50</c:f>
              <c:strCache>
                <c:ptCount val="1"/>
                <c:pt idx="0">
                  <c:v>Unary Nitrates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'MFP-rsum'!$AF$17:$AF$18</c:f>
            </c:numRef>
          </c:xVal>
          <c:yVal>
            <c:numRef>
              <c:f>'MFP-rsum'!$AC$17:$AC$18</c:f>
              <c:numCache>
                <c:formatCode>General</c:formatCode>
                <c:ptCount val="2"/>
                <c:pt idx="0">
                  <c:v>0.51224999999999998</c:v>
                </c:pt>
                <c:pt idx="1">
                  <c:v>0.40920000000000001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0F3-444E-BBBE-6059203043F7}"/>
            </c:ext>
          </c:extLst>
        </c:ser>
        <c:ser>
          <c:idx val="7"/>
          <c:order val="4"/>
          <c:tx>
            <c:strRef>
              <c:f>'MFP-rsum'!$AD$51</c:f>
              <c:strCache>
                <c:ptCount val="1"/>
                <c:pt idx="0">
                  <c:v>Fluoride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'MFP-rsum'!$AF$24:$AF$25</c:f>
            </c:numRef>
          </c:xVal>
          <c:yVal>
            <c:numRef>
              <c:f>'MFP-rsum'!$AC$24:$AC$25</c:f>
              <c:numCache>
                <c:formatCode>General</c:formatCode>
                <c:ptCount val="2"/>
                <c:pt idx="0">
                  <c:v>1.1000000000000001</c:v>
                </c:pt>
                <c:pt idx="1">
                  <c:v>0.78024246508674777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0F3-444E-BBBE-6059203043F7}"/>
            </c:ext>
          </c:extLst>
        </c:ser>
        <c:ser>
          <c:idx val="10"/>
          <c:order val="5"/>
          <c:tx>
            <c:strRef>
              <c:f>'MFP-rsum'!$AD$53</c:f>
              <c:strCache>
                <c:ptCount val="1"/>
                <c:pt idx="0">
                  <c:v>Fluoride Actinide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('MFP-rsum'!$AD$26:$AD$27,'MFP-rsum'!$AD$29:$AD$30,'MFP-rsum'!$AD$38:$AD$40)</c:f>
            </c:numRef>
          </c:xVal>
          <c:yVal>
            <c:numRef>
              <c:f>('MFP-rsum'!$AC$26:$AC$27,'MFP-rsum'!$AC$29:$AC$30,'MFP-rsum'!$AC$38:$AC$40)</c:f>
              <c:numCache>
                <c:formatCode>General</c:formatCode>
                <c:ptCount val="7"/>
                <c:pt idx="0">
                  <c:v>1.1599999999999999</c:v>
                </c:pt>
                <c:pt idx="1">
                  <c:v>1.24</c:v>
                </c:pt>
                <c:pt idx="2">
                  <c:v>0.89056771657477962</c:v>
                </c:pt>
                <c:pt idx="3">
                  <c:v>0.80397278022492213</c:v>
                </c:pt>
                <c:pt idx="4">
                  <c:v>0.49395061728395051</c:v>
                </c:pt>
                <c:pt idx="5">
                  <c:v>0.45693693693693682</c:v>
                </c:pt>
                <c:pt idx="6">
                  <c:v>0.43928571428571439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0F3-444E-BBBE-6059203043F7}"/>
            </c:ext>
          </c:extLst>
        </c:ser>
        <c:ser>
          <c:idx val="11"/>
          <c:order val="6"/>
          <c:tx>
            <c:strRef>
              <c:f>'MFP-rsum'!$AD$54</c:f>
              <c:strCache>
                <c:ptCount val="1"/>
                <c:pt idx="0">
                  <c:v>Chloride Actinide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'MFP-rsum'!$AF$36:$AF$37</c:f>
            </c:numRef>
          </c:xVal>
          <c:yVal>
            <c:numRef>
              <c:f>'MFP-rsum'!$AC$36:$AC$37</c:f>
              <c:numCache>
                <c:formatCode>General</c:formatCode>
                <c:ptCount val="2"/>
                <c:pt idx="0">
                  <c:v>0.23926257714495269</c:v>
                </c:pt>
                <c:pt idx="1">
                  <c:v>0.27567442291687039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0F3-444E-BBBE-6059203043F7}"/>
            </c:ext>
          </c:extLst>
        </c:ser>
        <c:ser>
          <c:idx val="2"/>
          <c:order val="7"/>
          <c:tx>
            <c:strRef>
              <c:f>'MFP-rsum'!$AD$55</c:f>
              <c:strCache>
                <c:ptCount val="1"/>
                <c:pt idx="0">
                  <c:v>Water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'MFP-rsum'!$AD$41</c:f>
            </c:numRef>
          </c:xVal>
          <c:yVal>
            <c:numRef>
              <c:f>'MFP-rsum'!$AC$41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0F3-444E-BBBE-6059203043F7}"/>
            </c:ext>
          </c:extLst>
        </c:ser>
        <c:ser>
          <c:idx val="3"/>
          <c:order val="8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C-60F3-444E-BBBE-605920304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_predicted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ayout>
        <c:manualLayout>
          <c:xMode val="edge"/>
          <c:yMode val="edge"/>
          <c:x val="0.66025138959842822"/>
          <c:y val="6.4057451151939337E-2"/>
          <c:w val="0.33974861040157184"/>
          <c:h val="0.802565179352580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66593759113446"/>
          <c:y val="5.9523809523809521E-2"/>
          <c:w val="0.56891659375911341"/>
          <c:h val="0.80395513060867396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'MFP-rsum'!$AH$7:$AH$9</c:f>
            </c:numRef>
          </c:xVal>
          <c:yVal>
            <c:numRef>
              <c:f>'MFP-rsum'!$AC$7:$AC$9</c:f>
              <c:numCache>
                <c:formatCode>General</c:formatCode>
                <c:ptCount val="3"/>
                <c:pt idx="0">
                  <c:v>0.61260000000000003</c:v>
                </c:pt>
                <c:pt idx="1">
                  <c:v>0.46649999999999997</c:v>
                </c:pt>
                <c:pt idx="2">
                  <c:v>0.35505000000000003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D7-40C7-8B7A-1A829C4B1685}"/>
            </c:ext>
          </c:extLst>
        </c:ser>
        <c:ser>
          <c:idx val="0"/>
          <c:order val="1"/>
          <c:tx>
            <c:v>Pure Fluorides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('MFP-rsum'!$AH$3:$AH$4,'MFP-rsum'!$AH$10:$AH$13)</c:f>
            </c:numRef>
          </c:xVal>
          <c:yVal>
            <c:numRef>
              <c:f>('MFP-rsum'!$AC$3:$AC$4,'MFP-rsum'!$AC$10:$AC$13)</c:f>
              <c:numCache>
                <c:formatCode>General</c:formatCode>
                <c:ptCount val="6"/>
                <c:pt idx="0">
                  <c:v>0.82789999999999997</c:v>
                </c:pt>
                <c:pt idx="1">
                  <c:v>0.56999999999999995</c:v>
                </c:pt>
                <c:pt idx="2">
                  <c:v>0.79925905600000002</c:v>
                </c:pt>
                <c:pt idx="3">
                  <c:v>0.65067779999999997</c:v>
                </c:pt>
                <c:pt idx="4">
                  <c:v>0.56480320000000006</c:v>
                </c:pt>
                <c:pt idx="5">
                  <c:v>0.39041500000000001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D7-40C7-8B7A-1A829C4B1685}"/>
            </c:ext>
          </c:extLst>
        </c:ser>
        <c:ser>
          <c:idx val="1"/>
          <c:order val="2"/>
          <c:tx>
            <c:v>Chloride Mixtures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'MFP-rsum'!$AH$31:$AH$32</c:f>
            </c:numRef>
          </c:xVal>
          <c:yVal>
            <c:numRef>
              <c:f>'MFP-rsum'!$AC$31:$AC$32</c:f>
              <c:numCache>
                <c:formatCode>General</c:formatCode>
                <c:ptCount val="2"/>
                <c:pt idx="0">
                  <c:v>0.45966666666666672</c:v>
                </c:pt>
                <c:pt idx="1">
                  <c:v>0.46554761904761921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7D7-40C7-8B7A-1A829C4B1685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('MFP-rsum'!$AH$24,'MFP-rsum'!$AH$25,'MFP-rsum'!$AH$28,'MFP-rsum'!$AH$33,'MFP-rsum'!$AH$35)</c:f>
            </c:numRef>
          </c:xVal>
          <c:yVal>
            <c:numRef>
              <c:f>('MFP-rsum'!$AC$24,'MFP-rsum'!$AC$25,'MFP-rsum'!$AC$28,'MFP-rsum'!$AC$33,'MFP-rsum'!$AC$35)</c:f>
              <c:numCache>
                <c:formatCode>General</c:formatCode>
                <c:ptCount val="5"/>
                <c:pt idx="0">
                  <c:v>1.1000000000000001</c:v>
                </c:pt>
                <c:pt idx="1">
                  <c:v>0.78024246508674777</c:v>
                </c:pt>
                <c:pt idx="2">
                  <c:v>0.98602842355479869</c:v>
                </c:pt>
                <c:pt idx="3">
                  <c:v>0.82855603900974906</c:v>
                </c:pt>
                <c:pt idx="4">
                  <c:v>0.86544945017475028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7D7-40C7-8B7A-1A829C4B1685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'MFP-rsum'!$AH$36:$AH$37</c:f>
            </c:numRef>
          </c:xVal>
          <c:yVal>
            <c:numRef>
              <c:f>'MFP-rsum'!$AC$36:$AC$37</c:f>
              <c:numCache>
                <c:formatCode>General</c:formatCode>
                <c:ptCount val="2"/>
                <c:pt idx="0">
                  <c:v>0.23926257714495269</c:v>
                </c:pt>
                <c:pt idx="1">
                  <c:v>0.27567442291687039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7D7-40C7-8B7A-1A829C4B1685}"/>
            </c:ext>
          </c:extLst>
        </c:ser>
        <c:ser>
          <c:idx val="7"/>
          <c:order val="5"/>
          <c:tx>
            <c:v>Fluoride Actinides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('MFP-rsum'!$AH$26:$AH$27,'MFP-rsum'!$AH$29:$AH$30,'MFP-rsum'!$AH$38:$AH$40)</c:f>
            </c:numRef>
          </c:xVal>
          <c:yVal>
            <c:numRef>
              <c:f>('MFP-rsum'!$AC$26:$AC$27,'MFP-rsum'!$AC$29:$AC$30,'MFP-rsum'!$AC$38:$AC$40)</c:f>
              <c:numCache>
                <c:formatCode>General</c:formatCode>
                <c:ptCount val="7"/>
                <c:pt idx="0">
                  <c:v>1.1599999999999999</c:v>
                </c:pt>
                <c:pt idx="1">
                  <c:v>1.24</c:v>
                </c:pt>
                <c:pt idx="2">
                  <c:v>0.89056771657477962</c:v>
                </c:pt>
                <c:pt idx="3">
                  <c:v>0.80397278022492213</c:v>
                </c:pt>
                <c:pt idx="4">
                  <c:v>0.49395061728395051</c:v>
                </c:pt>
                <c:pt idx="5">
                  <c:v>0.45693693693693682</c:v>
                </c:pt>
                <c:pt idx="6">
                  <c:v>0.43928571428571439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7D7-40C7-8B7A-1A829C4B1685}"/>
            </c:ext>
          </c:extLst>
        </c:ser>
        <c:ser>
          <c:idx val="8"/>
          <c:order val="6"/>
          <c:tx>
            <c:v>Pure Nitrates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'MFP-rsum'!$AH$17:$AH$18</c:f>
            </c:numRef>
          </c:xVal>
          <c:yVal>
            <c:numRef>
              <c:f>'MFP-rsum'!$AC$17:$AC$18</c:f>
              <c:numCache>
                <c:formatCode>General</c:formatCode>
                <c:ptCount val="2"/>
                <c:pt idx="0">
                  <c:v>0.51224999999999998</c:v>
                </c:pt>
                <c:pt idx="1">
                  <c:v>0.40920000000000001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7D7-40C7-8B7A-1A829C4B1685}"/>
            </c:ext>
          </c:extLst>
        </c:ser>
        <c:ser>
          <c:idx val="2"/>
          <c:order val="7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'MFP-rsum'!$AH$41</c:f>
            </c:numRef>
          </c:xVal>
          <c:yVal>
            <c:numRef>
              <c:f>'MFP-rsum'!$AC$41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7D7-40C7-8B7A-1A829C4B1685}"/>
            </c:ext>
          </c:extLst>
        </c:ser>
        <c:ser>
          <c:idx val="3"/>
          <c:order val="8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C-07D7-40C7-8B7A-1A829C4B1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_predicted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ayout>
        <c:manualLayout>
          <c:xMode val="edge"/>
          <c:yMode val="edge"/>
          <c:x val="0.67247134733158342"/>
          <c:y val="0.16517622797150353"/>
          <c:w val="0.32205682200056962"/>
          <c:h val="0.583858091220240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r_sum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66593759113446"/>
          <c:y val="5.9523809523809521E-2"/>
          <c:w val="0.53988238205690331"/>
          <c:h val="0.80395513060867396"/>
        </c:manualLayout>
      </c:layout>
      <c:scatterChart>
        <c:scatterStyle val="lineMarker"/>
        <c:varyColors val="0"/>
        <c:ser>
          <c:idx val="4"/>
          <c:order val="0"/>
          <c:tx>
            <c:strRef>
              <c:f>'MFP-rsum'!$AD$46</c:f>
              <c:strCache>
                <c:ptCount val="1"/>
                <c:pt idx="0">
                  <c:v>Unary Flourides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'MFP-rsum'!$AD$2:$AD$6</c:f>
            </c:numRef>
          </c:xVal>
          <c:yVal>
            <c:numRef>
              <c:f>'MFP-rsum'!$AC$2:$AC$6</c:f>
              <c:numCache>
                <c:formatCode>General</c:formatCode>
                <c:ptCount val="5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  <c:pt idx="3">
                  <c:v>0.48965000000000003</c:v>
                </c:pt>
                <c:pt idx="4">
                  <c:v>0.36715000000000003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56-48A7-9430-0B6DB6BEE9F2}"/>
            </c:ext>
          </c:extLst>
        </c:ser>
        <c:ser>
          <c:idx val="0"/>
          <c:order val="1"/>
          <c:tx>
            <c:strRef>
              <c:f>'MFP-rsum'!$AD$47</c:f>
              <c:strCache>
                <c:ptCount val="1"/>
                <c:pt idx="0">
                  <c:v>Unary Chlorides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'MFP-rsum'!$AD$7:$AD$9</c:f>
            </c:numRef>
          </c:xVal>
          <c:yVal>
            <c:numRef>
              <c:f>'MFP-rsum'!$AC$7:$AC$9</c:f>
              <c:numCache>
                <c:formatCode>General</c:formatCode>
                <c:ptCount val="3"/>
                <c:pt idx="0">
                  <c:v>0.61260000000000003</c:v>
                </c:pt>
                <c:pt idx="1">
                  <c:v>0.46649999999999997</c:v>
                </c:pt>
                <c:pt idx="2">
                  <c:v>0.35505000000000003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56-48A7-9430-0B6DB6BEE9F2}"/>
            </c:ext>
          </c:extLst>
        </c:ser>
        <c:ser>
          <c:idx val="1"/>
          <c:order val="2"/>
          <c:tx>
            <c:strRef>
              <c:f>'MFP-rsum'!$AD$48</c:f>
              <c:strCache>
                <c:ptCount val="1"/>
                <c:pt idx="0">
                  <c:v>Unary Alkaline Earth Flourides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'MFP-rsum'!$AD$10:$AD$13</c:f>
            </c:numRef>
          </c:xVal>
          <c:yVal>
            <c:numRef>
              <c:f>'MFP-rsum'!$AC$10:$AC$13</c:f>
              <c:numCache>
                <c:formatCode>General</c:formatCode>
                <c:ptCount val="4"/>
                <c:pt idx="0">
                  <c:v>0.79925905600000002</c:v>
                </c:pt>
                <c:pt idx="1">
                  <c:v>0.65067779999999997</c:v>
                </c:pt>
                <c:pt idx="2">
                  <c:v>0.56480320000000006</c:v>
                </c:pt>
                <c:pt idx="3">
                  <c:v>0.39041500000000001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56-48A7-9430-0B6DB6BEE9F2}"/>
            </c:ext>
          </c:extLst>
        </c:ser>
        <c:ser>
          <c:idx val="5"/>
          <c:order val="3"/>
          <c:tx>
            <c:strRef>
              <c:f>'MFP-rsum'!$AD$49</c:f>
              <c:strCache>
                <c:ptCount val="1"/>
                <c:pt idx="0">
                  <c:v>Unary Alkaline Earth Chlorides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'MFP-rsum'!$AD$14:$AD$16</c:f>
            </c:numRef>
          </c:xVal>
          <c:yVal>
            <c:numRef>
              <c:f>'MFP-rsum'!$AC$14:$AC$16</c:f>
              <c:numCache>
                <c:formatCode>General</c:formatCode>
                <c:ptCount val="3"/>
                <c:pt idx="0">
                  <c:v>0.45680000000000004</c:v>
                </c:pt>
                <c:pt idx="1">
                  <c:v>0.44125000000000003</c:v>
                </c:pt>
                <c:pt idx="2">
                  <c:v>0.37705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556-48A7-9430-0B6DB6BEE9F2}"/>
            </c:ext>
          </c:extLst>
        </c:ser>
        <c:ser>
          <c:idx val="6"/>
          <c:order val="4"/>
          <c:tx>
            <c:strRef>
              <c:f>'MFP-rsum'!$AD$50</c:f>
              <c:strCache>
                <c:ptCount val="1"/>
                <c:pt idx="0">
                  <c:v>Unary Nitrates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'MFP-rsum'!$AD$17:$AD$18</c:f>
            </c:numRef>
          </c:xVal>
          <c:yVal>
            <c:numRef>
              <c:f>'MFP-rsum'!$AC$17:$AC$18</c:f>
              <c:numCache>
                <c:formatCode>General</c:formatCode>
                <c:ptCount val="2"/>
                <c:pt idx="0">
                  <c:v>0.51224999999999998</c:v>
                </c:pt>
                <c:pt idx="1">
                  <c:v>0.40920000000000001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556-48A7-9430-0B6DB6BEE9F2}"/>
            </c:ext>
          </c:extLst>
        </c:ser>
        <c:ser>
          <c:idx val="7"/>
          <c:order val="5"/>
          <c:tx>
            <c:strRef>
              <c:f>'MFP-rsum'!$AD$51</c:f>
              <c:strCache>
                <c:ptCount val="1"/>
                <c:pt idx="0">
                  <c:v>Fluoride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'MFP-rsum'!$AD$24:$AD$25</c:f>
            </c:numRef>
          </c:xVal>
          <c:yVal>
            <c:numRef>
              <c:f>'MFP-rsum'!$AC$24:$AC$25</c:f>
              <c:numCache>
                <c:formatCode>General</c:formatCode>
                <c:ptCount val="2"/>
                <c:pt idx="0">
                  <c:v>1.1000000000000001</c:v>
                </c:pt>
                <c:pt idx="1">
                  <c:v>0.78024246508674777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556-48A7-9430-0B6DB6BEE9F2}"/>
            </c:ext>
          </c:extLst>
        </c:ser>
        <c:ser>
          <c:idx val="9"/>
          <c:order val="6"/>
          <c:tx>
            <c:strRef>
              <c:f>'MFP-rsum'!$AD$52</c:f>
              <c:strCache>
                <c:ptCount val="1"/>
                <c:pt idx="0">
                  <c:v>Chloride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('MFP-rsum'!$AD$23,'MFP-rsum'!$AD$31,'MFP-rsum'!$AD$32,'MFP-rsum'!$AD$34)</c:f>
            </c:numRef>
          </c:xVal>
          <c:yVal>
            <c:numRef>
              <c:f>('MFP-rsum'!$AC$23,'MFP-rsum'!$AC$31,'MFP-rsum'!$AC$32,'MFP-rsum'!$AC$34)</c:f>
              <c:numCache>
                <c:formatCode>General</c:formatCode>
                <c:ptCount val="4"/>
                <c:pt idx="0">
                  <c:v>0.43524000000000002</c:v>
                </c:pt>
                <c:pt idx="1">
                  <c:v>0.45966666666666672</c:v>
                </c:pt>
                <c:pt idx="2">
                  <c:v>0.46554761904761921</c:v>
                </c:pt>
                <c:pt idx="3">
                  <c:v>0.58438111223711209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556-48A7-9430-0B6DB6BEE9F2}"/>
            </c:ext>
          </c:extLst>
        </c:ser>
        <c:ser>
          <c:idx val="10"/>
          <c:order val="7"/>
          <c:tx>
            <c:strRef>
              <c:f>'MFP-rsum'!$AD$53</c:f>
              <c:strCache>
                <c:ptCount val="1"/>
                <c:pt idx="0">
                  <c:v>Fluoride Actinide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('MFP-rsum'!$AD$26:$AD$27,'MFP-rsum'!$AD$29:$AD$30,'MFP-rsum'!$AD$38:$AD$40)</c:f>
            </c:numRef>
          </c:xVal>
          <c:yVal>
            <c:numRef>
              <c:f>('MFP-rsum'!$AC$26:$AC$27,'MFP-rsum'!$AC$29:$AC$30,'MFP-rsum'!$AC$38:$AC$40)</c:f>
              <c:numCache>
                <c:formatCode>General</c:formatCode>
                <c:ptCount val="7"/>
                <c:pt idx="0">
                  <c:v>1.1599999999999999</c:v>
                </c:pt>
                <c:pt idx="1">
                  <c:v>1.24</c:v>
                </c:pt>
                <c:pt idx="2">
                  <c:v>0.89056771657477962</c:v>
                </c:pt>
                <c:pt idx="3">
                  <c:v>0.80397278022492213</c:v>
                </c:pt>
                <c:pt idx="4">
                  <c:v>0.49395061728395051</c:v>
                </c:pt>
                <c:pt idx="5">
                  <c:v>0.45693693693693682</c:v>
                </c:pt>
                <c:pt idx="6">
                  <c:v>0.43928571428571439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556-48A7-9430-0B6DB6BEE9F2}"/>
            </c:ext>
          </c:extLst>
        </c:ser>
        <c:ser>
          <c:idx val="11"/>
          <c:order val="8"/>
          <c:tx>
            <c:strRef>
              <c:f>'MFP-rsum'!$AD$54</c:f>
              <c:strCache>
                <c:ptCount val="1"/>
                <c:pt idx="0">
                  <c:v>Chloride Actinide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'MFP-rsum'!$AD$36:$AD$37</c:f>
            </c:numRef>
          </c:xVal>
          <c:yVal>
            <c:numRef>
              <c:f>'MFP-rsum'!$AC$36:$AC$37</c:f>
              <c:numCache>
                <c:formatCode>General</c:formatCode>
                <c:ptCount val="2"/>
                <c:pt idx="0">
                  <c:v>0.23926257714495269</c:v>
                </c:pt>
                <c:pt idx="1">
                  <c:v>0.27567442291687039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556-48A7-9430-0B6DB6BEE9F2}"/>
            </c:ext>
          </c:extLst>
        </c:ser>
        <c:ser>
          <c:idx val="2"/>
          <c:order val="9"/>
          <c:tx>
            <c:strRef>
              <c:f>'MFP-rsum'!$AD$55</c:f>
              <c:strCache>
                <c:ptCount val="1"/>
                <c:pt idx="0">
                  <c:v>Water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'MFP-rsum'!$AD$41</c:f>
            </c:numRef>
          </c:xVal>
          <c:yVal>
            <c:numRef>
              <c:f>'MFP-rsum'!$AC$41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556-48A7-9430-0B6DB6BEE9F2}"/>
            </c:ext>
          </c:extLst>
        </c:ser>
        <c:ser>
          <c:idx val="3"/>
          <c:order val="10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E-5556-48A7-9430-0B6DB6BEE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_predicted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ayout>
        <c:manualLayout>
          <c:xMode val="edge"/>
          <c:yMode val="edge"/>
          <c:x val="0.66025138959842822"/>
          <c:y val="6.4057451151939337E-2"/>
          <c:w val="0.33974861040157184"/>
          <c:h val="0.802565179352580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Peak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66593759113446"/>
          <c:y val="5.9523809523809521E-2"/>
          <c:w val="0.53988238205690331"/>
          <c:h val="0.80395513060867396"/>
        </c:manualLayout>
      </c:layout>
      <c:scatterChart>
        <c:scatterStyle val="lineMarker"/>
        <c:varyColors val="0"/>
        <c:ser>
          <c:idx val="4"/>
          <c:order val="0"/>
          <c:tx>
            <c:strRef>
              <c:f>'MFP-rsum'!$AD$46</c:f>
              <c:strCache>
                <c:ptCount val="1"/>
                <c:pt idx="0">
                  <c:v>Unary Flourides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'MFP-rsum'!$AG$2:$AG$6</c:f>
            </c:numRef>
          </c:xVal>
          <c:yVal>
            <c:numRef>
              <c:f>'MFP-rsum'!$AC$2:$AC$6</c:f>
              <c:numCache>
                <c:formatCode>General</c:formatCode>
                <c:ptCount val="5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  <c:pt idx="3">
                  <c:v>0.48965000000000003</c:v>
                </c:pt>
                <c:pt idx="4">
                  <c:v>0.36715000000000003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D8-497C-8044-BCC2CC38BA39}"/>
            </c:ext>
          </c:extLst>
        </c:ser>
        <c:ser>
          <c:idx val="0"/>
          <c:order val="1"/>
          <c:tx>
            <c:strRef>
              <c:f>'MFP-rsum'!$AD$47</c:f>
              <c:strCache>
                <c:ptCount val="1"/>
                <c:pt idx="0">
                  <c:v>Unary Chlorides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'MFP-rsum'!$AG$7:$AG$9</c:f>
            </c:numRef>
          </c:xVal>
          <c:yVal>
            <c:numRef>
              <c:f>'MFP-rsum'!$AC$7:$AC$9</c:f>
              <c:numCache>
                <c:formatCode>General</c:formatCode>
                <c:ptCount val="3"/>
                <c:pt idx="0">
                  <c:v>0.61260000000000003</c:v>
                </c:pt>
                <c:pt idx="1">
                  <c:v>0.46649999999999997</c:v>
                </c:pt>
                <c:pt idx="2">
                  <c:v>0.35505000000000003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D8-497C-8044-BCC2CC38BA39}"/>
            </c:ext>
          </c:extLst>
        </c:ser>
        <c:ser>
          <c:idx val="5"/>
          <c:order val="2"/>
          <c:tx>
            <c:strRef>
              <c:f>'MFP-rsum'!$AD$49</c:f>
              <c:strCache>
                <c:ptCount val="1"/>
                <c:pt idx="0">
                  <c:v>Unary Alkaline Earth Chlorides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'MFP-rsum'!$AG$14:$AG$16</c:f>
            </c:numRef>
          </c:xVal>
          <c:yVal>
            <c:numRef>
              <c:f>'MFP-rsum'!$AC$14:$AC$16</c:f>
              <c:numCache>
                <c:formatCode>General</c:formatCode>
                <c:ptCount val="3"/>
                <c:pt idx="0">
                  <c:v>0.45680000000000004</c:v>
                </c:pt>
                <c:pt idx="1">
                  <c:v>0.44125000000000003</c:v>
                </c:pt>
                <c:pt idx="2">
                  <c:v>0.37705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1D8-497C-8044-BCC2CC38BA39}"/>
            </c:ext>
          </c:extLst>
        </c:ser>
        <c:ser>
          <c:idx val="6"/>
          <c:order val="3"/>
          <c:tx>
            <c:strRef>
              <c:f>'MFP-rsum'!$AD$50</c:f>
              <c:strCache>
                <c:ptCount val="1"/>
                <c:pt idx="0">
                  <c:v>Unary Nitrates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'MFP-rsum'!$AG$17:$AG$18</c:f>
            </c:numRef>
          </c:xVal>
          <c:yVal>
            <c:numRef>
              <c:f>'MFP-rsum'!$AC$17:$AC$18</c:f>
              <c:numCache>
                <c:formatCode>General</c:formatCode>
                <c:ptCount val="2"/>
                <c:pt idx="0">
                  <c:v>0.51224999999999998</c:v>
                </c:pt>
                <c:pt idx="1">
                  <c:v>0.40920000000000001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1D8-497C-8044-BCC2CC38BA39}"/>
            </c:ext>
          </c:extLst>
        </c:ser>
        <c:ser>
          <c:idx val="7"/>
          <c:order val="4"/>
          <c:tx>
            <c:strRef>
              <c:f>'MFP-rsum'!$AD$51</c:f>
              <c:strCache>
                <c:ptCount val="1"/>
                <c:pt idx="0">
                  <c:v>Fluoride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'MFP-rsum'!$AG$24:$AG$25</c:f>
            </c:numRef>
          </c:xVal>
          <c:yVal>
            <c:numRef>
              <c:f>'MFP-rsum'!$AC$24:$AC$25</c:f>
              <c:numCache>
                <c:formatCode>General</c:formatCode>
                <c:ptCount val="2"/>
                <c:pt idx="0">
                  <c:v>1.1000000000000001</c:v>
                </c:pt>
                <c:pt idx="1">
                  <c:v>0.78024246508674777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1D8-497C-8044-BCC2CC38BA39}"/>
            </c:ext>
          </c:extLst>
        </c:ser>
        <c:ser>
          <c:idx val="11"/>
          <c:order val="5"/>
          <c:tx>
            <c:strRef>
              <c:f>'MFP-rsum'!$AD$54</c:f>
              <c:strCache>
                <c:ptCount val="1"/>
                <c:pt idx="0">
                  <c:v>Chloride Actinide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'MFP-rsum'!$AG$36:$AG$37</c:f>
            </c:numRef>
          </c:xVal>
          <c:yVal>
            <c:numRef>
              <c:f>'MFP-rsum'!$AC$36:$AC$37</c:f>
              <c:numCache>
                <c:formatCode>General</c:formatCode>
                <c:ptCount val="2"/>
                <c:pt idx="0">
                  <c:v>0.23926257714495269</c:v>
                </c:pt>
                <c:pt idx="1">
                  <c:v>0.27567442291687039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1D8-497C-8044-BCC2CC38BA39}"/>
            </c:ext>
          </c:extLst>
        </c:ser>
        <c:ser>
          <c:idx val="2"/>
          <c:order val="6"/>
          <c:tx>
            <c:strRef>
              <c:f>'MFP-rsum'!$AD$55</c:f>
              <c:strCache>
                <c:ptCount val="1"/>
                <c:pt idx="0">
                  <c:v>Water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'MFP-rsum'!$AD$41</c:f>
            </c:numRef>
          </c:xVal>
          <c:yVal>
            <c:numRef>
              <c:f>'MFP-rsum'!$AC$41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1D8-497C-8044-BCC2CC38BA39}"/>
            </c:ext>
          </c:extLst>
        </c:ser>
        <c:ser>
          <c:idx val="3"/>
          <c:order val="7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C-71D8-497C-8044-BCC2CC38B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_predicted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0.66025138959842822"/>
          <c:y val="6.4057451151939337E-2"/>
          <c:w val="0.33974861040157184"/>
          <c:h val="0.802565179352580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C-BC,</a:t>
            </a:r>
            <a:r>
              <a:rPr lang="en-US" sz="1400" b="0" i="0" baseline="0">
                <a:effectLst/>
              </a:rPr>
              <a:t>rSum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66593759113446"/>
          <c:y val="5.9523809523809521E-2"/>
          <c:w val="0.53988238205690331"/>
          <c:h val="0.80395513060867396"/>
        </c:manualLayout>
      </c:layout>
      <c:scatterChart>
        <c:scatterStyle val="lineMarker"/>
        <c:varyColors val="0"/>
        <c:ser>
          <c:idx val="4"/>
          <c:order val="0"/>
          <c:tx>
            <c:strRef>
              <c:f>'MFP-rsum'!$AD$46</c:f>
              <c:strCache>
                <c:ptCount val="1"/>
                <c:pt idx="0">
                  <c:v>Unary Flourides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'MFP-rsum'!$AJ$2:$AJ$6</c:f>
            </c:numRef>
          </c:xVal>
          <c:yVal>
            <c:numRef>
              <c:f>'MFP-rsum'!$AZ$2:$AZ$6</c:f>
              <c:numCache>
                <c:formatCode>#,##0.00</c:formatCode>
                <c:ptCount val="5"/>
                <c:pt idx="0">
                  <c:v>4521126.760563381</c:v>
                </c:pt>
                <c:pt idx="1">
                  <c:v>3250000</c:v>
                </c:pt>
                <c:pt idx="2">
                  <c:v>2200657.8947368423</c:v>
                </c:pt>
                <c:pt idx="3">
                  <c:v>1946778.7114845938</c:v>
                </c:pt>
                <c:pt idx="4">
                  <c:v>1621444.2013129101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C3-4100-93F4-D04F5720663E}"/>
            </c:ext>
          </c:extLst>
        </c:ser>
        <c:ser>
          <c:idx val="0"/>
          <c:order val="1"/>
          <c:tx>
            <c:strRef>
              <c:f>'MFP-rsum'!$AD$47</c:f>
              <c:strCache>
                <c:ptCount val="1"/>
                <c:pt idx="0">
                  <c:v>Unary Chlorides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'MFP-rsum'!$AJ$7:$AJ$9</c:f>
            </c:numRef>
          </c:xVal>
          <c:yVal>
            <c:numRef>
              <c:f>'MFP-rsum'!$AZ$7:$AZ$9</c:f>
              <c:numCache>
                <c:formatCode>#,##0.00</c:formatCode>
                <c:ptCount val="3"/>
                <c:pt idx="0">
                  <c:v>2299027.692598009</c:v>
                </c:pt>
                <c:pt idx="1">
                  <c:v>1849136.7861885792</c:v>
                </c:pt>
                <c:pt idx="2">
                  <c:v>1506961.5069615068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C3-4100-93F4-D04F5720663E}"/>
            </c:ext>
          </c:extLst>
        </c:ser>
        <c:ser>
          <c:idx val="1"/>
          <c:order val="2"/>
          <c:tx>
            <c:strRef>
              <c:f>'MFP-rsum'!$AD$48</c:f>
              <c:strCache>
                <c:ptCount val="1"/>
                <c:pt idx="0">
                  <c:v>Unary Alkaline Earth Flourides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'MFP-rsum'!$AJ$10:$AJ$13</c:f>
            </c:numRef>
          </c:xVal>
          <c:yVal>
            <c:numRef>
              <c:f>'MFP-rsum'!$AZ$10:$AZ$13</c:f>
              <c:numCache>
                <c:formatCode>#,##0.00</c:formatCode>
                <c:ptCount val="4"/>
                <c:pt idx="0">
                  <c:v>3662500</c:v>
                </c:pt>
                <c:pt idx="1">
                  <c:v>3710710.0610255245</c:v>
                </c:pt>
                <c:pt idx="2">
                  <c:v>3222886.4523764392</c:v>
                </c:pt>
                <c:pt idx="3">
                  <c:v>2733763.684475325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EC3-4100-93F4-D04F5720663E}"/>
            </c:ext>
          </c:extLst>
        </c:ser>
        <c:ser>
          <c:idx val="5"/>
          <c:order val="3"/>
          <c:tx>
            <c:strRef>
              <c:f>'MFP-rsum'!$AD$49</c:f>
              <c:strCache>
                <c:ptCount val="1"/>
                <c:pt idx="0">
                  <c:v>Unary Alkaline Earth Chlorides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'MFP-rsum'!$AJ$14:$AJ$16</c:f>
            </c:numRef>
          </c:xVal>
          <c:yVal>
            <c:numRef>
              <c:f>'MFP-rsum'!$AZ$14:$AZ$16</c:f>
              <c:numCache>
                <c:formatCode>#,##0.00</c:formatCode>
                <c:ptCount val="3"/>
                <c:pt idx="0">
                  <c:v>1628871.8794256966</c:v>
                </c:pt>
                <c:pt idx="1">
                  <c:v>1928974.5850302745</c:v>
                </c:pt>
                <c:pt idx="2">
                  <c:v>1799756.6027023955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EC3-4100-93F4-D04F5720663E}"/>
            </c:ext>
          </c:extLst>
        </c:ser>
        <c:ser>
          <c:idx val="6"/>
          <c:order val="4"/>
          <c:tx>
            <c:strRef>
              <c:f>'MFP-rsum'!$AD$50</c:f>
              <c:strCache>
                <c:ptCount val="1"/>
                <c:pt idx="0">
                  <c:v>Unary Nitrates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'MFP-rsum'!$AJ$17:$AJ$18</c:f>
            </c:numRef>
          </c:xVal>
          <c:yVal>
            <c:numRef>
              <c:f>'MFP-rsum'!$AZ$17:$AZ$18</c:f>
              <c:numCache>
                <c:formatCode>#,##0.00</c:formatCode>
                <c:ptCount val="2"/>
                <c:pt idx="0">
                  <c:v>3483322.1401387956</c:v>
                </c:pt>
                <c:pt idx="1">
                  <c:v>2608213.0965593783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EC3-4100-93F4-D04F5720663E}"/>
            </c:ext>
          </c:extLst>
        </c:ser>
        <c:ser>
          <c:idx val="7"/>
          <c:order val="5"/>
          <c:tx>
            <c:strRef>
              <c:f>'MFP-rsum'!$AD$51</c:f>
              <c:strCache>
                <c:ptCount val="1"/>
                <c:pt idx="0">
                  <c:v>Fluoride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'MFP-rsum'!$AJ$24:$AJ$25</c:f>
            </c:numRef>
          </c:xVal>
          <c:yVal>
            <c:numRef>
              <c:f>'MFP-rsum'!$AZ$24:$AZ$25</c:f>
              <c:numCache>
                <c:formatCode>#,##0.00</c:formatCode>
                <c:ptCount val="2"/>
                <c:pt idx="0">
                  <c:v>4323157.1595853949</c:v>
                </c:pt>
                <c:pt idx="1">
                  <c:v>3402318.9027080508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EC3-4100-93F4-D04F5720663E}"/>
            </c:ext>
          </c:extLst>
        </c:ser>
        <c:ser>
          <c:idx val="9"/>
          <c:order val="6"/>
          <c:tx>
            <c:strRef>
              <c:f>'MFP-rsum'!$AD$52</c:f>
              <c:strCache>
                <c:ptCount val="1"/>
                <c:pt idx="0">
                  <c:v>Chloride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('MFP-rsum'!$AJ$23,'MFP-rsum'!$AJ$31,'MFP-rsum'!$AJ$32,'MFP-rsum'!$AJ$34)</c:f>
            </c:numRef>
          </c:xVal>
          <c:yVal>
            <c:numRef>
              <c:f>('MFP-rsum'!$AZ$23,'MFP-rsum'!$AZ$31,'MFP-rsum'!$AZ$32,'MFP-rsum'!$AZ$34)</c:f>
              <c:numCache>
                <c:formatCode>#,##0.00</c:formatCode>
                <c:ptCount val="4"/>
                <c:pt idx="0">
                  <c:v>1707948.0233861969</c:v>
                </c:pt>
                <c:pt idx="1">
                  <c:v>1708815.4639431396</c:v>
                </c:pt>
                <c:pt idx="2">
                  <c:v>1868245.8834445048</c:v>
                </c:pt>
                <c:pt idx="3">
                  <c:v>2082096.7768277482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EC3-4100-93F4-D04F5720663E}"/>
            </c:ext>
          </c:extLst>
        </c:ser>
        <c:ser>
          <c:idx val="10"/>
          <c:order val="7"/>
          <c:tx>
            <c:strRef>
              <c:f>'MFP-rsum'!$AD$53</c:f>
              <c:strCache>
                <c:ptCount val="1"/>
                <c:pt idx="0">
                  <c:v>Fluoride Actinide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('MFP-rsum'!$AJ$26:$AJ$27,'MFP-rsum'!$AJ$29:$AJ$30,'MFP-rsum'!$AJ$38:$AJ$40)</c:f>
            </c:numRef>
          </c:xVal>
          <c:yVal>
            <c:numRef>
              <c:f>('MFP-rsum'!$AZ$26:$AZ$27,'MFP-rsum'!$AZ$29:$AZ$30,'MFP-rsum'!$AZ$38:$AZ$40)</c:f>
              <c:numCache>
                <c:formatCode>#,##0.00</c:formatCode>
                <c:ptCount val="7"/>
                <c:pt idx="0">
                  <c:v>4303274.8661318505</c:v>
                </c:pt>
                <c:pt idx="1">
                  <c:v>4342193.6455089152</c:v>
                </c:pt>
                <c:pt idx="2">
                  <c:v>4417126.896931367</c:v>
                </c:pt>
                <c:pt idx="3">
                  <c:v>4406250.3993282951</c:v>
                </c:pt>
                <c:pt idx="4">
                  <c:v>3320258.9389987402</c:v>
                </c:pt>
                <c:pt idx="5">
                  <c:v>3397993.9963429328</c:v>
                </c:pt>
                <c:pt idx="6">
                  <c:v>3474763.6054825806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EC3-4100-93F4-D04F5720663E}"/>
            </c:ext>
          </c:extLst>
        </c:ser>
        <c:ser>
          <c:idx val="11"/>
          <c:order val="8"/>
          <c:tx>
            <c:strRef>
              <c:f>'MFP-rsum'!$AD$54</c:f>
              <c:strCache>
                <c:ptCount val="1"/>
                <c:pt idx="0">
                  <c:v>Chloride Actinide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'MFP-rsum'!$AJ$36:$AJ$37</c:f>
            </c:numRef>
          </c:xVal>
          <c:yVal>
            <c:numRef>
              <c:f>'MFP-rsum'!$AZ$36:$AZ$37</c:f>
              <c:numCache>
                <c:formatCode>#,##0.00</c:formatCode>
                <c:ptCount val="2"/>
                <c:pt idx="0">
                  <c:v>2156336.4385642763</c:v>
                </c:pt>
                <c:pt idx="1">
                  <c:v>2149770.3220167966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EC3-4100-93F4-D04F5720663E}"/>
            </c:ext>
          </c:extLst>
        </c:ser>
        <c:ser>
          <c:idx val="2"/>
          <c:order val="9"/>
          <c:tx>
            <c:strRef>
              <c:f>'MFP-rsum'!$AD$55</c:f>
              <c:strCache>
                <c:ptCount val="1"/>
                <c:pt idx="0">
                  <c:v>Water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'MFP-rsum'!$AJ$41</c:f>
            </c:numRef>
          </c:xVal>
          <c:yVal>
            <c:numRef>
              <c:f>'MFP-rsum'!$AZ$41</c:f>
              <c:numCache>
                <c:formatCode>#,##0.00</c:formatCode>
                <c:ptCount val="1"/>
                <c:pt idx="0">
                  <c:v>4183129.8557158709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EC3-4100-93F4-D04F5720663E}"/>
            </c:ext>
          </c:extLst>
        </c:ser>
        <c:ser>
          <c:idx val="3"/>
          <c:order val="10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10000000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E-7EC3-4100-93F4-D04F57206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0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c_BC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1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c_measured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ayout>
        <c:manualLayout>
          <c:xMode val="edge"/>
          <c:yMode val="edge"/>
          <c:x val="0.66025138959842822"/>
          <c:y val="6.4057451151939337E-2"/>
          <c:w val="0.33974861040157184"/>
          <c:h val="0.802565179352580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C-BC,</a:t>
            </a:r>
            <a:r>
              <a:rPr lang="el-GR" sz="1400" b="0" i="0" baseline="0">
                <a:effectLst/>
              </a:rPr>
              <a:t>λ</a:t>
            </a:r>
            <a:r>
              <a:rPr lang="en-US" sz="1400" b="0" i="0" baseline="0">
                <a:effectLst/>
              </a:rPr>
              <a:t>_BC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66593759113446"/>
          <c:y val="5.9523809523809521E-2"/>
          <c:w val="0.53988238205690331"/>
          <c:h val="0.80395513060867396"/>
        </c:manualLayout>
      </c:layout>
      <c:scatterChart>
        <c:scatterStyle val="lineMarker"/>
        <c:varyColors val="0"/>
        <c:ser>
          <c:idx val="4"/>
          <c:order val="0"/>
          <c:tx>
            <c:strRef>
              <c:f>'MFP-rsum'!$AD$46</c:f>
              <c:strCache>
                <c:ptCount val="1"/>
                <c:pt idx="0">
                  <c:v>Unary Flourides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'MFP-rsum'!$AJ$2:$AJ$6</c:f>
            </c:numRef>
          </c:xVal>
          <c:yVal>
            <c:numRef>
              <c:f>'MFP-rsum'!$AZ$2:$AZ$6</c:f>
              <c:numCache>
                <c:formatCode>#,##0.00</c:formatCode>
                <c:ptCount val="5"/>
                <c:pt idx="0">
                  <c:v>4521126.760563381</c:v>
                </c:pt>
                <c:pt idx="1">
                  <c:v>3250000</c:v>
                </c:pt>
                <c:pt idx="2">
                  <c:v>2200657.8947368423</c:v>
                </c:pt>
                <c:pt idx="3">
                  <c:v>1946778.7114845938</c:v>
                </c:pt>
                <c:pt idx="4">
                  <c:v>1621444.2013129101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96-47F2-B0E7-A5E2EA53527E}"/>
            </c:ext>
          </c:extLst>
        </c:ser>
        <c:ser>
          <c:idx val="0"/>
          <c:order val="1"/>
          <c:tx>
            <c:strRef>
              <c:f>'MFP-rsum'!$AD$47</c:f>
              <c:strCache>
                <c:ptCount val="1"/>
                <c:pt idx="0">
                  <c:v>Unary Chlorides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'MFP-rsum'!$AJ$7:$AJ$9</c:f>
            </c:numRef>
          </c:xVal>
          <c:yVal>
            <c:numRef>
              <c:f>'MFP-rsum'!$AZ$7:$AZ$9</c:f>
              <c:numCache>
                <c:formatCode>#,##0.00</c:formatCode>
                <c:ptCount val="3"/>
                <c:pt idx="0">
                  <c:v>2299027.692598009</c:v>
                </c:pt>
                <c:pt idx="1">
                  <c:v>1849136.7861885792</c:v>
                </c:pt>
                <c:pt idx="2">
                  <c:v>1506961.5069615068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96-47F2-B0E7-A5E2EA53527E}"/>
            </c:ext>
          </c:extLst>
        </c:ser>
        <c:ser>
          <c:idx val="1"/>
          <c:order val="2"/>
          <c:tx>
            <c:strRef>
              <c:f>'MFP-rsum'!$AD$48</c:f>
              <c:strCache>
                <c:ptCount val="1"/>
                <c:pt idx="0">
                  <c:v>Unary Alkaline Earth Flourides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'MFP-rsum'!$AJ$10:$AJ$13</c:f>
            </c:numRef>
          </c:xVal>
          <c:yVal>
            <c:numRef>
              <c:f>'MFP-rsum'!$AZ$10:$AZ$13</c:f>
              <c:numCache>
                <c:formatCode>#,##0.00</c:formatCode>
                <c:ptCount val="4"/>
                <c:pt idx="0">
                  <c:v>3662500</c:v>
                </c:pt>
                <c:pt idx="1">
                  <c:v>3710710.0610255245</c:v>
                </c:pt>
                <c:pt idx="2">
                  <c:v>3222886.4523764392</c:v>
                </c:pt>
                <c:pt idx="3">
                  <c:v>2733763.684475325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196-47F2-B0E7-A5E2EA53527E}"/>
            </c:ext>
          </c:extLst>
        </c:ser>
        <c:ser>
          <c:idx val="5"/>
          <c:order val="3"/>
          <c:tx>
            <c:strRef>
              <c:f>'MFP-rsum'!$AD$49</c:f>
              <c:strCache>
                <c:ptCount val="1"/>
                <c:pt idx="0">
                  <c:v>Unary Alkaline Earth Chlorides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'MFP-rsum'!$AJ$14:$AJ$16</c:f>
            </c:numRef>
          </c:xVal>
          <c:yVal>
            <c:numRef>
              <c:f>'MFP-rsum'!$AZ$14:$AZ$16</c:f>
              <c:numCache>
                <c:formatCode>#,##0.00</c:formatCode>
                <c:ptCount val="3"/>
                <c:pt idx="0">
                  <c:v>1628871.8794256966</c:v>
                </c:pt>
                <c:pt idx="1">
                  <c:v>1928974.5850302745</c:v>
                </c:pt>
                <c:pt idx="2">
                  <c:v>1799756.6027023955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196-47F2-B0E7-A5E2EA53527E}"/>
            </c:ext>
          </c:extLst>
        </c:ser>
        <c:ser>
          <c:idx val="6"/>
          <c:order val="4"/>
          <c:tx>
            <c:strRef>
              <c:f>'MFP-rsum'!$AD$50</c:f>
              <c:strCache>
                <c:ptCount val="1"/>
                <c:pt idx="0">
                  <c:v>Unary Nitrates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'MFP-rsum'!$AJ$17:$AJ$18</c:f>
            </c:numRef>
          </c:xVal>
          <c:yVal>
            <c:numRef>
              <c:f>'MFP-rsum'!$AZ$17:$AZ$18</c:f>
              <c:numCache>
                <c:formatCode>#,##0.00</c:formatCode>
                <c:ptCount val="2"/>
                <c:pt idx="0">
                  <c:v>3483322.1401387956</c:v>
                </c:pt>
                <c:pt idx="1">
                  <c:v>2608213.0965593783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196-47F2-B0E7-A5E2EA53527E}"/>
            </c:ext>
          </c:extLst>
        </c:ser>
        <c:ser>
          <c:idx val="7"/>
          <c:order val="5"/>
          <c:tx>
            <c:strRef>
              <c:f>'MFP-rsum'!$AD$51</c:f>
              <c:strCache>
                <c:ptCount val="1"/>
                <c:pt idx="0">
                  <c:v>Fluoride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'MFP-rsum'!$AJ$24:$AJ$25</c:f>
            </c:numRef>
          </c:xVal>
          <c:yVal>
            <c:numRef>
              <c:f>'MFP-rsum'!$AZ$24:$AZ$25</c:f>
              <c:numCache>
                <c:formatCode>#,##0.00</c:formatCode>
                <c:ptCount val="2"/>
                <c:pt idx="0">
                  <c:v>4323157.1595853949</c:v>
                </c:pt>
                <c:pt idx="1">
                  <c:v>3402318.9027080508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196-47F2-B0E7-A5E2EA53527E}"/>
            </c:ext>
          </c:extLst>
        </c:ser>
        <c:ser>
          <c:idx val="9"/>
          <c:order val="6"/>
          <c:tx>
            <c:strRef>
              <c:f>'MFP-rsum'!$AD$52</c:f>
              <c:strCache>
                <c:ptCount val="1"/>
                <c:pt idx="0">
                  <c:v>Chloride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('MFP-rsum'!$AJ$23,'MFP-rsum'!$AJ$31,'MFP-rsum'!$AJ$32,'MFP-rsum'!$AJ$34)</c:f>
            </c:numRef>
          </c:xVal>
          <c:yVal>
            <c:numRef>
              <c:f>('MFP-rsum'!$AZ$23,'MFP-rsum'!$AZ$31,'MFP-rsum'!$AZ$32,'MFP-rsum'!$AZ$34)</c:f>
              <c:numCache>
                <c:formatCode>#,##0.00</c:formatCode>
                <c:ptCount val="4"/>
                <c:pt idx="0">
                  <c:v>1707948.0233861969</c:v>
                </c:pt>
                <c:pt idx="1">
                  <c:v>1708815.4639431396</c:v>
                </c:pt>
                <c:pt idx="2">
                  <c:v>1868245.8834445048</c:v>
                </c:pt>
                <c:pt idx="3">
                  <c:v>2082096.7768277482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196-47F2-B0E7-A5E2EA53527E}"/>
            </c:ext>
          </c:extLst>
        </c:ser>
        <c:ser>
          <c:idx val="10"/>
          <c:order val="7"/>
          <c:tx>
            <c:strRef>
              <c:f>'MFP-rsum'!$AD$53</c:f>
              <c:strCache>
                <c:ptCount val="1"/>
                <c:pt idx="0">
                  <c:v>Fluoride Actinide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('MFP-rsum'!$AJ$26:$AJ$27,'MFP-rsum'!$AJ$29:$AJ$30,'MFP-rsum'!$AJ$38:$AJ$40)</c:f>
            </c:numRef>
          </c:xVal>
          <c:yVal>
            <c:numRef>
              <c:f>('MFP-rsum'!$AZ$26:$AZ$27,'MFP-rsum'!$AZ$29:$AZ$30,'MFP-rsum'!$AZ$38:$AZ$40)</c:f>
              <c:numCache>
                <c:formatCode>#,##0.00</c:formatCode>
                <c:ptCount val="7"/>
                <c:pt idx="0">
                  <c:v>4303274.8661318505</c:v>
                </c:pt>
                <c:pt idx="1">
                  <c:v>4342193.6455089152</c:v>
                </c:pt>
                <c:pt idx="2">
                  <c:v>4417126.896931367</c:v>
                </c:pt>
                <c:pt idx="3">
                  <c:v>4406250.3993282951</c:v>
                </c:pt>
                <c:pt idx="4">
                  <c:v>3320258.9389987402</c:v>
                </c:pt>
                <c:pt idx="5">
                  <c:v>3397993.9963429328</c:v>
                </c:pt>
                <c:pt idx="6">
                  <c:v>3474763.6054825806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196-47F2-B0E7-A5E2EA53527E}"/>
            </c:ext>
          </c:extLst>
        </c:ser>
        <c:ser>
          <c:idx val="11"/>
          <c:order val="8"/>
          <c:tx>
            <c:strRef>
              <c:f>'MFP-rsum'!$AD$54</c:f>
              <c:strCache>
                <c:ptCount val="1"/>
                <c:pt idx="0">
                  <c:v>Chloride Actinide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'MFP-rsum'!$AJ$36:$AJ$37</c:f>
            </c:numRef>
          </c:xVal>
          <c:yVal>
            <c:numRef>
              <c:f>'MFP-rsum'!$AZ$36:$AZ$37</c:f>
              <c:numCache>
                <c:formatCode>#,##0.00</c:formatCode>
                <c:ptCount val="2"/>
                <c:pt idx="0">
                  <c:v>2156336.4385642763</c:v>
                </c:pt>
                <c:pt idx="1">
                  <c:v>2149770.3220167966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196-47F2-B0E7-A5E2EA53527E}"/>
            </c:ext>
          </c:extLst>
        </c:ser>
        <c:ser>
          <c:idx val="2"/>
          <c:order val="9"/>
          <c:tx>
            <c:strRef>
              <c:f>'MFP-rsum'!$AD$55</c:f>
              <c:strCache>
                <c:ptCount val="1"/>
                <c:pt idx="0">
                  <c:v>Water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'MFP-rsum'!$AJ$41</c:f>
            </c:numRef>
          </c:xVal>
          <c:yVal>
            <c:numRef>
              <c:f>'MFP-rsum'!$AZ$41</c:f>
              <c:numCache>
                <c:formatCode>#,##0.00</c:formatCode>
                <c:ptCount val="1"/>
                <c:pt idx="0">
                  <c:v>4183129.8557158709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196-47F2-B0E7-A5E2EA53527E}"/>
            </c:ext>
          </c:extLst>
        </c:ser>
        <c:ser>
          <c:idx val="3"/>
          <c:order val="10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10000000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E-D196-47F2-B0E7-A5E2EA5352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0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c_BC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1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c_measured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ayout>
        <c:manualLayout>
          <c:xMode val="edge"/>
          <c:yMode val="edge"/>
          <c:x val="0.66025138959842822"/>
          <c:y val="6.4057451151939337E-2"/>
          <c:w val="0.33974861040157184"/>
          <c:h val="0.802565179352580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Pure Salts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2606517935258094"/>
                  <c:y val="-0.1176490959463400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'MFP-PDF_Avg_Original'!$AK$3:$AK$23</c:f>
              <c:numCache>
                <c:formatCode>General</c:formatCode>
                <c:ptCount val="21"/>
                <c:pt idx="0">
                  <c:v>3801381451.0759559</c:v>
                </c:pt>
                <c:pt idx="1">
                  <c:v>2264711383.8811092</c:v>
                </c:pt>
                <c:pt idx="2">
                  <c:v>1331266012.0265069</c:v>
                </c:pt>
                <c:pt idx="5">
                  <c:v>1565153277.313864</c:v>
                </c:pt>
                <c:pt idx="6">
                  <c:v>1081717855.4526589</c:v>
                </c:pt>
                <c:pt idx="7">
                  <c:v>804148398.82862413</c:v>
                </c:pt>
                <c:pt idx="8">
                  <c:v>3112571177.1964269</c:v>
                </c:pt>
                <c:pt idx="9">
                  <c:v>2691006936.2557101</c:v>
                </c:pt>
                <c:pt idx="10">
                  <c:v>1837367566.4998081</c:v>
                </c:pt>
                <c:pt idx="11">
                  <c:v>1274480629.7023959</c:v>
                </c:pt>
                <c:pt idx="12">
                  <c:v>1140753272.891129</c:v>
                </c:pt>
                <c:pt idx="14">
                  <c:v>1123726028.406646</c:v>
                </c:pt>
                <c:pt idx="15">
                  <c:v>2096950736.418479</c:v>
                </c:pt>
                <c:pt idx="16">
                  <c:v>1438571938.91363</c:v>
                </c:pt>
              </c:numCache>
            </c:numRef>
          </c:xVal>
          <c:yVal>
            <c:numRef>
              <c:f>'MFP-PDF_Avg_Original'!$AF$3:$AF$23</c:f>
              <c:numCache>
                <c:formatCode>General</c:formatCode>
                <c:ptCount val="21"/>
                <c:pt idx="0">
                  <c:v>1.4326411999999999</c:v>
                </c:pt>
                <c:pt idx="1">
                  <c:v>0.90495999999999999</c:v>
                </c:pt>
                <c:pt idx="2">
                  <c:v>0.56767520000000005</c:v>
                </c:pt>
                <c:pt idx="5">
                  <c:v>0.62592999999999999</c:v>
                </c:pt>
                <c:pt idx="6">
                  <c:v>0.47705461868503202</c:v>
                </c:pt>
                <c:pt idx="7">
                  <c:v>0.38874099999999989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0.20426</c:v>
                </c:pt>
                <c:pt idx="14">
                  <c:v>0.380772</c:v>
                </c:pt>
                <c:pt idx="15">
                  <c:v>0.59593560000000001</c:v>
                </c:pt>
                <c:pt idx="16">
                  <c:v>0.14599400000000001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24-42FC-B33A-DD40F9B9159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'MFP-PDF_Avg_Original'!$AK$24:$AK$41</c:f>
              <c:numCache>
                <c:formatCode>General</c:formatCode>
                <c:ptCount val="18"/>
                <c:pt idx="0">
                  <c:v>1120431343.2759011</c:v>
                </c:pt>
                <c:pt idx="1">
                  <c:v>3671349531.8618751</c:v>
                </c:pt>
                <c:pt idx="2">
                  <c:v>2282353441.8618789</c:v>
                </c:pt>
                <c:pt idx="3">
                  <c:v>2555332250.1711068</c:v>
                </c:pt>
                <c:pt idx="4">
                  <c:v>3356690310.8696609</c:v>
                </c:pt>
                <c:pt idx="5">
                  <c:v>3760693647.4549508</c:v>
                </c:pt>
                <c:pt idx="6">
                  <c:v>3595350729.2626648</c:v>
                </c:pt>
                <c:pt idx="7">
                  <c:v>3449729844.352057</c:v>
                </c:pt>
                <c:pt idx="8">
                  <c:v>1161710543.9117939</c:v>
                </c:pt>
                <c:pt idx="9">
                  <c:v>1260927039.745832</c:v>
                </c:pt>
                <c:pt idx="10">
                  <c:v>1742328821.428329</c:v>
                </c:pt>
                <c:pt idx="11">
                  <c:v>1446976992.079078</c:v>
                </c:pt>
                <c:pt idx="12">
                  <c:v>3211759248.6080689</c:v>
                </c:pt>
                <c:pt idx="13">
                  <c:v>1043486754.089075</c:v>
                </c:pt>
                <c:pt idx="14">
                  <c:v>1053713906.86537</c:v>
                </c:pt>
                <c:pt idx="15">
                  <c:v>1492586451.837889</c:v>
                </c:pt>
                <c:pt idx="16">
                  <c:v>1440892196.1891489</c:v>
                </c:pt>
                <c:pt idx="17">
                  <c:v>1407478287.0168049</c:v>
                </c:pt>
              </c:numCache>
            </c:numRef>
          </c:xVal>
          <c:yVal>
            <c:numRef>
              <c:f>'MFP-PDF_Avg_Original'!$AF$24:$AF$41</c:f>
              <c:numCache>
                <c:formatCode>General</c:formatCode>
                <c:ptCount val="18"/>
                <c:pt idx="0">
                  <c:v>0.43524000000000002</c:v>
                </c:pt>
                <c:pt idx="1">
                  <c:v>0.98602842355479803</c:v>
                </c:pt>
                <c:pt idx="2">
                  <c:v>0.78633287605038305</c:v>
                </c:pt>
                <c:pt idx="3">
                  <c:v>1.1599999999999999</c:v>
                </c:pt>
                <c:pt idx="4">
                  <c:v>1.24</c:v>
                </c:pt>
                <c:pt idx="5">
                  <c:v>0.98602842355479869</c:v>
                </c:pt>
                <c:pt idx="6">
                  <c:v>0.89056771657477962</c:v>
                </c:pt>
                <c:pt idx="7">
                  <c:v>0.80397278022492213</c:v>
                </c:pt>
                <c:pt idx="8">
                  <c:v>0.45966666666666672</c:v>
                </c:pt>
                <c:pt idx="9">
                  <c:v>0.46554761904761921</c:v>
                </c:pt>
                <c:pt idx="10">
                  <c:v>0.82855603900974906</c:v>
                </c:pt>
                <c:pt idx="11">
                  <c:v>0.58438111223711209</c:v>
                </c:pt>
                <c:pt idx="12">
                  <c:v>0.86544945017475028</c:v>
                </c:pt>
                <c:pt idx="13">
                  <c:v>0.239262577144952</c:v>
                </c:pt>
                <c:pt idx="14">
                  <c:v>0.27567442291687039</c:v>
                </c:pt>
                <c:pt idx="15">
                  <c:v>0.49395061728395051</c:v>
                </c:pt>
                <c:pt idx="16">
                  <c:v>0.45693693693693682</c:v>
                </c:pt>
                <c:pt idx="17">
                  <c:v>0.43928571428571439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24-42FC-B33A-DD40F9B9159F}"/>
            </c:ext>
          </c:extLst>
        </c:ser>
        <c:ser>
          <c:idx val="2"/>
          <c:order val="2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'MFP-PDF_Avg_Original'!$AK$42</c:f>
              <c:numCache>
                <c:formatCode>General</c:formatCode>
                <c:ptCount val="1"/>
                <c:pt idx="0">
                  <c:v>1956310395.8564556</c:v>
                </c:pt>
              </c:numCache>
            </c:numRef>
          </c:xVal>
          <c:yVal>
            <c:numRef>
              <c:f>'MFP-PDF_Avg_Original'!$AF$42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A24-42FC-B33A-DD40F9B91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1/3*Cp*vsound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baseline="0">
                    <a:effectLst/>
                  </a:rPr>
                  <a:t>λ</a:t>
                </a:r>
                <a:r>
                  <a:rPr lang="en-US" sz="1000" b="0" i="0" u="none" strike="noStrike" baseline="0">
                    <a:effectLst/>
                  </a:rPr>
                  <a:t>_measured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Pure Salts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663695203635465"/>
                  <c:y val="-0.15127041411490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'MFP-PDF_Avg_Original'!$AP$3:$AP$23</c:f>
              <c:numCache>
                <c:formatCode>General</c:formatCode>
                <c:ptCount val="21"/>
                <c:pt idx="0">
                  <c:v>3.7687383348348277E-10</c:v>
                </c:pt>
                <c:pt idx="1">
                  <c:v>3.9959175656596945E-10</c:v>
                </c:pt>
                <c:pt idx="2">
                  <c:v>4.2641755657523466E-10</c:v>
                </c:pt>
                <c:pt idx="5">
                  <c:v>3.9991610347213343E-10</c:v>
                </c:pt>
                <c:pt idx="6">
                  <c:v>4.4101575681710674E-10</c:v>
                </c:pt>
                <c:pt idx="7">
                  <c:v>4.8341947899948041E-10</c:v>
                </c:pt>
                <c:pt idx="8">
                  <c:v>2.5678418596676501E-10</c:v>
                </c:pt>
                <c:pt idx="9">
                  <c:v>2.4179714709519052E-10</c:v>
                </c:pt>
                <c:pt idx="10">
                  <c:v>3.0739804614922655E-10</c:v>
                </c:pt>
                <c:pt idx="11">
                  <c:v>3.0633262750424528E-10</c:v>
                </c:pt>
                <c:pt idx="12">
                  <c:v>1.7905712379182813E-10</c:v>
                </c:pt>
                <c:pt idx="14">
                  <c:v>3.3884771765935189E-10</c:v>
                </c:pt>
                <c:pt idx="15">
                  <c:v>2.8419151182246556E-10</c:v>
                </c:pt>
                <c:pt idx="16">
                  <c:v>1.014853661821394E-10</c:v>
                </c:pt>
              </c:numCache>
            </c:numRef>
          </c:xVal>
          <c:yVal>
            <c:numRef>
              <c:f>'MFP-PDF_Avg_Original'!$AF$3:$AF$23</c:f>
              <c:numCache>
                <c:formatCode>General</c:formatCode>
                <c:ptCount val="21"/>
                <c:pt idx="0">
                  <c:v>1.4326411999999999</c:v>
                </c:pt>
                <c:pt idx="1">
                  <c:v>0.90495999999999999</c:v>
                </c:pt>
                <c:pt idx="2">
                  <c:v>0.56767520000000005</c:v>
                </c:pt>
                <c:pt idx="5">
                  <c:v>0.62592999999999999</c:v>
                </c:pt>
                <c:pt idx="6">
                  <c:v>0.47705461868503202</c:v>
                </c:pt>
                <c:pt idx="7">
                  <c:v>0.38874099999999989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0.20426</c:v>
                </c:pt>
                <c:pt idx="14">
                  <c:v>0.380772</c:v>
                </c:pt>
                <c:pt idx="15">
                  <c:v>0.59593560000000001</c:v>
                </c:pt>
                <c:pt idx="16">
                  <c:v>0.14599400000000001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D6-458E-8C85-A3E30D829299}"/>
            </c:ext>
          </c:extLst>
        </c:ser>
        <c:ser>
          <c:idx val="1"/>
          <c:order val="1"/>
          <c:tx>
            <c:v>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'MFP-PDF_Avg_Original'!$AP$24:$AP$38</c:f>
              <c:numCache>
                <c:formatCode>General</c:formatCode>
                <c:ptCount val="15"/>
                <c:pt idx="0">
                  <c:v>3.8845753701199716E-10</c:v>
                </c:pt>
                <c:pt idx="1">
                  <c:v>2.6857383504281793E-10</c:v>
                </c:pt>
                <c:pt idx="2">
                  <c:v>3.4452721547321571E-10</c:v>
                </c:pt>
                <c:pt idx="3">
                  <c:v>4.5395271003303991E-10</c:v>
                </c:pt>
                <c:pt idx="4">
                  <c:v>3.6941149917364205E-10</c:v>
                </c:pt>
                <c:pt idx="5">
                  <c:v>2.6219323241660306E-10</c:v>
                </c:pt>
                <c:pt idx="6">
                  <c:v>2.4769981669004444E-10</c:v>
                </c:pt>
                <c:pt idx="7">
                  <c:v>2.3305383798131233E-10</c:v>
                </c:pt>
                <c:pt idx="8">
                  <c:v>3.9568089407094871E-10</c:v>
                </c:pt>
                <c:pt idx="9">
                  <c:v>3.6921059218577845E-10</c:v>
                </c:pt>
                <c:pt idx="10">
                  <c:v>4.7554516048842846E-10</c:v>
                </c:pt>
                <c:pt idx="11">
                  <c:v>4.0386344457174019E-10</c:v>
                </c:pt>
                <c:pt idx="12">
                  <c:v>2.6946274087941797E-10</c:v>
                </c:pt>
                <c:pt idx="13">
                  <c:v>2.2929143681734543E-10</c:v>
                </c:pt>
                <c:pt idx="14">
                  <c:v>2.6162169932534875E-10</c:v>
                </c:pt>
              </c:numCache>
            </c:numRef>
          </c:xVal>
          <c:yVal>
            <c:numRef>
              <c:f>'MFP-PDF_Avg_Original'!$AF$24:$AF$38</c:f>
              <c:numCache>
                <c:formatCode>General</c:formatCode>
                <c:ptCount val="15"/>
                <c:pt idx="0">
                  <c:v>0.43524000000000002</c:v>
                </c:pt>
                <c:pt idx="1">
                  <c:v>0.98602842355479803</c:v>
                </c:pt>
                <c:pt idx="2">
                  <c:v>0.78633287605038305</c:v>
                </c:pt>
                <c:pt idx="3">
                  <c:v>1.1599999999999999</c:v>
                </c:pt>
                <c:pt idx="4">
                  <c:v>1.24</c:v>
                </c:pt>
                <c:pt idx="5">
                  <c:v>0.98602842355479869</c:v>
                </c:pt>
                <c:pt idx="6">
                  <c:v>0.89056771657477962</c:v>
                </c:pt>
                <c:pt idx="7">
                  <c:v>0.80397278022492213</c:v>
                </c:pt>
                <c:pt idx="8">
                  <c:v>0.45966666666666672</c:v>
                </c:pt>
                <c:pt idx="9">
                  <c:v>0.46554761904761921</c:v>
                </c:pt>
                <c:pt idx="10">
                  <c:v>0.82855603900974906</c:v>
                </c:pt>
                <c:pt idx="11">
                  <c:v>0.58438111223711209</c:v>
                </c:pt>
                <c:pt idx="12">
                  <c:v>0.86544945017475028</c:v>
                </c:pt>
                <c:pt idx="13">
                  <c:v>0.239262577144952</c:v>
                </c:pt>
                <c:pt idx="14">
                  <c:v>0.27567442291687039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AD6-458E-8C85-A3E30D829299}"/>
            </c:ext>
          </c:extLst>
        </c:ser>
        <c:ser>
          <c:idx val="2"/>
          <c:order val="2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'MFP-PDF_Avg_Original'!$AP$42</c:f>
              <c:numCache>
                <c:formatCode>General</c:formatCode>
                <c:ptCount val="1"/>
                <c:pt idx="0">
                  <c:v>2.8676430958411341E-10</c:v>
                </c:pt>
              </c:numCache>
            </c:numRef>
          </c:xVal>
          <c:yVal>
            <c:numRef>
              <c:f>'MFP-PDF_Avg_Original'!$AF$42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AD6-458E-8C85-A3E30D8292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MFP_calc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baseline="0">
                    <a:effectLst/>
                  </a:rPr>
                  <a:t>λ</a:t>
                </a:r>
                <a:r>
                  <a:rPr lang="en-US" sz="1000" b="0" i="0" u="none" strike="noStrike" baseline="0">
                    <a:effectLst/>
                  </a:rPr>
                  <a:t>_measured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751476377952756"/>
          <c:y val="5.0925925925925923E-2"/>
          <c:w val="0.50349218066491686"/>
          <c:h val="0.74350320793234181"/>
        </c:manualLayout>
      </c:layout>
      <c:scatterChart>
        <c:scatterStyle val="lineMarker"/>
        <c:varyColors val="0"/>
        <c:ser>
          <c:idx val="0"/>
          <c:order val="0"/>
          <c:tx>
            <c:v>Alkali Fluoride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'MFP-PDF_Avg_Original'!$BL$3:$BL$5</c:f>
              <c:numCache>
                <c:formatCode>0.00E+00</c:formatCode>
                <c:ptCount val="3"/>
                <c:pt idx="0">
                  <c:v>4.5513588360128237E-10</c:v>
                </c:pt>
                <c:pt idx="1">
                  <c:v>3.6428468840931505E-10</c:v>
                </c:pt>
                <c:pt idx="2">
                  <c:v>3.8914296812648964E-10</c:v>
                </c:pt>
              </c:numCache>
            </c:numRef>
          </c:xVal>
          <c:yVal>
            <c:numRef>
              <c:f>'MFP-PDF_Avg_Original'!$AP$3:$AP$5</c:f>
              <c:numCache>
                <c:formatCode>General</c:formatCode>
                <c:ptCount val="3"/>
                <c:pt idx="0">
                  <c:v>3.7687383348348277E-10</c:v>
                </c:pt>
                <c:pt idx="1">
                  <c:v>3.9959175656596945E-10</c:v>
                </c:pt>
                <c:pt idx="2">
                  <c:v>4.2641755657523466E-10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AD-461E-984F-D11AC29952DF}"/>
            </c:ext>
          </c:extLst>
        </c:ser>
        <c:ser>
          <c:idx val="2"/>
          <c:order val="1"/>
          <c:tx>
            <c:v>Alkali Chloride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'MFP-PDF_Avg_Original'!$BL$8:$BL$10</c:f>
              <c:numCache>
                <c:formatCode>0.00E+00</c:formatCode>
                <c:ptCount val="3"/>
                <c:pt idx="0">
                  <c:v>5.0986492855295244E-10</c:v>
                </c:pt>
                <c:pt idx="1">
                  <c:v>3.7944326183477726E-10</c:v>
                </c:pt>
                <c:pt idx="2">
                  <c:v>4.5335791979318428E-10</c:v>
                </c:pt>
              </c:numCache>
            </c:numRef>
          </c:xVal>
          <c:yVal>
            <c:numRef>
              <c:f>'MFP-PDF_Avg_Original'!$AP$8:$AP$10</c:f>
              <c:numCache>
                <c:formatCode>General</c:formatCode>
                <c:ptCount val="3"/>
                <c:pt idx="0">
                  <c:v>3.9991610347213343E-10</c:v>
                </c:pt>
                <c:pt idx="1">
                  <c:v>4.4101575681710674E-10</c:v>
                </c:pt>
                <c:pt idx="2">
                  <c:v>4.8341947899948041E-10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AD-461E-984F-D11AC29952DF}"/>
            </c:ext>
          </c:extLst>
        </c:ser>
        <c:ser>
          <c:idx val="1"/>
          <c:order val="2"/>
          <c:tx>
            <c:v>Alkaline-Earth Fluoride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'MFP-PDF_Avg_Original'!$BL$11:$BL$14</c:f>
              <c:numCache>
                <c:formatCode>0.00E+00</c:formatCode>
                <c:ptCount val="4"/>
                <c:pt idx="1">
                  <c:v>4.369716780765129E-10</c:v>
                </c:pt>
                <c:pt idx="2">
                  <c:v>6.843135125098611E-10</c:v>
                </c:pt>
                <c:pt idx="3">
                  <c:v>6.1875642429403127E-10</c:v>
                </c:pt>
              </c:numCache>
            </c:numRef>
          </c:xVal>
          <c:yVal>
            <c:numRef>
              <c:f>'MFP-PDF_Avg_Original'!$AP$11:$AP$14</c:f>
              <c:numCache>
                <c:formatCode>General</c:formatCode>
                <c:ptCount val="4"/>
                <c:pt idx="0">
                  <c:v>2.5678418596676501E-10</c:v>
                </c:pt>
                <c:pt idx="1">
                  <c:v>2.4179714709519052E-10</c:v>
                </c:pt>
                <c:pt idx="2">
                  <c:v>3.0739804614922655E-10</c:v>
                </c:pt>
                <c:pt idx="3">
                  <c:v>3.0633262750424528E-10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6AD-461E-984F-D11AC29952DF}"/>
            </c:ext>
          </c:extLst>
        </c:ser>
        <c:ser>
          <c:idx val="3"/>
          <c:order val="3"/>
          <c:tx>
            <c:v>Alkaline-Earth Chloride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'MFP-PDF_Avg_Original'!$BL$15:$BL$17</c:f>
              <c:numCache>
                <c:formatCode>0.00E+00</c:formatCode>
                <c:ptCount val="3"/>
                <c:pt idx="0">
                  <c:v>6.1827251968353004E-10</c:v>
                </c:pt>
                <c:pt idx="1">
                  <c:v>7.7916751857846874E-10</c:v>
                </c:pt>
                <c:pt idx="2">
                  <c:v>7.4001853993764589E-10</c:v>
                </c:pt>
              </c:numCache>
            </c:numRef>
          </c:xVal>
          <c:yVal>
            <c:numRef>
              <c:f>'MFP-PDF_Avg_Original'!$AP$15:$AP$17</c:f>
              <c:numCache>
                <c:formatCode>General</c:formatCode>
                <c:ptCount val="3"/>
                <c:pt idx="0">
                  <c:v>1.7905712379182813E-10</c:v>
                </c:pt>
                <c:pt idx="2">
                  <c:v>3.3884771765935189E-10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6AD-461E-984F-D11AC29952DF}"/>
            </c:ext>
          </c:extLst>
        </c:ser>
        <c:ser>
          <c:idx val="4"/>
          <c:order val="4"/>
          <c:tx>
            <c:v>Fluoride Mixture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('MFP-PDF_Avg_Original'!$BL$36,'MFP-PDF_Avg_Original'!$BL$29:$BL$31,'MFP-PDF_Avg_Original'!$BL$25:$BL$27)</c:f>
              <c:numCache>
                <c:formatCode>0.00E+00</c:formatCode>
                <c:ptCount val="7"/>
                <c:pt idx="0">
                  <c:v>8.4406168446792717E-10</c:v>
                </c:pt>
                <c:pt idx="1">
                  <c:v>3.2730306153599925E-9</c:v>
                </c:pt>
                <c:pt idx="2">
                  <c:v>3.304548673097048E-9</c:v>
                </c:pt>
                <c:pt idx="3">
                  <c:v>3.352633671505172E-9</c:v>
                </c:pt>
                <c:pt idx="4">
                  <c:v>3.8338347353322035E-9</c:v>
                </c:pt>
                <c:pt idx="5">
                  <c:v>2.8369914793196441E-9</c:v>
                </c:pt>
                <c:pt idx="6">
                  <c:v>6.5543423785317211E-9</c:v>
                </c:pt>
              </c:numCache>
            </c:numRef>
          </c:xVal>
          <c:yVal>
            <c:numRef>
              <c:f>('MFP-PDF_Avg_Original'!$AP$36,'MFP-PDF_Avg_Original'!$AP$29:$AP$31,'MFP-PDF_Avg_Original'!$AP$25:$AP$27)</c:f>
              <c:numCache>
                <c:formatCode>General</c:formatCode>
                <c:ptCount val="7"/>
                <c:pt idx="0">
                  <c:v>2.6946274087941797E-10</c:v>
                </c:pt>
                <c:pt idx="1">
                  <c:v>2.6219323241660306E-10</c:v>
                </c:pt>
                <c:pt idx="2">
                  <c:v>2.4769981669004444E-10</c:v>
                </c:pt>
                <c:pt idx="3">
                  <c:v>2.3305383798131233E-10</c:v>
                </c:pt>
                <c:pt idx="4">
                  <c:v>2.6857383504281793E-10</c:v>
                </c:pt>
                <c:pt idx="5">
                  <c:v>3.4452721547321571E-10</c:v>
                </c:pt>
                <c:pt idx="6">
                  <c:v>4.5395271003303991E-10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6AD-461E-984F-D11AC29952DF}"/>
            </c:ext>
          </c:extLst>
        </c:ser>
        <c:ser>
          <c:idx val="5"/>
          <c:order val="5"/>
          <c:tx>
            <c:v>Chloride Mixture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('MFP-PDF_Avg_Original'!$BL$24,'MFP-PDF_Avg_Original'!$BL$37:$BL$38)</c:f>
              <c:numCache>
                <c:formatCode>0.00E+00</c:formatCode>
                <c:ptCount val="3"/>
                <c:pt idx="0">
                  <c:v>1.0517297026523455E-9</c:v>
                </c:pt>
                <c:pt idx="1">
                  <c:v>1.8511567318115176E-9</c:v>
                </c:pt>
                <c:pt idx="2">
                  <c:v>1.3749528367298905E-9</c:v>
                </c:pt>
              </c:numCache>
            </c:numRef>
          </c:xVal>
          <c:yVal>
            <c:numRef>
              <c:f>'MFP-PDF_Avg_Original'!$AP$37:$AP$38</c:f>
              <c:numCache>
                <c:formatCode>General</c:formatCode>
                <c:ptCount val="2"/>
                <c:pt idx="0">
                  <c:v>2.2929143681734543E-10</c:v>
                </c:pt>
                <c:pt idx="1">
                  <c:v>2.6162169932534875E-10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6AD-461E-984F-D11AC29952DF}"/>
            </c:ext>
          </c:extLst>
        </c:ser>
        <c:ser>
          <c:idx val="6"/>
          <c:order val="6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'MFP-PDF_Avg_Original'!$BL$42</c:f>
              <c:numCache>
                <c:formatCode>0.00E+00</c:formatCode>
                <c:ptCount val="1"/>
                <c:pt idx="0">
                  <c:v>1.2781802750592626E-9</c:v>
                </c:pt>
              </c:numCache>
            </c:numRef>
          </c:xVal>
          <c:yVal>
            <c:numRef>
              <c:f>'MFP-PDF_Avg_Original'!$AP$42</c:f>
              <c:numCache>
                <c:formatCode>General</c:formatCode>
                <c:ptCount val="1"/>
                <c:pt idx="0">
                  <c:v>2.8676430958411341E-10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6AD-461E-984F-D11AC2995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5211920"/>
        <c:axId val="1253312992"/>
      </c:scatterChart>
      <c:valAx>
        <c:axId val="1655211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Viscosity/(Dens*SoundVelocity)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312992"/>
        <c:crosses val="autoZero"/>
        <c:crossBetween val="midCat"/>
      </c:valAx>
      <c:valAx>
        <c:axId val="125331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MFP_calc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211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652777777777779"/>
          <c:y val="6.1919655876348803E-2"/>
          <c:w val="0.2326388888888889"/>
          <c:h val="0.848382910469524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Pure Salts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'MFP-PDF_Avg_Original'!$AV$3:$AV$23</c:f>
              <c:numCache>
                <c:formatCode>0.00E+00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5">
                  <c:v>0</c:v>
                </c:pt>
                <c:pt idx="6">
                  <c:v>2342.3449748536814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xVal>
          <c:yVal>
            <c:numRef>
              <c:f>'MFP-PDF_Avg_Original'!$AU$3:$AU$23</c:f>
              <c:numCache>
                <c:formatCode>0.00E+00</c:formatCode>
                <c:ptCount val="21"/>
                <c:pt idx="0">
                  <c:v>2547.8000000000002</c:v>
                </c:pt>
                <c:pt idx="1">
                  <c:v>2085.5</c:v>
                </c:pt>
                <c:pt idx="2">
                  <c:v>1816.4</c:v>
                </c:pt>
                <c:pt idx="3">
                  <c:v>1760.4</c:v>
                </c:pt>
                <c:pt idx="4">
                  <c:v>1858.9699999999998</c:v>
                </c:pt>
                <c:pt idx="5">
                  <c:v>2042.3974499999999</c:v>
                </c:pt>
                <c:pt idx="6">
                  <c:v>1743.6799999999998</c:v>
                </c:pt>
                <c:pt idx="7">
                  <c:v>1597.1839999999997</c:v>
                </c:pt>
                <c:pt idx="8">
                  <c:v>2547.8000000000002</c:v>
                </c:pt>
                <c:pt idx="9">
                  <c:v>2175.6</c:v>
                </c:pt>
                <c:pt idx="10">
                  <c:v>1710.3</c:v>
                </c:pt>
                <c:pt idx="11">
                  <c:v>1398.6</c:v>
                </c:pt>
                <c:pt idx="12">
                  <c:v>2101</c:v>
                </c:pt>
                <c:pt idx="13">
                  <c:v>2065.0300000000002</c:v>
                </c:pt>
                <c:pt idx="14">
                  <c:v>1873.13</c:v>
                </c:pt>
                <c:pt idx="15">
                  <c:v>1816.9499999999998</c:v>
                </c:pt>
                <c:pt idx="16">
                  <c:v>1766.56</c:v>
                </c:pt>
                <c:pt idx="17">
                  <c:v>1700</c:v>
                </c:pt>
                <c:pt idx="18">
                  <c:v>1362</c:v>
                </c:pt>
                <c:pt idx="19">
                  <c:v>1062</c:v>
                </c:pt>
                <c:pt idx="20">
                  <c:v>1248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3B-4EC9-8CD6-CA75E7862E0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'MFP-PDF_Avg_Original'!$AV$24:$AV$41</c:f>
              <c:numCache>
                <c:formatCode>0.00E+00</c:formatCode>
                <c:ptCount val="18"/>
                <c:pt idx="0">
                  <c:v>0</c:v>
                </c:pt>
                <c:pt idx="1">
                  <c:v>2646.3676175214719</c:v>
                </c:pt>
                <c:pt idx="2">
                  <c:v>2623.5603674883628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2633.8504387628477</c:v>
                </c:pt>
                <c:pt idx="13">
                  <c:v>1285.045635281379</c:v>
                </c:pt>
                <c:pt idx="14">
                  <c:v>1440.8265020258657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xVal>
          <c:yVal>
            <c:numRef>
              <c:f>'MFP-PDF_Avg_Original'!$AU$24:$AU$41</c:f>
              <c:numCache>
                <c:formatCode>0.00E+00</c:formatCode>
                <c:ptCount val="18"/>
                <c:pt idx="0">
                  <c:v>1968.0306331357569</c:v>
                </c:pt>
                <c:pt idx="1">
                  <c:v>2547.6863757231322</c:v>
                </c:pt>
                <c:pt idx="2">
                  <c:v>2012.468707779205</c:v>
                </c:pt>
                <c:pt idx="3">
                  <c:v>1781.433208193873</c:v>
                </c:pt>
                <c:pt idx="4">
                  <c:v>2319.1206460873409</c:v>
                </c:pt>
                <c:pt idx="5">
                  <c:v>2547.687552638462</c:v>
                </c:pt>
                <c:pt idx="6">
                  <c:v>2441.8705732183512</c:v>
                </c:pt>
                <c:pt idx="7">
                  <c:v>2348.7520215904742</c:v>
                </c:pt>
                <c:pt idx="8">
                  <c:v>2039.5014589190009</c:v>
                </c:pt>
                <c:pt idx="9">
                  <c:v>2024.776905844504</c:v>
                </c:pt>
                <c:pt idx="10">
                  <c:v>1885.1934295243609</c:v>
                </c:pt>
                <c:pt idx="11">
                  <c:v>2084.8843456983841</c:v>
                </c:pt>
                <c:pt idx="12">
                  <c:v>2298.228366828082</c:v>
                </c:pt>
                <c:pt idx="13">
                  <c:v>1451.7494609289899</c:v>
                </c:pt>
                <c:pt idx="14">
                  <c:v>1470.4555590061771</c:v>
                </c:pt>
                <c:pt idx="15" formatCode="General">
                  <c:v>1348.6175138087231</c:v>
                </c:pt>
                <c:pt idx="16" formatCode="General">
                  <c:v>1272.126022947567</c:v>
                </c:pt>
                <c:pt idx="17" formatCode="General">
                  <c:v>1215.1718333840431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3B-4EC9-8CD6-CA75E7862E06}"/>
            </c:ext>
          </c:extLst>
        </c:ser>
        <c:ser>
          <c:idx val="2"/>
          <c:order val="2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'MFP-PDF_Avg_Original'!$AV$42</c:f>
              <c:numCache>
                <c:formatCode>0.00E+00</c:formatCode>
                <c:ptCount val="1"/>
                <c:pt idx="0">
                  <c:v>1474.1154374620271</c:v>
                </c:pt>
              </c:numCache>
            </c:numRef>
          </c:xVal>
          <c:yVal>
            <c:numRef>
              <c:f>'MFP-PDF_Avg_Original'!$AU$42</c:f>
              <c:numCache>
                <c:formatCode>0.00E+00</c:formatCode>
                <c:ptCount val="1"/>
                <c:pt idx="0">
                  <c:v>1403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23B-4EC9-8CD6-CA75E7862E06}"/>
            </c:ext>
          </c:extLst>
        </c:ser>
        <c:ser>
          <c:idx val="3"/>
          <c:order val="3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.000000000000001E-2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5000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5000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7-523B-4EC9-8CD6-CA75E7862E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vsound,calc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vsound,bulk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Pure Salts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663695203635465"/>
                  <c:y val="-0.15127041411490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'MFP-PDF_Avg_Original'!$BF$3:$BF$23</c:f>
              <c:numCache>
                <c:formatCode>#,##0.00</c:formatCode>
                <c:ptCount val="21"/>
                <c:pt idx="0">
                  <c:v>64.2</c:v>
                </c:pt>
                <c:pt idx="1">
                  <c:v>70.2</c:v>
                </c:pt>
                <c:pt idx="2">
                  <c:v>66.900000000000006</c:v>
                </c:pt>
                <c:pt idx="3">
                  <c:v>69.5</c:v>
                </c:pt>
                <c:pt idx="4">
                  <c:v>74.099999999999994</c:v>
                </c:pt>
                <c:pt idx="5">
                  <c:v>65.02</c:v>
                </c:pt>
                <c:pt idx="6">
                  <c:v>69.62</c:v>
                </c:pt>
                <c:pt idx="7">
                  <c:v>73.599999999999994</c:v>
                </c:pt>
                <c:pt idx="8">
                  <c:v>87.9</c:v>
                </c:pt>
                <c:pt idx="9">
                  <c:v>94.9</c:v>
                </c:pt>
                <c:pt idx="10" formatCode="General">
                  <c:v>99.914000000000001</c:v>
                </c:pt>
                <c:pt idx="11">
                  <c:v>99</c:v>
                </c:pt>
                <c:pt idx="12" formatCode="General">
                  <c:v>92.048000000000002</c:v>
                </c:pt>
                <c:pt idx="13" formatCode="General">
                  <c:v>102.533</c:v>
                </c:pt>
                <c:pt idx="14">
                  <c:v>104.6</c:v>
                </c:pt>
                <c:pt idx="15" formatCode="General">
                  <c:v>155.6</c:v>
                </c:pt>
                <c:pt idx="16" formatCode="General">
                  <c:v>141</c:v>
                </c:pt>
                <c:pt idx="17" formatCode="#,##0.000000">
                  <c:v>123</c:v>
                </c:pt>
                <c:pt idx="18" formatCode="#,##0">
                  <c:v>168</c:v>
                </c:pt>
                <c:pt idx="19" formatCode="#,##0">
                  <c:v>174</c:v>
                </c:pt>
                <c:pt idx="20" formatCode="#,##0">
                  <c:v>150</c:v>
                </c:pt>
              </c:numCache>
            </c:numRef>
          </c:xVal>
          <c:yVal>
            <c:numRef>
              <c:f>'MFP-PDF_Avg_Original'!$AF$3:$AF$23</c:f>
              <c:numCache>
                <c:formatCode>General</c:formatCode>
                <c:ptCount val="21"/>
                <c:pt idx="0">
                  <c:v>1.4326411999999999</c:v>
                </c:pt>
                <c:pt idx="1">
                  <c:v>0.90495999999999999</c:v>
                </c:pt>
                <c:pt idx="2">
                  <c:v>0.56767520000000005</c:v>
                </c:pt>
                <c:pt idx="5">
                  <c:v>0.62592999999999999</c:v>
                </c:pt>
                <c:pt idx="6">
                  <c:v>0.47705461868503202</c:v>
                </c:pt>
                <c:pt idx="7">
                  <c:v>0.38874099999999989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0.20426</c:v>
                </c:pt>
                <c:pt idx="14">
                  <c:v>0.380772</c:v>
                </c:pt>
                <c:pt idx="15">
                  <c:v>0.59593560000000001</c:v>
                </c:pt>
                <c:pt idx="16">
                  <c:v>0.14599400000000001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C7-4A9B-A06E-98C8238AD1B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'MFP-PDF_Avg_Original'!$BF$24:$BF$41</c:f>
              <c:numCache>
                <c:formatCode>General</c:formatCode>
                <c:ptCount val="18"/>
                <c:pt idx="0">
                  <c:v>79.503360000000001</c:v>
                </c:pt>
                <c:pt idx="1">
                  <c:v>72.25800000000001</c:v>
                </c:pt>
                <c:pt idx="2">
                  <c:v>66.024000000000001</c:v>
                </c:pt>
                <c:pt idx="3">
                  <c:v>82.635000000000005</c:v>
                </c:pt>
                <c:pt idx="4">
                  <c:v>73.469400000000007</c:v>
                </c:pt>
                <c:pt idx="5">
                  <c:v>70.599000000000004</c:v>
                </c:pt>
                <c:pt idx="6">
                  <c:v>71.578500000000005</c:v>
                </c:pt>
                <c:pt idx="7">
                  <c:v>72.558000000000007</c:v>
                </c:pt>
                <c:pt idx="8">
                  <c:v>86.14464000000001</c:v>
                </c:pt>
                <c:pt idx="9">
                  <c:v>74.557488799999987</c:v>
                </c:pt>
                <c:pt idx="10">
                  <c:v>69.858500000000006</c:v>
                </c:pt>
                <c:pt idx="11">
                  <c:v>68.606440000000006</c:v>
                </c:pt>
                <c:pt idx="12">
                  <c:v>66.600000000000009</c:v>
                </c:pt>
                <c:pt idx="13">
                  <c:v>99.360600000000005</c:v>
                </c:pt>
                <c:pt idx="14">
                  <c:v>97.109960000000001</c:v>
                </c:pt>
                <c:pt idx="15">
                  <c:v>100.416</c:v>
                </c:pt>
                <c:pt idx="16">
                  <c:v>110.928</c:v>
                </c:pt>
                <c:pt idx="17">
                  <c:v>121.44</c:v>
                </c:pt>
              </c:numCache>
            </c:numRef>
          </c:xVal>
          <c:yVal>
            <c:numRef>
              <c:f>'MFP-PDF_Avg_Original'!$AF$24:$AF$41</c:f>
              <c:numCache>
                <c:formatCode>General</c:formatCode>
                <c:ptCount val="18"/>
                <c:pt idx="0">
                  <c:v>0.43524000000000002</c:v>
                </c:pt>
                <c:pt idx="1">
                  <c:v>0.98602842355479803</c:v>
                </c:pt>
                <c:pt idx="2">
                  <c:v>0.78633287605038305</c:v>
                </c:pt>
                <c:pt idx="3">
                  <c:v>1.1599999999999999</c:v>
                </c:pt>
                <c:pt idx="4">
                  <c:v>1.24</c:v>
                </c:pt>
                <c:pt idx="5">
                  <c:v>0.98602842355479869</c:v>
                </c:pt>
                <c:pt idx="6">
                  <c:v>0.89056771657477962</c:v>
                </c:pt>
                <c:pt idx="7">
                  <c:v>0.80397278022492213</c:v>
                </c:pt>
                <c:pt idx="8">
                  <c:v>0.45966666666666672</c:v>
                </c:pt>
                <c:pt idx="9">
                  <c:v>0.46554761904761921</c:v>
                </c:pt>
                <c:pt idx="10">
                  <c:v>0.82855603900974906</c:v>
                </c:pt>
                <c:pt idx="11">
                  <c:v>0.58438111223711209</c:v>
                </c:pt>
                <c:pt idx="12">
                  <c:v>0.86544945017475028</c:v>
                </c:pt>
                <c:pt idx="13">
                  <c:v>0.239262577144952</c:v>
                </c:pt>
                <c:pt idx="14">
                  <c:v>0.27567442291687039</c:v>
                </c:pt>
                <c:pt idx="15">
                  <c:v>0.49395061728395051</c:v>
                </c:pt>
                <c:pt idx="16">
                  <c:v>0.45693693693693682</c:v>
                </c:pt>
                <c:pt idx="17">
                  <c:v>0.43928571428571439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CC7-4A9B-A06E-98C8238AD1BE}"/>
            </c:ext>
          </c:extLst>
        </c:ser>
        <c:ser>
          <c:idx val="2"/>
          <c:order val="2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'MFP-PDF_Avg_Original'!$BF$42</c:f>
              <c:numCache>
                <c:formatCode>#,##0.00</c:formatCode>
                <c:ptCount val="1"/>
                <c:pt idx="0">
                  <c:v>75.38</c:v>
                </c:pt>
              </c:numCache>
            </c:numRef>
          </c:xVal>
          <c:yVal>
            <c:numRef>
              <c:f>'MFP-PDF_Avg_Original'!$AF$42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CC7-4A9B-A06E-98C8238AD1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baseline="0">
                    <a:effectLst/>
                  </a:rPr>
                  <a:t>λ</a:t>
                </a:r>
                <a:r>
                  <a:rPr lang="en-US" sz="1000" b="0" i="0" u="none" strike="noStrike" baseline="0">
                    <a:effectLst/>
                  </a:rPr>
                  <a:t>_measured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779090113735782"/>
          <c:y val="4.3650793650793648E-2"/>
          <c:w val="0.51169898901526201"/>
          <c:h val="0.85554243219597548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('MFP-PDF_Avg_Original'!$AP$8:$AP$10,'MFP-PDF_Avg_Original'!$AP$8:$AP$10)</c:f>
              <c:numCache>
                <c:formatCode>General</c:formatCode>
                <c:ptCount val="6"/>
                <c:pt idx="0">
                  <c:v>3.9991610347213343E-10</c:v>
                </c:pt>
                <c:pt idx="1">
                  <c:v>4.4101575681710674E-10</c:v>
                </c:pt>
                <c:pt idx="2">
                  <c:v>4.8341947899948041E-10</c:v>
                </c:pt>
                <c:pt idx="3">
                  <c:v>3.9991610347213343E-10</c:v>
                </c:pt>
                <c:pt idx="4">
                  <c:v>4.4101575681710674E-10</c:v>
                </c:pt>
                <c:pt idx="5">
                  <c:v>4.8341947899948041E-10</c:v>
                </c:pt>
              </c:numCache>
            </c:numRef>
          </c:xVal>
          <c:yVal>
            <c:numRef>
              <c:f>'MFP-PDF_Avg_Original'!$AO$8:$AO$10</c:f>
              <c:numCache>
                <c:formatCode>0.00E+00</c:formatCode>
                <c:ptCount val="3"/>
                <c:pt idx="1">
                  <c:v>7.0750000000000001E-11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87-443D-8B94-9EFFC39BEA70}"/>
            </c:ext>
          </c:extLst>
        </c:ser>
        <c:ser>
          <c:idx val="0"/>
          <c:order val="1"/>
          <c:tx>
            <c:v>Pure Fluorides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('MFP-PDF_Avg_Original'!$AP$3:$AP$5,'MFP-PDF_Avg_Original'!$AP$11,'MFP-PDF_Avg_Original'!$AP$11:$AP$14)</c:f>
              <c:numCache>
                <c:formatCode>General</c:formatCode>
                <c:ptCount val="8"/>
                <c:pt idx="0">
                  <c:v>3.7687383348348277E-10</c:v>
                </c:pt>
                <c:pt idx="1">
                  <c:v>3.9959175656596945E-10</c:v>
                </c:pt>
                <c:pt idx="2">
                  <c:v>4.2641755657523466E-10</c:v>
                </c:pt>
                <c:pt idx="3">
                  <c:v>2.5678418596676501E-10</c:v>
                </c:pt>
                <c:pt idx="4">
                  <c:v>2.5678418596676501E-10</c:v>
                </c:pt>
                <c:pt idx="5">
                  <c:v>2.4179714709519052E-10</c:v>
                </c:pt>
                <c:pt idx="6">
                  <c:v>3.0739804614922655E-10</c:v>
                </c:pt>
                <c:pt idx="7">
                  <c:v>3.0633262750424528E-10</c:v>
                </c:pt>
              </c:numCache>
            </c:numRef>
          </c:xVal>
          <c:yVal>
            <c:numRef>
              <c:f>('MFP-PDF_Avg_Original'!$AO$3:$AO$5,'MFP-PDF_Avg_Original'!$AO$11,'MFP-PDF_Avg_Original'!$AO$12,'MFP-PDF_Avg_Original'!$AO$13,'MFP-PDF_Avg_Original'!$AO$14)</c:f>
              <c:numCache>
                <c:formatCode>0.00E+00</c:formatCode>
                <c:ptCount val="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87-443D-8B94-9EFFC39BEA70}"/>
            </c:ext>
          </c:extLst>
        </c:ser>
        <c:ser>
          <c:idx val="1"/>
          <c:order val="2"/>
          <c:tx>
            <c:v>Chloride Mixtures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'MFP-PDF_Avg_Original'!$AP$32:$AP$33</c:f>
              <c:numCache>
                <c:formatCode>General</c:formatCode>
                <c:ptCount val="2"/>
                <c:pt idx="0">
                  <c:v>3.9568089407094871E-10</c:v>
                </c:pt>
                <c:pt idx="1">
                  <c:v>3.6921059218577845E-10</c:v>
                </c:pt>
              </c:numCache>
            </c:numRef>
          </c:xVal>
          <c:yVal>
            <c:numRef>
              <c:f>'MFP-PDF_Avg_Original'!$AO$32:$AO$33</c:f>
              <c:numCache>
                <c:formatCode>0.00E+00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A87-443D-8B94-9EFFC39BEA70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('MFP-PDF_Avg_Original'!$AP$25:$AP$26,'MFP-PDF_Avg_Original'!$AP$29,'MFP-PDF_Avg_Original'!$AP$34,'MFP-PDF_Avg_Original'!$AP$36)</c:f>
              <c:numCache>
                <c:formatCode>General</c:formatCode>
                <c:ptCount val="5"/>
                <c:pt idx="0">
                  <c:v>2.6857383504281793E-10</c:v>
                </c:pt>
                <c:pt idx="1">
                  <c:v>3.4452721547321571E-10</c:v>
                </c:pt>
                <c:pt idx="2">
                  <c:v>2.6219323241660306E-10</c:v>
                </c:pt>
                <c:pt idx="3">
                  <c:v>4.7554516048842846E-10</c:v>
                </c:pt>
                <c:pt idx="4">
                  <c:v>2.6946274087941797E-10</c:v>
                </c:pt>
              </c:numCache>
            </c:numRef>
          </c:xVal>
          <c:yVal>
            <c:numRef>
              <c:f>('MFP-PDF_Avg_Original'!$AO$25:$AO$26,'MFP-PDF_Avg_Original'!$AO$29,'MFP-PDF_Avg_Original'!$AO$34,'MFP-PDF_Avg_Original'!$AO$36)</c:f>
              <c:numCache>
                <c:formatCode>0.00E+00</c:formatCode>
                <c:ptCount val="5"/>
                <c:pt idx="0">
                  <c:v>4.2509000000000002E-11</c:v>
                </c:pt>
                <c:pt idx="1">
                  <c:v>4.3781312500000001E-11</c:v>
                </c:pt>
                <c:pt idx="4">
                  <c:v>4.4170000000000001E-11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A87-443D-8B94-9EFFC39BEA70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'MFP-PDF_Avg_Original'!$AP$37:$AP$38</c:f>
              <c:numCache>
                <c:formatCode>General</c:formatCode>
                <c:ptCount val="2"/>
                <c:pt idx="0">
                  <c:v>2.2929143681734543E-10</c:v>
                </c:pt>
                <c:pt idx="1">
                  <c:v>2.6162169932534875E-10</c:v>
                </c:pt>
              </c:numCache>
            </c:numRef>
          </c:xVal>
          <c:yVal>
            <c:numRef>
              <c:f>'MFP-PDF_Avg_Original'!$AO$37:$AO$38</c:f>
              <c:numCache>
                <c:formatCode>0.00E+00</c:formatCode>
                <c:ptCount val="2"/>
                <c:pt idx="0">
                  <c:v>5.9341049999999997E-11</c:v>
                </c:pt>
                <c:pt idx="1">
                  <c:v>5.9682537999999999E-11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A87-443D-8B94-9EFFC39BEA70}"/>
            </c:ext>
          </c:extLst>
        </c:ser>
        <c:ser>
          <c:idx val="7"/>
          <c:order val="5"/>
          <c:tx>
            <c:v>Fluoride Actinides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('MFP-PDF_Avg_Original'!$AP$27:$AP$28,'MFP-PDF_Avg_Original'!$AP$30:$AP$31,'MFP-PDF_Avg_Original'!$AP$39:$AP$41)</c:f>
              <c:numCache>
                <c:formatCode>General</c:formatCode>
                <c:ptCount val="7"/>
                <c:pt idx="0">
                  <c:v>4.5395271003303991E-10</c:v>
                </c:pt>
                <c:pt idx="1">
                  <c:v>3.6941149917364205E-10</c:v>
                </c:pt>
                <c:pt idx="2">
                  <c:v>2.4769981669004444E-10</c:v>
                </c:pt>
                <c:pt idx="3">
                  <c:v>2.3305383798131233E-10</c:v>
                </c:pt>
                <c:pt idx="4">
                  <c:v>3.3093601826261176E-10</c:v>
                </c:pt>
                <c:pt idx="5">
                  <c:v>3.171208353723041E-10</c:v>
                </c:pt>
                <c:pt idx="6">
                  <c:v>3.1210834180383304E-10</c:v>
                </c:pt>
              </c:numCache>
            </c:numRef>
          </c:xVal>
          <c:yVal>
            <c:numRef>
              <c:f>('MFP-PDF_Avg_Original'!$AO$27:$AO$28,'MFP-PDF_Avg_Original'!$AO$30:$AO$31,'MFP-PDF_Avg_Original'!$AO$39:$AO$41)</c:f>
              <c:numCache>
                <c:formatCode>0.00E+00</c:formatCode>
                <c:ptCount val="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A87-443D-8B94-9EFFC39BEA70}"/>
            </c:ext>
          </c:extLst>
        </c:ser>
        <c:ser>
          <c:idx val="8"/>
          <c:order val="6"/>
          <c:tx>
            <c:v>Pure Nitrates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'MFP-PDF_Avg_Original'!$AP$18:$AP$19</c:f>
              <c:numCache>
                <c:formatCode>General</c:formatCode>
                <c:ptCount val="2"/>
                <c:pt idx="0">
                  <c:v>2.8419151182246556E-10</c:v>
                </c:pt>
                <c:pt idx="1">
                  <c:v>1.014853661821394E-10</c:v>
                </c:pt>
              </c:numCache>
            </c:numRef>
          </c:xVal>
          <c:yVal>
            <c:numRef>
              <c:f>'MFP-PDF_Avg_Original'!$AO$18:$AO$19</c:f>
              <c:numCache>
                <c:formatCode>0.00E+00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A87-443D-8B94-9EFFC39BEA70}"/>
            </c:ext>
          </c:extLst>
        </c:ser>
        <c:ser>
          <c:idx val="2"/>
          <c:order val="7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'MFP-PDF_Avg_Original'!$AP$42</c:f>
              <c:numCache>
                <c:formatCode>General</c:formatCode>
                <c:ptCount val="1"/>
                <c:pt idx="0">
                  <c:v>2.8676430958411341E-10</c:v>
                </c:pt>
              </c:numCache>
            </c:numRef>
          </c:xVal>
          <c:yVal>
            <c:numRef>
              <c:f>'MFP-PDF_Avg_Original'!$AO$42</c:f>
              <c:numCache>
                <c:formatCode>0.00E+00</c:formatCode>
                <c:ptCount val="1"/>
                <c:pt idx="0">
                  <c:v>3.1000000000000002E-10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A87-443D-8B94-9EFFC39BEA70}"/>
            </c:ext>
          </c:extLst>
        </c:ser>
        <c:ser>
          <c:idx val="3"/>
          <c:order val="8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9.9999999999999994E-12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9.9999999999999994E-12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C-0A87-443D-8B94-9EFFC39BE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6.0000000000000031E-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MFP_calc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6.0000000000000031E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MFP r_sum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Pure Salts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'MFP-PDF_Avg_Original'!$AJ$3:$AJ$23</c:f>
              <c:numCache>
                <c:formatCode>0.000000</c:formatCode>
                <c:ptCount val="21"/>
                <c:pt idx="6">
                  <c:v>0.35512727904679298</c:v>
                </c:pt>
              </c:numCache>
            </c:numRef>
          </c:xVal>
          <c:yVal>
            <c:numRef>
              <c:f>'MFP-PDF_Avg_Original'!$AF$3:$AF$23</c:f>
              <c:numCache>
                <c:formatCode>General</c:formatCode>
                <c:ptCount val="21"/>
                <c:pt idx="0">
                  <c:v>1.4326411999999999</c:v>
                </c:pt>
                <c:pt idx="1">
                  <c:v>0.90495999999999999</c:v>
                </c:pt>
                <c:pt idx="2">
                  <c:v>0.56767520000000005</c:v>
                </c:pt>
                <c:pt idx="5">
                  <c:v>0.62592999999999999</c:v>
                </c:pt>
                <c:pt idx="6">
                  <c:v>0.47705461868503202</c:v>
                </c:pt>
                <c:pt idx="7">
                  <c:v>0.38874099999999989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0.20426</c:v>
                </c:pt>
                <c:pt idx="14">
                  <c:v>0.380772</c:v>
                </c:pt>
                <c:pt idx="15">
                  <c:v>0.59593560000000001</c:v>
                </c:pt>
                <c:pt idx="16">
                  <c:v>0.14599400000000001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1C-4EA0-956A-5B2E69C9578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'MFP-PDF_Avg_Original'!$AJ$24:$AJ$41</c:f>
              <c:numCache>
                <c:formatCode>0.000000</c:formatCode>
                <c:ptCount val="18"/>
                <c:pt idx="1">
                  <c:v>0.94926009679603196</c:v>
                </c:pt>
                <c:pt idx="2">
                  <c:v>0.60317663224360296</c:v>
                </c:pt>
                <c:pt idx="12">
                  <c:v>0.75516834485926099</c:v>
                </c:pt>
                <c:pt idx="13">
                  <c:v>0.27030115340192401</c:v>
                </c:pt>
                <c:pt idx="14">
                  <c:v>0.281343372768316</c:v>
                </c:pt>
              </c:numCache>
            </c:numRef>
          </c:xVal>
          <c:yVal>
            <c:numRef>
              <c:f>'MFP-PDF_Avg_Original'!$AF$24:$AF$41</c:f>
              <c:numCache>
                <c:formatCode>General</c:formatCode>
                <c:ptCount val="18"/>
                <c:pt idx="0">
                  <c:v>0.43524000000000002</c:v>
                </c:pt>
                <c:pt idx="1">
                  <c:v>0.98602842355479803</c:v>
                </c:pt>
                <c:pt idx="2">
                  <c:v>0.78633287605038305</c:v>
                </c:pt>
                <c:pt idx="3">
                  <c:v>1.1599999999999999</c:v>
                </c:pt>
                <c:pt idx="4">
                  <c:v>1.24</c:v>
                </c:pt>
                <c:pt idx="5">
                  <c:v>0.98602842355479869</c:v>
                </c:pt>
                <c:pt idx="6">
                  <c:v>0.89056771657477962</c:v>
                </c:pt>
                <c:pt idx="7">
                  <c:v>0.80397278022492213</c:v>
                </c:pt>
                <c:pt idx="8">
                  <c:v>0.45966666666666672</c:v>
                </c:pt>
                <c:pt idx="9">
                  <c:v>0.46554761904761921</c:v>
                </c:pt>
                <c:pt idx="10">
                  <c:v>0.82855603900974906</c:v>
                </c:pt>
                <c:pt idx="11">
                  <c:v>0.58438111223711209</c:v>
                </c:pt>
                <c:pt idx="12">
                  <c:v>0.86544945017475028</c:v>
                </c:pt>
                <c:pt idx="13">
                  <c:v>0.239262577144952</c:v>
                </c:pt>
                <c:pt idx="14">
                  <c:v>0.27567442291687039</c:v>
                </c:pt>
                <c:pt idx="15">
                  <c:v>0.49395061728395051</c:v>
                </c:pt>
                <c:pt idx="16">
                  <c:v>0.45693693693693682</c:v>
                </c:pt>
                <c:pt idx="17">
                  <c:v>0.43928571428571439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1C-4EA0-956A-5B2E69C95787}"/>
            </c:ext>
          </c:extLst>
        </c:ser>
        <c:ser>
          <c:idx val="2"/>
          <c:order val="2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'MFP-PDF_Avg_Original'!$AJ$42</c:f>
              <c:numCache>
                <c:formatCode>0.000000</c:formatCode>
                <c:ptCount val="1"/>
                <c:pt idx="0">
                  <c:v>0.53393579634110244</c:v>
                </c:pt>
              </c:numCache>
            </c:numRef>
          </c:xVal>
          <c:yVal>
            <c:numRef>
              <c:f>'MFP-PDF_Avg_Original'!$AF$42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81C-4EA0-956A-5B2E69C95787}"/>
            </c:ext>
          </c:extLst>
        </c:ser>
        <c:ser>
          <c:idx val="3"/>
          <c:order val="3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.000000000000001E-2"/>
            <c:intercept val="0"/>
            <c:dispRSqr val="0"/>
            <c:dispEq val="0"/>
          </c:trendline>
          <c:xVal>
            <c:numLit>
              <c:formatCode>General</c:formatCode>
              <c:ptCount val="6"/>
              <c:pt idx="0">
                <c:v>0</c:v>
              </c:pt>
              <c:pt idx="1">
                <c:v>0.2</c:v>
              </c:pt>
              <c:pt idx="2">
                <c:v>0.4</c:v>
              </c:pt>
              <c:pt idx="3">
                <c:v>0.6</c:v>
              </c:pt>
              <c:pt idx="4">
                <c:v>0.8</c:v>
              </c:pt>
              <c:pt idx="5">
                <c:v>1</c:v>
              </c:pt>
            </c:numLit>
          </c:xVal>
          <c:yVal>
            <c:numLit>
              <c:formatCode>General</c:formatCode>
              <c:ptCount val="6"/>
              <c:pt idx="0">
                <c:v>0</c:v>
              </c:pt>
              <c:pt idx="1">
                <c:v>0.2</c:v>
              </c:pt>
              <c:pt idx="2">
                <c:v>0.4</c:v>
              </c:pt>
              <c:pt idx="3">
                <c:v>0.6</c:v>
              </c:pt>
              <c:pt idx="4">
                <c:v>0.8</c:v>
              </c:pt>
              <c:pt idx="5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7-D81C-4EA0-956A-5B2E69C95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_predicted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baseline="0">
                    <a:effectLst/>
                  </a:rPr>
                  <a:t>λ</a:t>
                </a:r>
                <a:r>
                  <a:rPr lang="en-US" sz="1000" b="0" i="0" u="none" strike="noStrike" baseline="0">
                    <a:effectLst/>
                  </a:rPr>
                  <a:t>_measured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66593759113446"/>
          <c:y val="5.9523809523809521E-2"/>
          <c:w val="0.56891659375911341"/>
          <c:h val="0.80395513060867396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'MFP-PDF_Avg_Original'!$AJ$8:$AJ$10</c:f>
              <c:numCache>
                <c:formatCode>0.000000</c:formatCode>
                <c:ptCount val="3"/>
                <c:pt idx="1">
                  <c:v>0.35512727904679298</c:v>
                </c:pt>
              </c:numCache>
            </c:numRef>
          </c:xVal>
          <c:yVal>
            <c:numRef>
              <c:f>'MFP-PDF_Avg_Original'!$AF$8:$AF$10</c:f>
              <c:numCache>
                <c:formatCode>General</c:formatCode>
                <c:ptCount val="3"/>
                <c:pt idx="0">
                  <c:v>0.62592999999999999</c:v>
                </c:pt>
                <c:pt idx="1">
                  <c:v>0.47705461868503202</c:v>
                </c:pt>
                <c:pt idx="2">
                  <c:v>0.38874099999999989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A0-4FC8-8485-0DA25489C9F1}"/>
            </c:ext>
          </c:extLst>
        </c:ser>
        <c:ser>
          <c:idx val="0"/>
          <c:order val="1"/>
          <c:tx>
            <c:v>Pure Fluorides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('MFP-PDF_Avg_Original'!$AJ$4:$AJ$5,'MFP-PDF_Avg_Original'!$AJ$11:$AJ$14)</c:f>
              <c:numCache>
                <c:formatCode>0.000000</c:formatCode>
                <c:ptCount val="6"/>
              </c:numCache>
            </c:numRef>
          </c:xVal>
          <c:yVal>
            <c:numRef>
              <c:f>('MFP-PDF_Avg_Original'!$AF$4:$AF$5,'MFP-PDF_Avg_Original'!$AF$11:$AF$14)</c:f>
              <c:numCache>
                <c:formatCode>General</c:formatCode>
                <c:ptCount val="6"/>
                <c:pt idx="0">
                  <c:v>0.90495999999999999</c:v>
                </c:pt>
                <c:pt idx="1">
                  <c:v>0.56767520000000005</c:v>
                </c:pt>
                <c:pt idx="2">
                  <c:v>0.79925905600000002</c:v>
                </c:pt>
                <c:pt idx="3">
                  <c:v>0.65067779999999997</c:v>
                </c:pt>
                <c:pt idx="4">
                  <c:v>0.56480320000000006</c:v>
                </c:pt>
                <c:pt idx="5">
                  <c:v>0.39041500000000001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A0-4FC8-8485-0DA25489C9F1}"/>
            </c:ext>
          </c:extLst>
        </c:ser>
        <c:ser>
          <c:idx val="1"/>
          <c:order val="2"/>
          <c:tx>
            <c:v>Chloride Mixtures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'MFP-PDF_Avg_Original'!$AJ$32:$AJ$33</c:f>
              <c:numCache>
                <c:formatCode>0.000000</c:formatCode>
                <c:ptCount val="2"/>
              </c:numCache>
            </c:numRef>
          </c:xVal>
          <c:yVal>
            <c:numRef>
              <c:f>'MFP-PDF_Avg_Original'!$AF$32:$AF$33</c:f>
              <c:numCache>
                <c:formatCode>General</c:formatCode>
                <c:ptCount val="2"/>
                <c:pt idx="0">
                  <c:v>0.45966666666666672</c:v>
                </c:pt>
                <c:pt idx="1">
                  <c:v>0.46554761904761921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3A0-4FC8-8485-0DA25489C9F1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('MFP-PDF_Avg_Original'!$AJ$25,'MFP-PDF_Avg_Original'!$AJ$26,'MFP-PDF_Avg_Original'!$AJ$29,'MFP-PDF_Avg_Original'!$AJ$34,'MFP-PDF_Avg_Original'!$AJ$36)</c:f>
              <c:numCache>
                <c:formatCode>0.000000</c:formatCode>
                <c:ptCount val="5"/>
                <c:pt idx="0">
                  <c:v>0.94926009679603196</c:v>
                </c:pt>
                <c:pt idx="1">
                  <c:v>0.60317663224360296</c:v>
                </c:pt>
                <c:pt idx="4">
                  <c:v>0.75516834485926099</c:v>
                </c:pt>
              </c:numCache>
            </c:numRef>
          </c:xVal>
          <c:yVal>
            <c:numRef>
              <c:f>('MFP-PDF_Avg_Original'!$AF$25,'MFP-PDF_Avg_Original'!$AF$26,'MFP-PDF_Avg_Original'!$AF$29,'MFP-PDF_Avg_Original'!$AF$34,'MFP-PDF_Avg_Original'!$AF$36)</c:f>
              <c:numCache>
                <c:formatCode>General</c:formatCode>
                <c:ptCount val="5"/>
                <c:pt idx="0">
                  <c:v>0.98602842355479803</c:v>
                </c:pt>
                <c:pt idx="1">
                  <c:v>0.78633287605038305</c:v>
                </c:pt>
                <c:pt idx="2">
                  <c:v>0.98602842355479869</c:v>
                </c:pt>
                <c:pt idx="3">
                  <c:v>0.82855603900974906</c:v>
                </c:pt>
                <c:pt idx="4">
                  <c:v>0.86544945017475028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3A0-4FC8-8485-0DA25489C9F1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9.3845873432487625E-2"/>
                  <c:y val="9.8049462567179099E-2"/>
                </c:manualLayout>
              </c:layout>
              <c:tx>
                <c:rich>
                  <a:bodyPr/>
                  <a:lstStyle/>
                  <a:p>
                    <a:fld id="{4E0BA487-CCDC-4FE7-BE25-673E4F54B5AB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328813065033539"/>
                      <c:h val="9.793182102237219E-2"/>
                    </c:manualLayout>
                  </c15:layout>
                  <c15:dlblFieldTable>
                    <c15:dlblFTEntry>
                      <c15:txfldGUID>{4E0BA487-CCDC-4FE7-BE25-673E4F54B5AB}</c15:txfldGUID>
                      <c15:f>'MFP-PDF_Avg_Original'!$A$37</c15:f>
                      <c15:dlblFieldTableCache>
                        <c:ptCount val="1"/>
                        <c:pt idx="0">
                          <c:v>0.63NaCl-0.37UCl3 (ORNL)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E3A0-4FC8-8485-0DA25489C9F1}"/>
                </c:ext>
              </c:extLst>
            </c:dLbl>
            <c:dLbl>
              <c:idx val="1"/>
              <c:layout>
                <c:manualLayout>
                  <c:x val="3.2551855497229512E-2"/>
                  <c:y val="1.568788276465442E-2"/>
                </c:manualLayout>
              </c:layout>
              <c:tx>
                <c:rich>
                  <a:bodyPr/>
                  <a:lstStyle/>
                  <a:p>
                    <a:fld id="{F48043BA-4F93-455A-BDFD-BB5447868CFE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54159375911344"/>
                      <c:h val="9.793182102237219E-2"/>
                    </c:manualLayout>
                  </c15:layout>
                  <c15:dlblFieldTable>
                    <c15:dlblFTEntry>
                      <c15:txfldGUID>{F48043BA-4F93-455A-BDFD-BB5447868CFE}</c15:txfldGUID>
                      <c15:f>'MFP-PDF_Avg_Original'!$A$38</c15:f>
                      <c15:dlblFieldTableCache>
                        <c:ptCount val="1"/>
                        <c:pt idx="0">
                          <c:v>0.658NaCl-0.342UCl3 (ANL)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E3A0-4FC8-8485-0DA25489C9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'MFP-PDF_Avg_Original'!$AJ$37:$AJ$38</c:f>
              <c:numCache>
                <c:formatCode>0.000000</c:formatCode>
                <c:ptCount val="2"/>
                <c:pt idx="0">
                  <c:v>0.27030115340192401</c:v>
                </c:pt>
                <c:pt idx="1">
                  <c:v>0.281343372768316</c:v>
                </c:pt>
              </c:numCache>
            </c:numRef>
          </c:xVal>
          <c:yVal>
            <c:numRef>
              <c:f>'MFP-PDF_Avg_Original'!$AF$37:$AF$38</c:f>
              <c:numCache>
                <c:formatCode>General</c:formatCode>
                <c:ptCount val="2"/>
                <c:pt idx="0">
                  <c:v>0.239262577144952</c:v>
                </c:pt>
                <c:pt idx="1">
                  <c:v>0.27567442291687039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3A0-4FC8-8485-0DA25489C9F1}"/>
            </c:ext>
          </c:extLst>
        </c:ser>
        <c:ser>
          <c:idx val="7"/>
          <c:order val="5"/>
          <c:tx>
            <c:v>Fluoride Actinides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3A0-4FC8-8485-0DA25489C9F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3A0-4FC8-8485-0DA25489C9F1}"/>
                </c:ext>
              </c:extLst>
            </c:dLbl>
            <c:dLbl>
              <c:idx val="4"/>
              <c:layout>
                <c:manualLayout>
                  <c:x val="-0.16839292566607783"/>
                  <c:y val="-8.5716626761600315E-2"/>
                </c:manualLayout>
              </c:layout>
              <c:tx>
                <c:rich>
                  <a:bodyPr/>
                  <a:lstStyle/>
                  <a:p>
                    <a:fld id="{1F7953C2-9264-422F-858E-ED5CD7486415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{1F7953C2-9264-422F-858E-ED5CD7486415}</c15:txfldGUID>
                      <c15:f>'MFP-PDF_Avg_Original'!$A$39</c15:f>
                      <c15:dlblFieldTableCache>
                        <c:ptCount val="1"/>
                        <c:pt idx="0">
                          <c:v>(NaF-KF)-.3UF4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E3A0-4FC8-8485-0DA25489C9F1}"/>
                </c:ext>
              </c:extLst>
            </c:dLbl>
            <c:dLbl>
              <c:idx val="5"/>
              <c:layout>
                <c:manualLayout>
                  <c:x val="-0.16237889260657506"/>
                  <c:y val="-3.8763597025245865E-2"/>
                </c:manualLayout>
              </c:layout>
              <c:tx>
                <c:rich>
                  <a:bodyPr/>
                  <a:lstStyle/>
                  <a:p>
                    <a:fld id="{0313467D-F257-4864-873F-97E226AB7455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{0313467D-F257-4864-873F-97E226AB7455}</c15:txfldGUID>
                      <c15:f>'MFP-PDF_Avg_Original'!$A$40</c15:f>
                      <c15:dlblFieldTableCache>
                        <c:ptCount val="1"/>
                        <c:pt idx="0">
                          <c:v>(NaF-KF)-.4UF4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E3A0-4FC8-8485-0DA25489C9F1}"/>
                </c:ext>
              </c:extLst>
            </c:dLbl>
            <c:dLbl>
              <c:idx val="6"/>
              <c:layout>
                <c:manualLayout>
                  <c:x val="-0.16638824797957691"/>
                  <c:y val="4.2786354251166996E-2"/>
                </c:manualLayout>
              </c:layout>
              <c:tx>
                <c:rich>
                  <a:bodyPr/>
                  <a:lstStyle/>
                  <a:p>
                    <a:fld id="{737A964D-AFE4-41A3-AABE-3DCDE04524DB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{737A964D-AFE4-41A3-AABE-3DCDE04524DB}</c15:txfldGUID>
                      <c15:f>'MFP-PDF_Avg_Original'!$A$41</c15:f>
                      <c15:dlblFieldTableCache>
                        <c:ptCount val="1"/>
                        <c:pt idx="0">
                          <c:v>(NaF-KF)-.5UF4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E3A0-4FC8-8485-0DA25489C9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('MFP-PDF_Avg_Original'!$AJ$27:$AJ$28,'MFP-PDF_Avg_Original'!$AJ$30:$AJ$31,'MFP-PDF_Avg_Original'!$AJ$39:$AJ$41)</c:f>
              <c:numCache>
                <c:formatCode>0.000000</c:formatCode>
                <c:ptCount val="7"/>
              </c:numCache>
            </c:numRef>
          </c:xVal>
          <c:yVal>
            <c:numRef>
              <c:f>('MFP-PDF_Avg_Original'!$AF$27:$AF$28,'MFP-PDF_Avg_Original'!$AF$30:$AF$31,'MFP-PDF_Avg_Original'!$AF$39:$AF$41)</c:f>
              <c:numCache>
                <c:formatCode>General</c:formatCode>
                <c:ptCount val="7"/>
                <c:pt idx="0">
                  <c:v>1.1599999999999999</c:v>
                </c:pt>
                <c:pt idx="1">
                  <c:v>1.24</c:v>
                </c:pt>
                <c:pt idx="2">
                  <c:v>0.89056771657477962</c:v>
                </c:pt>
                <c:pt idx="3">
                  <c:v>0.80397278022492213</c:v>
                </c:pt>
                <c:pt idx="4">
                  <c:v>0.49395061728395051</c:v>
                </c:pt>
                <c:pt idx="5">
                  <c:v>0.45693693693693682</c:v>
                </c:pt>
                <c:pt idx="6">
                  <c:v>0.43928571428571439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E3A0-4FC8-8485-0DA25489C9F1}"/>
            </c:ext>
          </c:extLst>
        </c:ser>
        <c:ser>
          <c:idx val="8"/>
          <c:order val="6"/>
          <c:tx>
            <c:v>Pure Nitrates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'MFP-PDF_Avg_Original'!$AJ$18:$AJ$19</c:f>
              <c:numCache>
                <c:formatCode>0.000000</c:formatCode>
                <c:ptCount val="2"/>
              </c:numCache>
            </c:numRef>
          </c:xVal>
          <c:yVal>
            <c:numRef>
              <c:f>'MFP-PDF_Avg_Original'!$AF$18:$AF$19</c:f>
              <c:numCache>
                <c:formatCode>General</c:formatCode>
                <c:ptCount val="2"/>
                <c:pt idx="0">
                  <c:v>0.59593560000000001</c:v>
                </c:pt>
                <c:pt idx="1">
                  <c:v>0.14599400000000001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E3A0-4FC8-8485-0DA25489C9F1}"/>
            </c:ext>
          </c:extLst>
        </c:ser>
        <c:ser>
          <c:idx val="2"/>
          <c:order val="7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'MFP-PDF_Avg_Original'!$AJ$42</c:f>
              <c:numCache>
                <c:formatCode>0.000000</c:formatCode>
                <c:ptCount val="1"/>
                <c:pt idx="0">
                  <c:v>0.53393579634110244</c:v>
                </c:pt>
              </c:numCache>
            </c:numRef>
          </c:xVal>
          <c:yVal>
            <c:numRef>
              <c:f>'MFP-PDF_Avg_Original'!$AF$42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E3A0-4FC8-8485-0DA25489C9F1}"/>
            </c:ext>
          </c:extLst>
        </c:ser>
        <c:ser>
          <c:idx val="3"/>
          <c:order val="8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3-E3A0-4FC8-8485-0DA25489C9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_predicted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ayout>
        <c:manualLayout>
          <c:xMode val="edge"/>
          <c:yMode val="edge"/>
          <c:x val="0.67247134733158342"/>
          <c:y val="0.16517622797150353"/>
          <c:w val="0.32205682200056962"/>
          <c:h val="0.583858091220240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15782055020897"/>
          <c:y val="4.3650793650793648E-2"/>
          <c:w val="0.52816515991056678"/>
          <c:h val="0.82379640044994373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('MFP-PDF_Avg_Original'!$BK$8,'MFP-PDF_Avg_Original'!$BK$9,'MFP-PDF_Avg_Original'!$BK$10,'MFP-PDF_Avg_Original'!$BK$15)</c:f>
              <c:numCache>
                <c:formatCode>General</c:formatCode>
                <c:ptCount val="4"/>
                <c:pt idx="0">
                  <c:v>0</c:v>
                </c:pt>
                <c:pt idx="1">
                  <c:v>93.522926884126292</c:v>
                </c:pt>
                <c:pt idx="2">
                  <c:v>0</c:v>
                </c:pt>
                <c:pt idx="3">
                  <c:v>0</c:v>
                </c:pt>
              </c:numCache>
            </c:numRef>
          </c:xVal>
          <c:yVal>
            <c:numRef>
              <c:f>('MFP-PDF_Avg_Original'!$BF$8,'MFP-PDF_Avg_Original'!$BF$9,'MFP-PDF_Avg_Original'!$BF$10,'MFP-PDF_Avg_Original'!$BF$15)</c:f>
              <c:numCache>
                <c:formatCode>#,##0.00</c:formatCode>
                <c:ptCount val="4"/>
                <c:pt idx="0">
                  <c:v>65.02</c:v>
                </c:pt>
                <c:pt idx="1">
                  <c:v>69.62</c:v>
                </c:pt>
                <c:pt idx="2">
                  <c:v>73.599999999999994</c:v>
                </c:pt>
                <c:pt idx="3" formatCode="General">
                  <c:v>92.048000000000002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DA-484F-89D6-6A31920FCAAB}"/>
            </c:ext>
          </c:extLst>
        </c:ser>
        <c:ser>
          <c:idx val="0"/>
          <c:order val="1"/>
          <c:tx>
            <c:v>Pure Fluorides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('MFP-PDF_Avg_Original'!$BK$3:$BK$5,'MFP-PDF_Avg_Original'!$BK$11:$BK$14)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xVal>
          <c:yVal>
            <c:numRef>
              <c:f>('MFP-PDF_Avg_Original'!$BF$3:$BF$5,'MFP-PDF_Avg_Original'!$BF$11,'MFP-PDF_Avg_Original'!$BF$12,'MFP-PDF_Avg_Original'!$BF$13,'MFP-PDF_Avg_Original'!$BF$14)</c:f>
              <c:numCache>
                <c:formatCode>#,##0.00</c:formatCode>
                <c:ptCount val="7"/>
                <c:pt idx="0">
                  <c:v>64.2</c:v>
                </c:pt>
                <c:pt idx="1">
                  <c:v>70.2</c:v>
                </c:pt>
                <c:pt idx="2">
                  <c:v>66.900000000000006</c:v>
                </c:pt>
                <c:pt idx="3">
                  <c:v>87.9</c:v>
                </c:pt>
                <c:pt idx="4">
                  <c:v>94.9</c:v>
                </c:pt>
                <c:pt idx="5" formatCode="General">
                  <c:v>99.914000000000001</c:v>
                </c:pt>
                <c:pt idx="6">
                  <c:v>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DA-484F-89D6-6A31920FCAAB}"/>
            </c:ext>
          </c:extLst>
        </c:ser>
        <c:ser>
          <c:idx val="1"/>
          <c:order val="2"/>
          <c:tx>
            <c:v>Chloride Mixtures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('MFP-PDF_Avg_Original'!$BK$24,'MFP-PDF_Avg_Original'!$BK$32,'MFP-PDF_Avg_Original'!$BK$33,'MFP-PDF_Avg_Original'!$BK$35)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xVal>
          <c:yVal>
            <c:numRef>
              <c:f>('MFP-PDF_Avg_Original'!$BF$24,'MFP-PDF_Avg_Original'!$BF$32,'MFP-PDF_Avg_Original'!$BF$33,'MFP-PDF_Avg_Original'!$BF$35,'MFP-PDF_Avg_Original'!$BF$37,'MFP-PDF_Avg_Original'!$BF$37)</c:f>
              <c:numCache>
                <c:formatCode>General</c:formatCode>
                <c:ptCount val="6"/>
                <c:pt idx="0">
                  <c:v>79.503360000000001</c:v>
                </c:pt>
                <c:pt idx="1">
                  <c:v>86.14464000000001</c:v>
                </c:pt>
                <c:pt idx="2">
                  <c:v>74.557488799999987</c:v>
                </c:pt>
                <c:pt idx="3">
                  <c:v>68.606440000000006</c:v>
                </c:pt>
                <c:pt idx="4">
                  <c:v>99.360600000000005</c:v>
                </c:pt>
                <c:pt idx="5">
                  <c:v>99.360600000000005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DDA-484F-89D6-6A31920FCAAB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('MFP-PDF_Avg_Original'!$BK$25:$BK$26,'MFP-PDF_Avg_Original'!$BK$29,'MFP-PDF_Avg_Original'!$BK$34,'MFP-PDF_Avg_Original'!$BK$36)</c:f>
              <c:numCache>
                <c:formatCode>General</c:formatCode>
                <c:ptCount val="5"/>
                <c:pt idx="0">
                  <c:v>75.05681748311369</c:v>
                </c:pt>
                <c:pt idx="1">
                  <c:v>86.072369241557439</c:v>
                </c:pt>
                <c:pt idx="2">
                  <c:v>0</c:v>
                </c:pt>
                <c:pt idx="3">
                  <c:v>0</c:v>
                </c:pt>
                <c:pt idx="4">
                  <c:v>76.325939472979911</c:v>
                </c:pt>
              </c:numCache>
            </c:numRef>
          </c:xVal>
          <c:yVal>
            <c:numRef>
              <c:f>('MFP-PDF_Avg_Original'!$BF$25:$BF$26,'MFP-PDF_Avg_Original'!$BF$29,'MFP-PDF_Avg_Original'!$BF$34,'MFP-PDF_Avg_Original'!$BF$36)</c:f>
              <c:numCache>
                <c:formatCode>General</c:formatCode>
                <c:ptCount val="5"/>
                <c:pt idx="0">
                  <c:v>72.25800000000001</c:v>
                </c:pt>
                <c:pt idx="1">
                  <c:v>66.024000000000001</c:v>
                </c:pt>
                <c:pt idx="2">
                  <c:v>70.599000000000004</c:v>
                </c:pt>
                <c:pt idx="3">
                  <c:v>69.858500000000006</c:v>
                </c:pt>
                <c:pt idx="4">
                  <c:v>66.600000000000009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DDA-484F-89D6-6A31920FCAAB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'MFP-PDF_Avg_Original'!$BK$37:$BK$38</c:f>
              <c:numCache>
                <c:formatCode>General</c:formatCode>
                <c:ptCount val="2"/>
                <c:pt idx="0">
                  <c:v>87.951060968352863</c:v>
                </c:pt>
                <c:pt idx="1">
                  <c:v>95.153235418578163</c:v>
                </c:pt>
              </c:numCache>
            </c:numRef>
          </c:xVal>
          <c:yVal>
            <c:numRef>
              <c:f>'MFP-PDF_Avg_Original'!$BF$37:$BF$38</c:f>
              <c:numCache>
                <c:formatCode>General</c:formatCode>
                <c:ptCount val="2"/>
                <c:pt idx="0">
                  <c:v>99.360600000000005</c:v>
                </c:pt>
                <c:pt idx="1">
                  <c:v>97.109960000000001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DDA-484F-89D6-6A31920FCAAB}"/>
            </c:ext>
          </c:extLst>
        </c:ser>
        <c:ser>
          <c:idx val="7"/>
          <c:order val="5"/>
          <c:tx>
            <c:v>Fluoride Actinides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('MFP-PDF_Avg_Original'!$BK$27:$BK$28,'MFP-PDF_Avg_Original'!$BK$30:$BK$31,'MFP-PDF_Avg_Original'!$BK$39:$BK$41)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xVal>
          <c:yVal>
            <c:numRef>
              <c:f>('MFP-PDF_Avg_Original'!$BF$27:$BF$28,'MFP-PDF_Avg_Original'!$BF$30:$BF$31,'MFP-PDF_Avg_Original'!$BF$39:$BF$41)</c:f>
              <c:numCache>
                <c:formatCode>General</c:formatCode>
                <c:ptCount val="7"/>
                <c:pt idx="0">
                  <c:v>82.635000000000005</c:v>
                </c:pt>
                <c:pt idx="1">
                  <c:v>73.469400000000007</c:v>
                </c:pt>
                <c:pt idx="2">
                  <c:v>71.578500000000005</c:v>
                </c:pt>
                <c:pt idx="3">
                  <c:v>72.558000000000007</c:v>
                </c:pt>
                <c:pt idx="4">
                  <c:v>100.416</c:v>
                </c:pt>
                <c:pt idx="5">
                  <c:v>110.928</c:v>
                </c:pt>
                <c:pt idx="6">
                  <c:v>121.44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DDA-484F-89D6-6A31920FCAAB}"/>
            </c:ext>
          </c:extLst>
        </c:ser>
        <c:ser>
          <c:idx val="8"/>
          <c:order val="6"/>
          <c:tx>
            <c:v>Pure Nitrates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'MFP-PDF_Avg_Original'!$BK$18:$BK$19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'MFP-PDF_Avg_Original'!$BF$18:$BF$19</c:f>
              <c:numCache>
                <c:formatCode>General</c:formatCode>
                <c:ptCount val="2"/>
                <c:pt idx="0">
                  <c:v>155.6</c:v>
                </c:pt>
                <c:pt idx="1">
                  <c:v>141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DDA-484F-89D6-6A31920FCAAB}"/>
            </c:ext>
          </c:extLst>
        </c:ser>
        <c:ser>
          <c:idx val="2"/>
          <c:order val="7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'MFP-PDF_Avg_Original'!$BK$42</c:f>
              <c:numCache>
                <c:formatCode>General</c:formatCode>
                <c:ptCount val="1"/>
                <c:pt idx="0">
                  <c:v>79.200870759720317</c:v>
                </c:pt>
              </c:numCache>
            </c:numRef>
          </c:xVal>
          <c:yVal>
            <c:numRef>
              <c:f>'MFP-PDF_Avg_Original'!$BF$42</c:f>
              <c:numCache>
                <c:formatCode>#,##0.00</c:formatCode>
                <c:ptCount val="1"/>
                <c:pt idx="0">
                  <c:v>75.38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DDA-484F-89D6-6A31920FCAAB}"/>
            </c:ext>
          </c:extLst>
        </c:ser>
        <c:ser>
          <c:idx val="3"/>
          <c:order val="8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.000000000000001E-2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250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C-DDDA-484F-89D6-6A31920FCA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C_p,calc (phonon)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C_p,measured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ayout>
        <c:manualLayout>
          <c:xMode val="edge"/>
          <c:yMode val="edge"/>
          <c:x val="0.67928915135608048"/>
          <c:y val="0.19865860517435321"/>
          <c:w val="0.32071082567580395"/>
          <c:h val="0.593845798600688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00991542723829"/>
          <c:y val="4.3650793650793648E-2"/>
          <c:w val="0.51074058688893342"/>
          <c:h val="0.82379640044994373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'MFP-PDF_Avg_Original'!$AV$8:$AV$10</c:f>
              <c:numCache>
                <c:formatCode>0.00E+00</c:formatCode>
                <c:ptCount val="3"/>
                <c:pt idx="0">
                  <c:v>0</c:v>
                </c:pt>
                <c:pt idx="1">
                  <c:v>2342.3449748536814</c:v>
                </c:pt>
                <c:pt idx="2">
                  <c:v>0</c:v>
                </c:pt>
              </c:numCache>
            </c:numRef>
          </c:xVal>
          <c:yVal>
            <c:numRef>
              <c:f>'MFP-PDF_Avg_Original'!$AU$8:$AU$10</c:f>
              <c:numCache>
                <c:formatCode>0.00E+00</c:formatCode>
                <c:ptCount val="3"/>
                <c:pt idx="0">
                  <c:v>2042.3974499999999</c:v>
                </c:pt>
                <c:pt idx="1">
                  <c:v>1743.6799999999998</c:v>
                </c:pt>
                <c:pt idx="2">
                  <c:v>1597.1839999999997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5F-468D-9E52-16EA07DD7E67}"/>
            </c:ext>
          </c:extLst>
        </c:ser>
        <c:ser>
          <c:idx val="0"/>
          <c:order val="1"/>
          <c:tx>
            <c:v>Pure Fluorides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('MFP-PDF_Avg_Original'!$AV$11:$AV$14,'MFP-PDF_Avg_Original'!$AV$4:$AV$5)</c:f>
              <c:numCache>
                <c:formatCode>0.00E+00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xVal>
          <c:yVal>
            <c:numRef>
              <c:f>('MFP-PDF_Avg_Original'!$AU$4:$AU$5,'MFP-PDF_Avg_Original'!$AU$11:$AU$14)</c:f>
              <c:numCache>
                <c:formatCode>0.00E+00</c:formatCode>
                <c:ptCount val="6"/>
                <c:pt idx="0">
                  <c:v>2085.5</c:v>
                </c:pt>
                <c:pt idx="1">
                  <c:v>1816.4</c:v>
                </c:pt>
                <c:pt idx="2">
                  <c:v>2547.8000000000002</c:v>
                </c:pt>
                <c:pt idx="3">
                  <c:v>2175.6</c:v>
                </c:pt>
                <c:pt idx="4">
                  <c:v>1710.3</c:v>
                </c:pt>
                <c:pt idx="5">
                  <c:v>1398.6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5F-468D-9E52-16EA07DD7E67}"/>
            </c:ext>
          </c:extLst>
        </c:ser>
        <c:ser>
          <c:idx val="1"/>
          <c:order val="2"/>
          <c:tx>
            <c:v>Chloride Mixtures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'MFP-PDF_Avg_Original'!$AV$32:$AV$33</c:f>
              <c:numCache>
                <c:formatCode>0.00E+00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'MFP-PDF_Avg_Original'!$AU$32:$AU$33</c:f>
              <c:numCache>
                <c:formatCode>0.00E+00</c:formatCode>
                <c:ptCount val="2"/>
                <c:pt idx="0">
                  <c:v>2039.5014589190009</c:v>
                </c:pt>
                <c:pt idx="1">
                  <c:v>2024.776905844504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B5F-468D-9E52-16EA07DD7E67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'MFP-PDF_Avg_Original'!$AV$25:$AV$26</c:f>
              <c:numCache>
                <c:formatCode>0.00E+00</c:formatCode>
                <c:ptCount val="2"/>
                <c:pt idx="0">
                  <c:v>2646.3676175214719</c:v>
                </c:pt>
                <c:pt idx="1">
                  <c:v>2623.5603674883628</c:v>
                </c:pt>
              </c:numCache>
            </c:numRef>
          </c:xVal>
          <c:yVal>
            <c:numRef>
              <c:f>'MFP-PDF_Avg_Original'!$AU$25:$AU$26</c:f>
              <c:numCache>
                <c:formatCode>0.00E+00</c:formatCode>
                <c:ptCount val="2"/>
                <c:pt idx="0">
                  <c:v>2547.6863757231322</c:v>
                </c:pt>
                <c:pt idx="1">
                  <c:v>2012.468707779205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B5F-468D-9E52-16EA07DD7E67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B5F-468D-9E52-16EA07DD7E6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B5F-468D-9E52-16EA07DD7E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'MFP-PDF_Avg_Original'!$AV$37:$AV$38</c:f>
              <c:numCache>
                <c:formatCode>0.00E+00</c:formatCode>
                <c:ptCount val="2"/>
                <c:pt idx="0">
                  <c:v>1285.045635281379</c:v>
                </c:pt>
                <c:pt idx="1">
                  <c:v>1440.8265020258657</c:v>
                </c:pt>
              </c:numCache>
            </c:numRef>
          </c:xVal>
          <c:yVal>
            <c:numRef>
              <c:f>'MFP-PDF_Avg_Original'!$AU$37:$AU$38</c:f>
              <c:numCache>
                <c:formatCode>0.00E+00</c:formatCode>
                <c:ptCount val="2"/>
                <c:pt idx="0">
                  <c:v>1451.7494609289899</c:v>
                </c:pt>
                <c:pt idx="1">
                  <c:v>1470.4555590061771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B5F-468D-9E52-16EA07DD7E67}"/>
            </c:ext>
          </c:extLst>
        </c:ser>
        <c:ser>
          <c:idx val="7"/>
          <c:order val="5"/>
          <c:tx>
            <c:v>Fluoride Actinides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B5F-468D-9E52-16EA07DD7E6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B5F-468D-9E52-16EA07DD7E6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B5F-468D-9E52-16EA07DD7E6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B5F-468D-9E52-16EA07DD7E67}"/>
                </c:ext>
              </c:extLst>
            </c:dLbl>
            <c:dLbl>
              <c:idx val="4"/>
              <c:layout>
                <c:manualLayout>
                  <c:x val="6.3760242389898511E-2"/>
                  <c:y val="2.5394638170228721E-2"/>
                </c:manualLayout>
              </c:layout>
              <c:tx>
                <c:rich>
                  <a:bodyPr/>
                  <a:lstStyle/>
                  <a:p>
                    <a:fld id="{1F7953C2-9264-422F-858E-ED5CD7486415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{1F7953C2-9264-422F-858E-ED5CD7486415}</c15:txfldGUID>
                      <c15:f>'MFP-PDF_Avg_Original'!$A$39</c15:f>
                      <c15:dlblFieldTableCache>
                        <c:ptCount val="1"/>
                        <c:pt idx="0">
                          <c:v>(NaF-KF)-.3UF4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8B5F-468D-9E52-16EA07DD7E67}"/>
                </c:ext>
              </c:extLst>
            </c:dLbl>
            <c:dLbl>
              <c:idx val="5"/>
              <c:layout>
                <c:manualLayout>
                  <c:x val="3.0308242810333601E-2"/>
                  <c:y val="5.6474503187101614E-2"/>
                </c:manualLayout>
              </c:layout>
              <c:tx>
                <c:rich>
                  <a:bodyPr/>
                  <a:lstStyle/>
                  <a:p>
                    <a:fld id="{0313467D-F257-4864-873F-97E226AB7455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{0313467D-F257-4864-873F-97E226AB7455}</c15:txfldGUID>
                      <c15:f>'MFP-PDF_Avg_Original'!$A$40</c15:f>
                      <c15:dlblFieldTableCache>
                        <c:ptCount val="1"/>
                        <c:pt idx="0">
                          <c:v>(NaF-KF)-.4UF4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8B5F-468D-9E52-16EA07DD7E67}"/>
                </c:ext>
              </c:extLst>
            </c:dLbl>
            <c:dLbl>
              <c:idx val="6"/>
              <c:layout>
                <c:manualLayout>
                  <c:x val="-4.1025495724816174E-2"/>
                  <c:y val="0.11421478565179352"/>
                </c:manualLayout>
              </c:layout>
              <c:tx>
                <c:rich>
                  <a:bodyPr/>
                  <a:lstStyle/>
                  <a:p>
                    <a:fld id="{737A964D-AFE4-41A3-AABE-3DCDE04524DB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{737A964D-AFE4-41A3-AABE-3DCDE04524DB}</c15:txfldGUID>
                      <c15:f>'MFP-PDF_Avg_Original'!$A$41</c15:f>
                      <c15:dlblFieldTableCache>
                        <c:ptCount val="1"/>
                        <c:pt idx="0">
                          <c:v>(NaF-KF)-.5UF4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8B5F-468D-9E52-16EA07DD7E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('MFP-PDF_Avg_Original'!$AV$27:$AV$28,'MFP-PDF_Avg_Original'!$AV$30:$AV$31,'MFP-PDF_Avg_Original'!$AV$39:$AV$41)</c:f>
              <c:numCache>
                <c:formatCode>0.00E+00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xVal>
          <c:yVal>
            <c:numRef>
              <c:f>('MFP-PDF_Avg_Original'!$AU$27:$AU$28,'MFP-PDF_Avg_Original'!$AU$30:$AU$31,'MFP-PDF_Avg_Original'!$AU$39:$AU$41)</c:f>
              <c:numCache>
                <c:formatCode>0.00E+00</c:formatCode>
                <c:ptCount val="7"/>
                <c:pt idx="0">
                  <c:v>1781.433208193873</c:v>
                </c:pt>
                <c:pt idx="1">
                  <c:v>2319.1206460873409</c:v>
                </c:pt>
                <c:pt idx="2">
                  <c:v>2441.8705732183512</c:v>
                </c:pt>
                <c:pt idx="3">
                  <c:v>2348.7520215904742</c:v>
                </c:pt>
                <c:pt idx="4" formatCode="General">
                  <c:v>1348.6175138087231</c:v>
                </c:pt>
                <c:pt idx="5" formatCode="General">
                  <c:v>1272.126022947567</c:v>
                </c:pt>
                <c:pt idx="6" formatCode="General">
                  <c:v>1215.1718333840431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8B5F-468D-9E52-16EA07DD7E67}"/>
            </c:ext>
          </c:extLst>
        </c:ser>
        <c:ser>
          <c:idx val="8"/>
          <c:order val="6"/>
          <c:tx>
            <c:v>Pure Nitrates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'MFP-PDF_Avg_Original'!$AV$18:$AV$19</c:f>
              <c:numCache>
                <c:formatCode>0.00E+00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'MFP-PDF_Avg_Original'!$AU$18:$AU$19</c:f>
              <c:numCache>
                <c:formatCode>0.00E+00</c:formatCode>
                <c:ptCount val="2"/>
                <c:pt idx="0">
                  <c:v>1816.9499999999998</c:v>
                </c:pt>
                <c:pt idx="1">
                  <c:v>1766.56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8B5F-468D-9E52-16EA07DD7E67}"/>
            </c:ext>
          </c:extLst>
        </c:ser>
        <c:ser>
          <c:idx val="2"/>
          <c:order val="7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'MFP-PDF_Avg_Original'!$AV$42</c:f>
              <c:numCache>
                <c:formatCode>0.00E+00</c:formatCode>
                <c:ptCount val="1"/>
                <c:pt idx="0">
                  <c:v>1474.1154374620271</c:v>
                </c:pt>
              </c:numCache>
            </c:numRef>
          </c:xVal>
          <c:yVal>
            <c:numRef>
              <c:f>'MFP-PDF_Avg_Original'!$AU$42</c:f>
              <c:numCache>
                <c:formatCode>0.00E+00</c:formatCode>
                <c:ptCount val="1"/>
                <c:pt idx="0">
                  <c:v>1403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8B5F-468D-9E52-16EA07DD7E67}"/>
            </c:ext>
          </c:extLst>
        </c:ser>
        <c:ser>
          <c:idx val="3"/>
          <c:order val="8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6000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6000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5-8B5F-468D-9E52-16EA07DD7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vs_calc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v_sound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Unary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'MFP-PDF_Avg_Original'!$V$3:$V$23</c:f>
              <c:numCache>
                <c:formatCode>0.00E+00</c:formatCode>
                <c:ptCount val="21"/>
                <c:pt idx="0">
                  <c:v>1810000</c:v>
                </c:pt>
                <c:pt idx="1">
                  <c:v>1950000</c:v>
                </c:pt>
                <c:pt idx="2">
                  <c:v>1910000</c:v>
                </c:pt>
                <c:pt idx="3">
                  <c:v>2926224.0896358541</c:v>
                </c:pt>
                <c:pt idx="4">
                  <c:v>2196977.25</c:v>
                </c:pt>
                <c:pt idx="5">
                  <c:v>1499000</c:v>
                </c:pt>
                <c:pt idx="6">
                  <c:v>1560000</c:v>
                </c:pt>
                <c:pt idx="7">
                  <c:v>1530000</c:v>
                </c:pt>
                <c:pt idx="8">
                  <c:v>1960000</c:v>
                </c:pt>
                <c:pt idx="9">
                  <c:v>2436079.2000000002</c:v>
                </c:pt>
                <c:pt idx="10">
                  <c:v>2518428</c:v>
                </c:pt>
                <c:pt idx="11">
                  <c:v>3468754</c:v>
                </c:pt>
                <c:pt idx="12">
                  <c:v>1684844</c:v>
                </c:pt>
                <c:pt idx="13">
                  <c:v>2087964.9999999995</c:v>
                </c:pt>
                <c:pt idx="14">
                  <c:v>2727612</c:v>
                </c:pt>
                <c:pt idx="15">
                  <c:v>1886915.5249999999</c:v>
                </c:pt>
                <c:pt idx="16">
                  <c:v>1870200.65</c:v>
                </c:pt>
                <c:pt idx="17">
                  <c:v>3895070.0000000005</c:v>
                </c:pt>
                <c:pt idx="18">
                  <c:v>6120000</c:v>
                </c:pt>
                <c:pt idx="19">
                  <c:v>6470000</c:v>
                </c:pt>
                <c:pt idx="20">
                  <c:v>4580000</c:v>
                </c:pt>
              </c:numCache>
            </c:numRef>
          </c:xVal>
          <c:yVal>
            <c:numRef>
              <c:f>'MFP-PDF_Avg_Original'!$X$3:$X$23</c:f>
              <c:numCache>
                <c:formatCode>0.00E+00</c:formatCode>
                <c:ptCount val="21"/>
                <c:pt idx="0">
                  <c:v>2547.8000000000002</c:v>
                </c:pt>
                <c:pt idx="1">
                  <c:v>2085.5</c:v>
                </c:pt>
                <c:pt idx="2">
                  <c:v>1816.4</c:v>
                </c:pt>
                <c:pt idx="3">
                  <c:v>1760.4</c:v>
                </c:pt>
                <c:pt idx="4">
                  <c:v>1858.9699999999998</c:v>
                </c:pt>
                <c:pt idx="5">
                  <c:v>2042.3974499999999</c:v>
                </c:pt>
                <c:pt idx="6">
                  <c:v>1743.6799999999998</c:v>
                </c:pt>
                <c:pt idx="7">
                  <c:v>1597.1839999999997</c:v>
                </c:pt>
                <c:pt idx="8">
                  <c:v>2547.8000000000002</c:v>
                </c:pt>
                <c:pt idx="9">
                  <c:v>2175.6</c:v>
                </c:pt>
                <c:pt idx="10">
                  <c:v>1710.3</c:v>
                </c:pt>
                <c:pt idx="11">
                  <c:v>1398.6</c:v>
                </c:pt>
                <c:pt idx="12">
                  <c:v>2101</c:v>
                </c:pt>
                <c:pt idx="13">
                  <c:v>2065.0300000000002</c:v>
                </c:pt>
                <c:pt idx="14">
                  <c:v>1873.13</c:v>
                </c:pt>
                <c:pt idx="15">
                  <c:v>1816.9499999999998</c:v>
                </c:pt>
                <c:pt idx="16">
                  <c:v>1766.56</c:v>
                </c:pt>
                <c:pt idx="17">
                  <c:v>1700</c:v>
                </c:pt>
                <c:pt idx="18">
                  <c:v>1362</c:v>
                </c:pt>
                <c:pt idx="19">
                  <c:v>1062</c:v>
                </c:pt>
                <c:pt idx="20">
                  <c:v>1248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D4-4E8A-9627-A4B4660F2AFA}"/>
            </c:ext>
          </c:extLst>
        </c:ser>
        <c:ser>
          <c:idx val="1"/>
          <c:order val="1"/>
          <c:tx>
            <c:v>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'MFP-PDF_Avg_Original'!$V$24:$V$42</c:f>
              <c:numCache>
                <c:formatCode>0.00E+00</c:formatCode>
                <c:ptCount val="19"/>
                <c:pt idx="0">
                  <c:v>1741629.2032000001</c:v>
                </c:pt>
                <c:pt idx="1">
                  <c:v>1986063.3540000001</c:v>
                </c:pt>
                <c:pt idx="2">
                  <c:v>2102415.4449999998</c:v>
                </c:pt>
                <c:pt idx="3">
                  <c:v>2609440.5150000001</c:v>
                </c:pt>
                <c:pt idx="4">
                  <c:v>2163027.5660000001</c:v>
                </c:pt>
                <c:pt idx="5">
                  <c:v>1989043.9480000001</c:v>
                </c:pt>
                <c:pt idx="6">
                  <c:v>2039490.53</c:v>
                </c:pt>
                <c:pt idx="7">
                  <c:v>2089937.112</c:v>
                </c:pt>
                <c:pt idx="8">
                  <c:v>1755710.5584</c:v>
                </c:pt>
                <c:pt idx="9">
                  <c:v>1761444.9958345001</c:v>
                </c:pt>
                <c:pt idx="10">
                  <c:v>2110100.6</c:v>
                </c:pt>
                <c:pt idx="11">
                  <c:v>1676175.3472</c:v>
                </c:pt>
                <c:pt idx="12">
                  <c:v>2014141.42</c:v>
                </c:pt>
                <c:pt idx="13">
                  <c:v>2996639.6639999989</c:v>
                </c:pt>
                <c:pt idx="14">
                  <c:v>2899543.8624</c:v>
                </c:pt>
                <c:pt idx="15" formatCode="General">
                  <c:v>3498633.56</c:v>
                </c:pt>
                <c:pt idx="16" formatCode="General">
                  <c:v>3957693.64</c:v>
                </c:pt>
                <c:pt idx="17" formatCode="General">
                  <c:v>4426131.4000000004</c:v>
                </c:pt>
                <c:pt idx="18">
                  <c:v>999840</c:v>
                </c:pt>
              </c:numCache>
            </c:numRef>
          </c:xVal>
          <c:yVal>
            <c:numRef>
              <c:f>'MFP-PDF_Avg_Original'!$X$24:$X$42</c:f>
              <c:numCache>
                <c:formatCode>0.00E+00</c:formatCode>
                <c:ptCount val="19"/>
                <c:pt idx="0">
                  <c:v>1968.0306331357569</c:v>
                </c:pt>
                <c:pt idx="1">
                  <c:v>2547.6863757231322</c:v>
                </c:pt>
                <c:pt idx="2">
                  <c:v>2012.468707779205</c:v>
                </c:pt>
                <c:pt idx="3">
                  <c:v>1781.433208193873</c:v>
                </c:pt>
                <c:pt idx="4">
                  <c:v>2319.1206460873409</c:v>
                </c:pt>
                <c:pt idx="5">
                  <c:v>2547.687552638462</c:v>
                </c:pt>
                <c:pt idx="6">
                  <c:v>2441.8705732183512</c:v>
                </c:pt>
                <c:pt idx="7">
                  <c:v>2348.7520215904742</c:v>
                </c:pt>
                <c:pt idx="8">
                  <c:v>2039.5014589190009</c:v>
                </c:pt>
                <c:pt idx="9">
                  <c:v>2024.776905844504</c:v>
                </c:pt>
                <c:pt idx="10">
                  <c:v>1885.1934295243609</c:v>
                </c:pt>
                <c:pt idx="11">
                  <c:v>2084.8843456983841</c:v>
                </c:pt>
                <c:pt idx="12">
                  <c:v>2298.228366828082</c:v>
                </c:pt>
                <c:pt idx="13">
                  <c:v>1451.7494609289899</c:v>
                </c:pt>
                <c:pt idx="14">
                  <c:v>1470.4555590061771</c:v>
                </c:pt>
                <c:pt idx="15">
                  <c:v>1348.6175138087231</c:v>
                </c:pt>
                <c:pt idx="16">
                  <c:v>1272.126022947567</c:v>
                </c:pt>
                <c:pt idx="17">
                  <c:v>1215.1718333840431</c:v>
                </c:pt>
                <c:pt idx="18">
                  <c:v>1403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D4-4E8A-9627-A4B4660F2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2366495"/>
        <c:axId val="1418500799"/>
      </c:scatterChart>
      <c:valAx>
        <c:axId val="582366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500799"/>
        <c:crosses val="autoZero"/>
        <c:crossBetween val="midCat"/>
      </c:valAx>
      <c:valAx>
        <c:axId val="141850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366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Pure Salts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663695203635465"/>
                  <c:y val="-0.15127041411490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'MFP-PDF_All (3)'!$AN$4</c:f>
              <c:numCache>
                <c:formatCode>General</c:formatCode>
                <c:ptCount val="1"/>
                <c:pt idx="0">
                  <c:v>4.3524260570898789E-10</c:v>
                </c:pt>
              </c:numCache>
            </c:numRef>
          </c:xVal>
          <c:yVal>
            <c:numRef>
              <c:f>'MFP-PDF_All (3)'!$AC$4</c:f>
              <c:numCache>
                <c:formatCode>General</c:formatCode>
                <c:ptCount val="1"/>
                <c:pt idx="0">
                  <c:v>0.47705461868503202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62-48BF-A1C1-099C2E029736}"/>
            </c:ext>
          </c:extLst>
        </c:ser>
        <c:ser>
          <c:idx val="1"/>
          <c:order val="1"/>
          <c:tx>
            <c:v>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'MFP-PDF_All (3)'!$AN$16:$AN$20</c:f>
              <c:numCache>
                <c:formatCode>General</c:formatCode>
                <c:ptCount val="5"/>
                <c:pt idx="0">
                  <c:v>1.6068580151669531E-10</c:v>
                </c:pt>
                <c:pt idx="1">
                  <c:v>2.4214980323905345E-10</c:v>
                </c:pt>
                <c:pt idx="2">
                  <c:v>2.3780583138410686E-10</c:v>
                </c:pt>
                <c:pt idx="3">
                  <c:v>2.4552541454050528E-10</c:v>
                </c:pt>
                <c:pt idx="4">
                  <c:v>2.7178742571129298E-10</c:v>
                </c:pt>
              </c:numCache>
            </c:numRef>
          </c:xVal>
          <c:yVal>
            <c:numRef>
              <c:f>'MFP-PDF_All (3)'!$AC$16:$AC$20</c:f>
              <c:numCache>
                <c:formatCode>General</c:formatCode>
                <c:ptCount val="5"/>
                <c:pt idx="0">
                  <c:v>0.98602842355479803</c:v>
                </c:pt>
                <c:pt idx="1">
                  <c:v>0.78633287605038305</c:v>
                </c:pt>
                <c:pt idx="2">
                  <c:v>0.86544945017474995</c:v>
                </c:pt>
                <c:pt idx="3">
                  <c:v>0.239262577144952</c:v>
                </c:pt>
                <c:pt idx="4">
                  <c:v>0.27567442291687039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A62-48BF-A1C1-099C2E029736}"/>
            </c:ext>
          </c:extLst>
        </c:ser>
        <c:ser>
          <c:idx val="2"/>
          <c:order val="2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'MFP-PDF_All (3)'!$AN$21</c:f>
              <c:numCache>
                <c:formatCode>0.00E+00</c:formatCode>
                <c:ptCount val="1"/>
                <c:pt idx="0">
                  <c:v>2.8676430958411341E-10</c:v>
                </c:pt>
              </c:numCache>
            </c:numRef>
          </c:xVal>
          <c:yVal>
            <c:numRef>
              <c:f>'MFP-PDF_All (3)'!$AC$21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A62-48BF-A1C1-099C2E029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MFP_calc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baseline="0">
                    <a:effectLst/>
                  </a:rPr>
                  <a:t>λ</a:t>
                </a:r>
                <a:r>
                  <a:rPr lang="en-US" sz="1000" b="0" i="0" u="none" strike="noStrike" baseline="0">
                    <a:effectLst/>
                  </a:rPr>
                  <a:t>_measured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PDF-max_peak</a:t>
            </a:r>
          </a:p>
        </c:rich>
      </c:tx>
      <c:layout>
        <c:manualLayout>
          <c:xMode val="edge"/>
          <c:yMode val="edge"/>
          <c:x val="0.21481719390339363"/>
          <c:y val="3.33333333333333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66593759113446"/>
          <c:y val="5.9523809523809521E-2"/>
          <c:w val="0.56891659375911341"/>
          <c:h val="0.77617745698454343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'MFP-PDF_All (3)'!$AE$3:$AE$5</c:f>
              <c:numCache>
                <c:formatCode>0.000000</c:formatCode>
                <c:ptCount val="3"/>
                <c:pt idx="0">
                  <c:v>0.57774324348124695</c:v>
                </c:pt>
                <c:pt idx="1">
                  <c:v>0.54204679187053895</c:v>
                </c:pt>
                <c:pt idx="2">
                  <c:v>0.24535289248259401</c:v>
                </c:pt>
              </c:numCache>
            </c:numRef>
          </c:xVal>
          <c:yVal>
            <c:numRef>
              <c:f>'MFP-PDF_All (3)'!$AC$3:$AC$5</c:f>
              <c:numCache>
                <c:formatCode>General</c:formatCode>
                <c:ptCount val="3"/>
                <c:pt idx="0">
                  <c:v>0.62171538406412596</c:v>
                </c:pt>
                <c:pt idx="1">
                  <c:v>0.47705461868503202</c:v>
                </c:pt>
                <c:pt idx="2">
                  <c:v>0.36559719352224501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B2-465A-A40E-3FE3EC31AA44}"/>
            </c:ext>
          </c:extLst>
        </c:ser>
        <c:ser>
          <c:idx val="0"/>
          <c:order val="1"/>
          <c:tx>
            <c:v>Pure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'MFP-PDF_All (3)'!$AE$6</c:f>
              <c:numCache>
                <c:formatCode>0.000000</c:formatCode>
                <c:ptCount val="1"/>
                <c:pt idx="0">
                  <c:v>1.08340059983421</c:v>
                </c:pt>
              </c:numCache>
            </c:numRef>
          </c:xVal>
          <c:yVal>
            <c:numRef>
              <c:f>'MFP-PDF_All (3)'!$AC$6</c:f>
              <c:numCache>
                <c:formatCode>General</c:formatCode>
                <c:ptCount val="1"/>
                <c:pt idx="0">
                  <c:v>1.2682350574951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9B2-465A-A40E-3FE3EC31AA44}"/>
            </c:ext>
          </c:extLst>
        </c:ser>
        <c:ser>
          <c:idx val="5"/>
          <c:order val="2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'MFP-PDF_All (3)'!$AE$16:$AE$18</c:f>
              <c:numCache>
                <c:formatCode>0.000000</c:formatCode>
                <c:ptCount val="3"/>
                <c:pt idx="0">
                  <c:v>0.94926009679603196</c:v>
                </c:pt>
                <c:pt idx="1">
                  <c:v>1.00506308659067</c:v>
                </c:pt>
                <c:pt idx="2">
                  <c:v>0.75516834485926099</c:v>
                </c:pt>
              </c:numCache>
            </c:numRef>
          </c:xVal>
          <c:yVal>
            <c:numRef>
              <c:f>('MFP-PDF_All (3)'!$AC$16,'MFP-PDF_All (3)'!$AC$17,'MFP-PDF_All (3)'!$AC$18)</c:f>
              <c:numCache>
                <c:formatCode>General</c:formatCode>
                <c:ptCount val="3"/>
                <c:pt idx="0">
                  <c:v>0.98602842355479803</c:v>
                </c:pt>
                <c:pt idx="1">
                  <c:v>0.78633287605038305</c:v>
                </c:pt>
                <c:pt idx="2">
                  <c:v>0.86544945017474995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B2-465A-A40E-3FE3EC31AA44}"/>
            </c:ext>
          </c:extLst>
        </c:ser>
        <c:ser>
          <c:idx val="6"/>
          <c:order val="3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9.3845873432487625E-2"/>
                  <c:y val="9.8049462567179099E-2"/>
                </c:manualLayout>
              </c:layout>
              <c:tx>
                <c:rich>
                  <a:bodyPr/>
                  <a:lstStyle/>
                  <a:p>
                    <a:fld id="{4E0BA487-CCDC-4FE7-BE25-673E4F54B5AB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328813065033539"/>
                      <c:h val="9.793182102237219E-2"/>
                    </c:manualLayout>
                  </c15:layout>
                  <c15:dlblFieldTable>
                    <c15:dlblFTEntry>
                      <c15:txfldGUID>{4E0BA487-CCDC-4FE7-BE25-673E4F54B5AB}</c15:txfldGUID>
                      <c15:f>'MFP-PDF_All (3)'!$A$19</c15:f>
                      <c15:dlblFieldTableCache>
                        <c:ptCount val="1"/>
                        <c:pt idx="0">
                          <c:v>0.63NaCl-0.37UCl3 (ORNL)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39B2-465A-A40E-3FE3EC31AA44}"/>
                </c:ext>
              </c:extLst>
            </c:dLbl>
            <c:dLbl>
              <c:idx val="1"/>
              <c:layout>
                <c:manualLayout>
                  <c:x val="3.1089929548280139E-2"/>
                  <c:y val="1.568788276465432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48043BA-4F93-455A-BDFD-BB5447868CFE}" type="CELLREF">
                      <a:rPr lang="en-US"/>
                      <a:pPr>
                        <a:defRPr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342772942855827"/>
                      <c:h val="9.7931758530183724E-2"/>
                    </c:manualLayout>
                  </c15:layout>
                  <c15:dlblFieldTable>
                    <c15:dlblFTEntry>
                      <c15:txfldGUID>{F48043BA-4F93-455A-BDFD-BB5447868CFE}</c15:txfldGUID>
                      <c15:f>'MFP-PDF_All (3)'!$A$20</c15:f>
                      <c15:dlblFieldTableCache>
                        <c:ptCount val="1"/>
                        <c:pt idx="0">
                          <c:v>0.658NaCl-0.342UCl3 (ANL)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39B2-465A-A40E-3FE3EC31AA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'MFP-PDF_All (3)'!$AE$19:$AE$20</c:f>
              <c:numCache>
                <c:formatCode>0.000000</c:formatCode>
                <c:ptCount val="2"/>
                <c:pt idx="0">
                  <c:v>0.34729589008948702</c:v>
                </c:pt>
                <c:pt idx="1">
                  <c:v>0.36148346330236197</c:v>
                </c:pt>
              </c:numCache>
            </c:numRef>
          </c:xVal>
          <c:yVal>
            <c:numRef>
              <c:f>'MFP-PDF_All (3)'!$AC$19:$AC$20</c:f>
              <c:numCache>
                <c:formatCode>General</c:formatCode>
                <c:ptCount val="2"/>
                <c:pt idx="0">
                  <c:v>0.239262577144952</c:v>
                </c:pt>
                <c:pt idx="1">
                  <c:v>0.27567442291687039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9B2-465A-A40E-3FE3EC31AA44}"/>
            </c:ext>
          </c:extLst>
        </c:ser>
        <c:ser>
          <c:idx val="2"/>
          <c:order val="4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'MFP-PDF_All (3)'!$AE$21</c:f>
              <c:numCache>
                <c:formatCode>0.000000</c:formatCode>
                <c:ptCount val="1"/>
                <c:pt idx="0">
                  <c:v>0.53393579634110244</c:v>
                </c:pt>
              </c:numCache>
            </c:numRef>
          </c:xVal>
          <c:yVal>
            <c:numRef>
              <c:f>'MFP-PDF_All (3)'!$AC$21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9B2-465A-A40E-3FE3EC31AA44}"/>
            </c:ext>
          </c:extLst>
        </c:ser>
        <c:ser>
          <c:idx val="3"/>
          <c:order val="5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39B2-465A-A40E-3FE3EC31A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.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_predicted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  <c:majorUnit val="0.2"/>
      </c:valAx>
      <c:valAx>
        <c:axId val="689706896"/>
        <c:scaling>
          <c:orientation val="minMax"/>
          <c:max val="1.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0.67247133581986451"/>
          <c:y val="0.32258347914843982"/>
          <c:w val="0.30383133029423953"/>
          <c:h val="0.468753280839895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PDF-max_peak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686531130788982"/>
          <c:y val="4.3650793650793648E-2"/>
          <c:w val="0.47845754974039928"/>
          <c:h val="0.82379640044994373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'MFP-PDF_All (3)'!$BF$3:$BF$5</c:f>
              <c:numCache>
                <c:formatCode>General</c:formatCode>
                <c:ptCount val="3"/>
                <c:pt idx="0">
                  <c:v>2482629.0701172319</c:v>
                </c:pt>
                <c:pt idx="1">
                  <c:v>1998596.4570289541</c:v>
                </c:pt>
                <c:pt idx="2">
                  <c:v>2244884.666115839</c:v>
                </c:pt>
              </c:numCache>
            </c:numRef>
          </c:xVal>
          <c:yVal>
            <c:numRef>
              <c:f>'MFP-PDF_All (3)'!$BE$3:$BE$5</c:f>
              <c:numCache>
                <c:formatCode>0.00E+00</c:formatCode>
                <c:ptCount val="3"/>
                <c:pt idx="0">
                  <c:v>2299027.692598009</c:v>
                </c:pt>
                <c:pt idx="1">
                  <c:v>1849136.7861885792</c:v>
                </c:pt>
                <c:pt idx="2">
                  <c:v>1506961.5069615068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B3-487E-AE39-099A39FE8553}"/>
            </c:ext>
          </c:extLst>
        </c:ser>
        <c:ser>
          <c:idx val="0"/>
          <c:order val="1"/>
          <c:tx>
            <c:v>Pure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'MFP-PDF_All (3)'!$BH$6</c:f>
              <c:numCache>
                <c:formatCode>General</c:formatCode>
                <c:ptCount val="1"/>
                <c:pt idx="0">
                  <c:v>6334201.6553962827</c:v>
                </c:pt>
              </c:numCache>
            </c:numRef>
          </c:xVal>
          <c:yVal>
            <c:numRef>
              <c:f>'MFP-PDF_All (3)'!$BE$6</c:f>
              <c:numCache>
                <c:formatCode>0.00E+00</c:formatCode>
                <c:ptCount val="1"/>
                <c:pt idx="0">
                  <c:v>4521126.760563381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7B3-487E-AE39-099A39FE8553}"/>
            </c:ext>
          </c:extLst>
        </c:ser>
        <c:ser>
          <c:idx val="5"/>
          <c:order val="2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'MFP-PDF_All (3)'!$BF$16:$BF$18</c:f>
              <c:numCache>
                <c:formatCode>General</c:formatCode>
                <c:ptCount val="3"/>
                <c:pt idx="0">
                  <c:v>4952179.9556743838</c:v>
                </c:pt>
                <c:pt idx="1">
                  <c:v>3135021.6047421154</c:v>
                </c:pt>
                <c:pt idx="2">
                  <c:v>5459579.3921168344</c:v>
                </c:pt>
              </c:numCache>
            </c:numRef>
          </c:xVal>
          <c:yVal>
            <c:numRef>
              <c:f>'MFP-PDF_All (3)'!$BE$16:$BE$18</c:f>
              <c:numCache>
                <c:formatCode>0.00E+00</c:formatCode>
                <c:ptCount val="3"/>
                <c:pt idx="0">
                  <c:v>4323157.1595853949</c:v>
                </c:pt>
                <c:pt idx="1">
                  <c:v>3402318.9027080508</c:v>
                </c:pt>
                <c:pt idx="2">
                  <c:v>4192480.558023226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B3-487E-AE39-099A39FE8553}"/>
            </c:ext>
          </c:extLst>
        </c:ser>
        <c:ser>
          <c:idx val="6"/>
          <c:order val="3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'MFP-PDF_All (3)'!$BF$19:$BF$20</c:f>
              <c:numCache>
                <c:formatCode>General</c:formatCode>
                <c:ptCount val="2"/>
                <c:pt idx="0">
                  <c:v>1485564.9842257462</c:v>
                </c:pt>
                <c:pt idx="1">
                  <c:v>1639457.2728492573</c:v>
                </c:pt>
              </c:numCache>
            </c:numRef>
          </c:xVal>
          <c:yVal>
            <c:numRef>
              <c:f>'MFP-PDF_All (3)'!$BE$19:$BE$20</c:f>
              <c:numCache>
                <c:formatCode>0.00E+00</c:formatCode>
                <c:ptCount val="2"/>
                <c:pt idx="0">
                  <c:v>2156336.4385642763</c:v>
                </c:pt>
                <c:pt idx="1">
                  <c:v>2149770.3220167966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B3-487E-AE39-099A39FE8553}"/>
            </c:ext>
          </c:extLst>
        </c:ser>
        <c:ser>
          <c:idx val="2"/>
          <c:order val="4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'MFP-PDF_All (3)'!$BF$21</c:f>
              <c:numCache>
                <c:formatCode>General</c:formatCode>
                <c:ptCount val="1"/>
                <c:pt idx="0">
                  <c:v>4395164.8590299832</c:v>
                </c:pt>
              </c:numCache>
            </c:numRef>
          </c:xVal>
          <c:yVal>
            <c:numRef>
              <c:f>'MFP-PDF_All (3)'!$BE$21</c:f>
              <c:numCache>
                <c:formatCode>0.00E+00</c:formatCode>
                <c:ptCount val="1"/>
                <c:pt idx="0">
                  <c:v>4183129.8557158709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7B3-487E-AE39-099A39FE8553}"/>
            </c:ext>
          </c:extLst>
        </c:ser>
        <c:ser>
          <c:idx val="3"/>
          <c:order val="5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.000000000000001E-2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7000000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7000000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8-47B3-487E-AE39-099A39FE8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70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C_p,calc (phonon)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E+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  <c:majorUnit val="1000000"/>
      </c:valAx>
      <c:valAx>
        <c:axId val="689706896"/>
        <c:scaling>
          <c:orientation val="minMax"/>
          <c:max val="7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C_p,measured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635608048993876E-2"/>
              <c:y val="0.305791776027996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  <c:majorUnit val="700000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0.67928926647326981"/>
          <c:y val="0.38847331583552058"/>
          <c:w val="0.30383126034183811"/>
          <c:h val="0.468753280839895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PDF-max_peak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900991542723829"/>
          <c:y val="4.3650793650793648E-2"/>
          <c:w val="0.51074058688893342"/>
          <c:h val="0.80527777777777776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'MFP-PDF_All (3)'!$AV$3:$AV$5</c:f>
              <c:numCache>
                <c:formatCode>0.00E+00</c:formatCode>
                <c:ptCount val="3"/>
                <c:pt idx="0">
                  <c:v>2245.5514403920206</c:v>
                </c:pt>
                <c:pt idx="1">
                  <c:v>1916.9791387966968</c:v>
                </c:pt>
                <c:pt idx="2">
                  <c:v>2432.1338236700599</c:v>
                </c:pt>
              </c:numCache>
            </c:numRef>
          </c:xVal>
          <c:yVal>
            <c:numRef>
              <c:f>'MFP-PDF_All (3)'!$AS$3:$AS$5</c:f>
              <c:numCache>
                <c:formatCode>0.00E+00</c:formatCode>
                <c:ptCount val="3"/>
                <c:pt idx="0">
                  <c:v>2042.3974499999999</c:v>
                </c:pt>
                <c:pt idx="1">
                  <c:v>1743.6799999999998</c:v>
                </c:pt>
                <c:pt idx="2">
                  <c:v>1597.1839999999997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EB-4A77-BCE1-B7E8F5E5D5A3}"/>
            </c:ext>
          </c:extLst>
        </c:ser>
        <c:ser>
          <c:idx val="0"/>
          <c:order val="1"/>
          <c:tx>
            <c:v>Pure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'MFP-PDF_All (3)'!$AV$6</c:f>
              <c:numCache>
                <c:formatCode>0.00E+00</c:formatCode>
                <c:ptCount val="1"/>
                <c:pt idx="0">
                  <c:v>3010.898194987944</c:v>
                </c:pt>
              </c:numCache>
            </c:numRef>
          </c:xVal>
          <c:yVal>
            <c:numRef>
              <c:f>'MFP-PDF_All (3)'!$AS$6</c:f>
              <c:numCache>
                <c:formatCode>0.00E+00</c:formatCode>
                <c:ptCount val="1"/>
                <c:pt idx="0">
                  <c:v>2547.8000000000002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EEB-4A77-BCE1-B7E8F5E5D5A3}"/>
            </c:ext>
          </c:extLst>
        </c:ser>
        <c:ser>
          <c:idx val="5"/>
          <c:order val="2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'MFP-PDF_All (3)'!$AV$16:$AV$18</c:f>
              <c:numCache>
                <c:formatCode>0.00E+00</c:formatCode>
                <c:ptCount val="3"/>
                <c:pt idx="0">
                  <c:v>3598.7915199332842</c:v>
                </c:pt>
                <c:pt idx="1">
                  <c:v>1845.7321030732169</c:v>
                </c:pt>
                <c:pt idx="2">
                  <c:v>3391.23223899404</c:v>
                </c:pt>
              </c:numCache>
            </c:numRef>
          </c:xVal>
          <c:yVal>
            <c:numRef>
              <c:f>'MFP-PDF_All (3)'!$AS$16:$AS$18</c:f>
              <c:numCache>
                <c:formatCode>0.00E+00</c:formatCode>
                <c:ptCount val="3"/>
                <c:pt idx="0">
                  <c:v>2547.6863757231322</c:v>
                </c:pt>
                <c:pt idx="1">
                  <c:v>2012.468707779205</c:v>
                </c:pt>
                <c:pt idx="2">
                  <c:v>2298.228366828082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EB-4A77-BCE1-B7E8F5E5D5A3}"/>
            </c:ext>
          </c:extLst>
        </c:ser>
        <c:ser>
          <c:idx val="6"/>
          <c:order val="3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'MFP-PDF_All (3)'!$AV$19:$AV$20</c:f>
              <c:numCache>
                <c:formatCode>0.00E+00</c:formatCode>
                <c:ptCount val="2"/>
                <c:pt idx="0">
                  <c:v>1002.958750815991</c:v>
                </c:pt>
                <c:pt idx="1">
                  <c:v>1124.7355158025096</c:v>
                </c:pt>
              </c:numCache>
            </c:numRef>
          </c:xVal>
          <c:yVal>
            <c:numRef>
              <c:f>'MFP-PDF_All (3)'!$AS$19:$AS$20</c:f>
              <c:numCache>
                <c:formatCode>0.00E+00</c:formatCode>
                <c:ptCount val="2"/>
                <c:pt idx="0">
                  <c:v>1451.7494609289899</c:v>
                </c:pt>
                <c:pt idx="1">
                  <c:v>1470.4555590061771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EEB-4A77-BCE1-B7E8F5E5D5A3}"/>
            </c:ext>
          </c:extLst>
        </c:ser>
        <c:ser>
          <c:idx val="2"/>
          <c:order val="4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'MFP-PDF_All (3)'!$AV$21</c:f>
              <c:numCache>
                <c:formatCode>0.00E+00</c:formatCode>
                <c:ptCount val="1"/>
                <c:pt idx="0">
                  <c:v>1474.1154374620271</c:v>
                </c:pt>
              </c:numCache>
            </c:numRef>
          </c:xVal>
          <c:yVal>
            <c:numRef>
              <c:f>'MFP-PDF_All (3)'!$AS$21</c:f>
              <c:numCache>
                <c:formatCode>0.00E+00</c:formatCode>
                <c:ptCount val="1"/>
                <c:pt idx="0">
                  <c:v>1403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EEB-4A77-BCE1-B7E8F5E5D5A3}"/>
            </c:ext>
          </c:extLst>
        </c:ser>
        <c:ser>
          <c:idx val="3"/>
          <c:order val="5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6000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6000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8-7EEB-4A77-BCE1-B7E8F5E5D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vs_calc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v_sound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PDF-avg_peaks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995460239568026"/>
          <c:y val="2.9761956838728492E-2"/>
          <c:w val="0.48245913339779894"/>
          <c:h val="0.82313502478856815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'MFP-PDF_All (3)'!$AN$3:$AN$5</c:f>
              <c:numCache>
                <c:formatCode>General</c:formatCode>
                <c:ptCount val="3"/>
                <c:pt idx="0">
                  <c:v>3.8934456831071569E-10</c:v>
                </c:pt>
                <c:pt idx="1">
                  <c:v>4.3524260570898789E-10</c:v>
                </c:pt>
                <c:pt idx="2">
                  <c:v>4.4535930159210294E-10</c:v>
                </c:pt>
              </c:numCache>
            </c:numRef>
          </c:xVal>
          <c:yVal>
            <c:numRef>
              <c:f>'MFP-PDF_All (3)'!$AK$3:$AK$5</c:f>
              <c:numCache>
                <c:formatCode>0.00E+00</c:formatCode>
                <c:ptCount val="3"/>
                <c:pt idx="0">
                  <c:v>3.0056447474785299E-10</c:v>
                </c:pt>
                <c:pt idx="1">
                  <c:v>3.3400223720324102E-10</c:v>
                </c:pt>
                <c:pt idx="2">
                  <c:v>3.6182029353950698E-10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4F-4E22-993D-F33A06804363}"/>
            </c:ext>
          </c:extLst>
        </c:ser>
        <c:ser>
          <c:idx val="0"/>
          <c:order val="1"/>
          <c:tx>
            <c:v>Pure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'MFP-PDF_All (3)'!$AN$6:$AN$8</c:f>
              <c:numCache>
                <c:formatCode>0.00E+00</c:formatCode>
                <c:ptCount val="3"/>
                <c:pt idx="0">
                  <c:v>3.3052281270883056E-10</c:v>
                </c:pt>
                <c:pt idx="1">
                  <c:v>4.005402703507692E-10</c:v>
                </c:pt>
                <c:pt idx="2">
                  <c:v>4.2251699415347138E-10</c:v>
                </c:pt>
              </c:numCache>
            </c:numRef>
          </c:xVal>
          <c:yVal>
            <c:numRef>
              <c:f>'MFP-PDF_All (3)'!$AK$6:$AK$8</c:f>
              <c:numCache>
                <c:formatCode>0.00E+00</c:formatCode>
                <c:ptCount val="3"/>
                <c:pt idx="0">
                  <c:v>2.3591537099888599E-10</c:v>
                </c:pt>
                <c:pt idx="1">
                  <c:v>2.7110331264484899E-10</c:v>
                </c:pt>
                <c:pt idx="2">
                  <c:v>3.1522574455637898E-10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4F-4E22-993D-F33A06804363}"/>
            </c:ext>
          </c:extLst>
        </c:ser>
        <c:ser>
          <c:idx val="1"/>
          <c:order val="2"/>
          <c:tx>
            <c:v>Alkaline Earth Chlorides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'MFP-PDF_All (3)'!$AN$11:$AN$13</c:f>
              <c:numCache>
                <c:formatCode>0.00E+00</c:formatCode>
                <c:ptCount val="3"/>
                <c:pt idx="0">
                  <c:v>4.0499555072860697E-10</c:v>
                </c:pt>
                <c:pt idx="1">
                  <c:v>3.3726922781027543E-10</c:v>
                </c:pt>
                <c:pt idx="2">
                  <c:v>3.3884771765935365E-10</c:v>
                </c:pt>
              </c:numCache>
            </c:numRef>
          </c:xVal>
          <c:yVal>
            <c:numRef>
              <c:f>'MFP-PDF_All (3)'!$AK$11:$AK$13</c:f>
              <c:numCache>
                <c:formatCode>0.00E+00</c:formatCode>
                <c:ptCount val="3"/>
                <c:pt idx="0">
                  <c:v>3.08759615447175E-10</c:v>
                </c:pt>
                <c:pt idx="1">
                  <c:v>3.3211022612034601E-10</c:v>
                </c:pt>
                <c:pt idx="2">
                  <c:v>4.2994626258483001E-10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F14-4481-A37C-BDB3E7097275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'MFP-PDF_All (3)'!$AN$16:$AN$18</c:f>
              <c:numCache>
                <c:formatCode>General</c:formatCode>
                <c:ptCount val="3"/>
                <c:pt idx="0">
                  <c:v>1.6068580151669531E-10</c:v>
                </c:pt>
                <c:pt idx="1">
                  <c:v>2.4214980323905345E-10</c:v>
                </c:pt>
                <c:pt idx="2">
                  <c:v>2.3780583138410686E-10</c:v>
                </c:pt>
              </c:numCache>
            </c:numRef>
          </c:xVal>
          <c:yVal>
            <c:numRef>
              <c:f>'MFP-PDF_All (3)'!$AK$16:$AK$18</c:f>
              <c:numCache>
                <c:formatCode>0.00E+00</c:formatCode>
                <c:ptCount val="3"/>
                <c:pt idx="0">
                  <c:v>2.06003844994128E-10</c:v>
                </c:pt>
                <c:pt idx="1">
                  <c:v>2.5955250470707202E-10</c:v>
                </c:pt>
                <c:pt idx="2">
                  <c:v>2.4173581555363199E-10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94F-4E22-993D-F33A06804363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'MFP-PDF_All (3)'!$AN$19:$AN$20</c:f>
              <c:numCache>
                <c:formatCode>General</c:formatCode>
                <c:ptCount val="2"/>
                <c:pt idx="0">
                  <c:v>2.4552541454050528E-10</c:v>
                </c:pt>
                <c:pt idx="1">
                  <c:v>2.7178742571129298E-10</c:v>
                </c:pt>
              </c:numCache>
            </c:numRef>
          </c:xVal>
          <c:yVal>
            <c:numRef>
              <c:f>'MFP-PDF_All (3)'!$AK$19:$AK$20</c:f>
              <c:numCache>
                <c:formatCode>0.00E+00</c:formatCode>
                <c:ptCount val="2"/>
                <c:pt idx="0">
                  <c:v>3.1692440673072701E-10</c:v>
                </c:pt>
                <c:pt idx="1">
                  <c:v>3.1692440673072701E-10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94F-4E22-993D-F33A06804363}"/>
            </c:ext>
          </c:extLst>
        </c:ser>
        <c:ser>
          <c:idx val="2"/>
          <c:order val="5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'MFP-PDF_All (3)'!$AN$21</c:f>
              <c:numCache>
                <c:formatCode>0.00E+00</c:formatCode>
                <c:ptCount val="1"/>
                <c:pt idx="0">
                  <c:v>2.8676430958411341E-10</c:v>
                </c:pt>
              </c:numCache>
            </c:numRef>
          </c:xVal>
          <c:yVal>
            <c:numRef>
              <c:f>'MFP-PDF_All (3)'!$AK$21</c:f>
              <c:numCache>
                <c:formatCode>0.00E+00</c:formatCode>
                <c:ptCount val="1"/>
                <c:pt idx="0">
                  <c:v>2.8432800000000002E-10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94F-4E22-993D-F33A06804363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9.9999999999999994E-12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9.9999999999999994E-12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9-E94F-4E22-993D-F33A06804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6.0000000000000031E-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MFP_calc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6.0000000000000031E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PDF-MFP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PDF-avg_peaks</a:t>
            </a:r>
          </a:p>
        </c:rich>
      </c:tx>
      <c:layout>
        <c:manualLayout>
          <c:xMode val="edge"/>
          <c:yMode val="edge"/>
          <c:x val="0.21481719390339363"/>
          <c:y val="3.33333333333333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66593759113446"/>
          <c:y val="5.9523809523809521E-2"/>
          <c:w val="0.56891659375911341"/>
          <c:h val="0.77617745698454343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'MFP-PDF_All (3)'!$AG$3:$AG$5</c:f>
              <c:numCache>
                <c:formatCode>0.000000</c:formatCode>
                <c:ptCount val="3"/>
                <c:pt idx="0">
                  <c:v>0.48162168927176202</c:v>
                </c:pt>
                <c:pt idx="1">
                  <c:v>0.36608849367903401</c:v>
                </c:pt>
                <c:pt idx="2">
                  <c:v>0.296937775746827</c:v>
                </c:pt>
              </c:numCache>
            </c:numRef>
          </c:xVal>
          <c:yVal>
            <c:numRef>
              <c:f>'MFP-PDF_All (3)'!$AC$3:$AC$5</c:f>
              <c:numCache>
                <c:formatCode>General</c:formatCode>
                <c:ptCount val="3"/>
                <c:pt idx="0">
                  <c:v>0.62171538406412596</c:v>
                </c:pt>
                <c:pt idx="1">
                  <c:v>0.47705461868503202</c:v>
                </c:pt>
                <c:pt idx="2">
                  <c:v>0.36559719352224501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77-4D12-B945-FCCF907E7D31}"/>
            </c:ext>
          </c:extLst>
        </c:ser>
        <c:ser>
          <c:idx val="1"/>
          <c:order val="1"/>
          <c:tx>
            <c:v>Pure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'MFP-PDF_All (3)'!$AG$6:$AG$8</c:f>
              <c:numCache>
                <c:formatCode>0.000000</c:formatCode>
                <c:ptCount val="3"/>
                <c:pt idx="0">
                  <c:v>0.90535258306336996</c:v>
                </c:pt>
                <c:pt idx="1">
                  <c:v>0.61286742806674199</c:v>
                </c:pt>
                <c:pt idx="2">
                  <c:v>0.42353288371673797</c:v>
                </c:pt>
              </c:numCache>
            </c:numRef>
          </c:xVal>
          <c:yVal>
            <c:numRef>
              <c:f>'MFP-PDF_All (3)'!$AC$6:$AC$8</c:f>
              <c:numCache>
                <c:formatCode>General</c:formatCode>
                <c:ptCount val="3"/>
                <c:pt idx="0">
                  <c:v>1.2682350574951</c:v>
                </c:pt>
                <c:pt idx="1">
                  <c:v>0.90547800000000001</c:v>
                </c:pt>
                <c:pt idx="2">
                  <c:v>0.56768789999999902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77-4D12-B945-FCCF907E7D31}"/>
            </c:ext>
          </c:extLst>
        </c:ser>
        <c:ser>
          <c:idx val="7"/>
          <c:order val="2"/>
          <c:tx>
            <c:v>Alkaline Earth Chlorides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'MFP-PDF_All (3)'!$AG$11:$AG$13</c:f>
              <c:numCache>
                <c:formatCode>0.000000</c:formatCode>
                <c:ptCount val="3"/>
                <c:pt idx="0">
                  <c:v>0.35221854185797102</c:v>
                </c:pt>
                <c:pt idx="1">
                  <c:v>0.44097489408671398</c:v>
                </c:pt>
                <c:pt idx="2">
                  <c:v>0.48314180608273199</c:v>
                </c:pt>
              </c:numCache>
            </c:numRef>
          </c:xVal>
          <c:yVal>
            <c:numRef>
              <c:f>'MFP-PDF_All (3)'!$AC$11:$AC$13</c:f>
              <c:numCache>
                <c:formatCode>General</c:formatCode>
                <c:ptCount val="3"/>
                <c:pt idx="0">
                  <c:v>0.46200000000000002</c:v>
                </c:pt>
                <c:pt idx="1">
                  <c:v>0.44782499999999897</c:v>
                </c:pt>
                <c:pt idx="2">
                  <c:v>0.380772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ED0-49BC-B9C9-BEE197C39EA7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'MFP-PDF_All (3)'!$AG$16:$AG$18</c:f>
              <c:numCache>
                <c:formatCode>0.000000</c:formatCode>
                <c:ptCount val="3"/>
                <c:pt idx="0">
                  <c:v>1.2641169574941</c:v>
                </c:pt>
                <c:pt idx="1">
                  <c:v>0.84284465559077204</c:v>
                </c:pt>
                <c:pt idx="2">
                  <c:v>0.93676902087574598</c:v>
                </c:pt>
              </c:numCache>
            </c:numRef>
          </c:xVal>
          <c:yVal>
            <c:numRef>
              <c:f>('MFP-PDF_All (3)'!$AC$16,'MFP-PDF_All (3)'!$AC$17,'MFP-PDF_All (3)'!$AC$18)</c:f>
              <c:numCache>
                <c:formatCode>General</c:formatCode>
                <c:ptCount val="3"/>
                <c:pt idx="0">
                  <c:v>0.98602842355479803</c:v>
                </c:pt>
                <c:pt idx="1">
                  <c:v>0.78633287605038305</c:v>
                </c:pt>
                <c:pt idx="2">
                  <c:v>0.86544945017474995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77-4D12-B945-FCCF907E7D31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9.3845873432487625E-2"/>
                  <c:y val="9.8049462567179099E-2"/>
                </c:manualLayout>
              </c:layout>
              <c:tx>
                <c:rich>
                  <a:bodyPr/>
                  <a:lstStyle/>
                  <a:p>
                    <a:fld id="{4E0BA487-CCDC-4FE7-BE25-673E4F54B5AB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328813065033539"/>
                      <c:h val="9.793182102237219E-2"/>
                    </c:manualLayout>
                  </c15:layout>
                  <c15:dlblFieldTable>
                    <c15:dlblFTEntry>
                      <c15:txfldGUID>{4E0BA487-CCDC-4FE7-BE25-673E4F54B5AB}</c15:txfldGUID>
                      <c15:f>'MFP-PDF_All (3)'!$A$19</c15:f>
                      <c15:dlblFieldTableCache>
                        <c:ptCount val="1"/>
                        <c:pt idx="0">
                          <c:v>0.63NaCl-0.37UCl3 (ORNL)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BF77-4D12-B945-FCCF907E7D31}"/>
                </c:ext>
              </c:extLst>
            </c:dLbl>
            <c:dLbl>
              <c:idx val="1"/>
              <c:layout>
                <c:manualLayout>
                  <c:x val="3.1089929548280139E-2"/>
                  <c:y val="1.568788276465432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48043BA-4F93-455A-BDFD-BB5447868CFE}" type="CELLREF">
                      <a:rPr lang="en-US"/>
                      <a:pPr>
                        <a:defRPr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342772942855827"/>
                      <c:h val="9.7931758530183724E-2"/>
                    </c:manualLayout>
                  </c15:layout>
                  <c15:dlblFieldTable>
                    <c15:dlblFTEntry>
                      <c15:txfldGUID>{F48043BA-4F93-455A-BDFD-BB5447868CFE}</c15:txfldGUID>
                      <c15:f>'MFP-PDF_All (3)'!$A$20</c15:f>
                      <c15:dlblFieldTableCache>
                        <c:ptCount val="1"/>
                        <c:pt idx="0">
                          <c:v>0.658NaCl-0.342UCl3 (ANL)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BF77-4D12-B945-FCCF907E7D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'MFP-PDF_All (3)'!$AG$19:$AG$20</c:f>
              <c:numCache>
                <c:formatCode>0.000000</c:formatCode>
                <c:ptCount val="2"/>
                <c:pt idx="0">
                  <c:v>0.30884033107708703</c:v>
                </c:pt>
                <c:pt idx="1">
                  <c:v>0.32145693534244602</c:v>
                </c:pt>
              </c:numCache>
            </c:numRef>
          </c:xVal>
          <c:yVal>
            <c:numRef>
              <c:f>'MFP-PDF_All (3)'!$AC$19:$AC$20</c:f>
              <c:numCache>
                <c:formatCode>General</c:formatCode>
                <c:ptCount val="2"/>
                <c:pt idx="0">
                  <c:v>0.239262577144952</c:v>
                </c:pt>
                <c:pt idx="1">
                  <c:v>0.27567442291687039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F77-4D12-B945-FCCF907E7D31}"/>
            </c:ext>
          </c:extLst>
        </c:ser>
        <c:ser>
          <c:idx val="2"/>
          <c:order val="5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'MFP-PDF_All (3)'!$AG$21</c:f>
              <c:numCache>
                <c:formatCode>0.000000</c:formatCode>
                <c:ptCount val="1"/>
                <c:pt idx="0">
                  <c:v>0.55623382223307438</c:v>
                </c:pt>
              </c:numCache>
            </c:numRef>
          </c:xVal>
          <c:yVal>
            <c:numRef>
              <c:f>'MFP-PDF_All (3)'!$AC$21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F77-4D12-B945-FCCF907E7D31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B-BF77-4D12-B945-FCCF907E7D31}"/>
            </c:ext>
          </c:extLst>
        </c:ser>
        <c:ser>
          <c:idx val="0"/>
          <c:order val="7"/>
          <c:tx>
            <c:v>Fit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5.2790670902979231E-2"/>
                  <c:y val="0.2959572761738116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'MFP-PDF_All (3)'!$AG$3:$AG$21</c:f>
              <c:numCache>
                <c:formatCode>0.000000</c:formatCode>
                <c:ptCount val="19"/>
                <c:pt idx="0">
                  <c:v>0.48162168927176202</c:v>
                </c:pt>
                <c:pt idx="1">
                  <c:v>0.36608849367903401</c:v>
                </c:pt>
                <c:pt idx="2">
                  <c:v>0.296937775746827</c:v>
                </c:pt>
                <c:pt idx="3">
                  <c:v>0.90535258306336996</c:v>
                </c:pt>
                <c:pt idx="4">
                  <c:v>0.61286742806674199</c:v>
                </c:pt>
                <c:pt idx="5">
                  <c:v>0.42353288371673797</c:v>
                </c:pt>
                <c:pt idx="8">
                  <c:v>0.35221854185797102</c:v>
                </c:pt>
                <c:pt idx="9">
                  <c:v>0.44097489408671398</c:v>
                </c:pt>
                <c:pt idx="10">
                  <c:v>0.48314180608273199</c:v>
                </c:pt>
                <c:pt idx="13">
                  <c:v>1.2641169574941</c:v>
                </c:pt>
                <c:pt idx="14">
                  <c:v>0.84284465559077204</c:v>
                </c:pt>
                <c:pt idx="15">
                  <c:v>0.93676902087574598</c:v>
                </c:pt>
                <c:pt idx="16">
                  <c:v>0.30884033107708703</c:v>
                </c:pt>
                <c:pt idx="17">
                  <c:v>0.32145693534244602</c:v>
                </c:pt>
                <c:pt idx="18">
                  <c:v>0.55623382223307438</c:v>
                </c:pt>
              </c:numCache>
            </c:numRef>
          </c:xVal>
          <c:yVal>
            <c:numRef>
              <c:f>'MFP-PDF_All (3)'!$AC$3:$AC$21</c:f>
              <c:numCache>
                <c:formatCode>General</c:formatCode>
                <c:ptCount val="19"/>
                <c:pt idx="0">
                  <c:v>0.62171538406412596</c:v>
                </c:pt>
                <c:pt idx="1">
                  <c:v>0.47705461868503202</c:v>
                </c:pt>
                <c:pt idx="2">
                  <c:v>0.36559719352224501</c:v>
                </c:pt>
                <c:pt idx="3">
                  <c:v>1.2682350574951</c:v>
                </c:pt>
                <c:pt idx="4">
                  <c:v>0.90547800000000001</c:v>
                </c:pt>
                <c:pt idx="5">
                  <c:v>0.56768789999999902</c:v>
                </c:pt>
                <c:pt idx="8">
                  <c:v>0.46200000000000002</c:v>
                </c:pt>
                <c:pt idx="9">
                  <c:v>0.44782499999999897</c:v>
                </c:pt>
                <c:pt idx="10">
                  <c:v>0.380772</c:v>
                </c:pt>
                <c:pt idx="11">
                  <c:v>0.59593560000000001</c:v>
                </c:pt>
                <c:pt idx="12">
                  <c:v>0.14599400000000001</c:v>
                </c:pt>
                <c:pt idx="13">
                  <c:v>0.98602842355479803</c:v>
                </c:pt>
                <c:pt idx="14">
                  <c:v>0.78633287605038305</c:v>
                </c:pt>
                <c:pt idx="15">
                  <c:v>0.86544945017474995</c:v>
                </c:pt>
                <c:pt idx="16">
                  <c:v>0.239262577144952</c:v>
                </c:pt>
                <c:pt idx="17">
                  <c:v>0.27567442291687039</c:v>
                </c:pt>
                <c:pt idx="18" formatCode="0.0000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BF77-4D12-B945-FCCF907E7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.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_predicted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  <c:majorUnit val="0.2"/>
      </c:valAx>
      <c:valAx>
        <c:axId val="689706896"/>
        <c:scaling>
          <c:orientation val="minMax"/>
          <c:max val="1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  <c:minorUnit val="4.0000000000000008E-2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0.67247133581986451"/>
          <c:y val="0.32258347914843982"/>
          <c:w val="0.32752867987099216"/>
          <c:h val="0.625004374453193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PDF-avg_peaks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27133121517705"/>
          <c:y val="4.3650793650793648E-2"/>
          <c:w val="0.47260970668140168"/>
          <c:h val="0.82379640044994373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'MFP-PDF_All (3)'!$BH$3:$BH$5</c:f>
              <c:numCache>
                <c:formatCode>0.00E+00</c:formatCode>
                <c:ptCount val="3"/>
                <c:pt idx="0" formatCode="General">
                  <c:v>2978109.5894977963</c:v>
                </c:pt>
                <c:pt idx="1">
                  <c:v>2409633.8990787021</c:v>
                </c:pt>
                <c:pt idx="2" formatCode="General">
                  <c:v>1854896.8541845416</c:v>
                </c:pt>
              </c:numCache>
            </c:numRef>
          </c:xVal>
          <c:yVal>
            <c:numRef>
              <c:f>'MFP-PDF_All (3)'!$BE$3:$BE$5</c:f>
              <c:numCache>
                <c:formatCode>0.00E+00</c:formatCode>
                <c:ptCount val="3"/>
                <c:pt idx="0">
                  <c:v>2299027.692598009</c:v>
                </c:pt>
                <c:pt idx="1">
                  <c:v>1849136.7861885792</c:v>
                </c:pt>
                <c:pt idx="2">
                  <c:v>1506961.5069615068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5E-4AD8-927A-CF9D33EE0BF3}"/>
            </c:ext>
          </c:extLst>
        </c:ser>
        <c:ser>
          <c:idx val="0"/>
          <c:order val="1"/>
          <c:tx>
            <c:v>Pure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'MFP-PDF_All (3)'!$BH$6:$BH$8</c:f>
              <c:numCache>
                <c:formatCode>General</c:formatCode>
                <c:ptCount val="3"/>
                <c:pt idx="0">
                  <c:v>6334201.6553962827</c:v>
                </c:pt>
                <c:pt idx="1">
                  <c:v>4816121.6498138951</c:v>
                </c:pt>
                <c:pt idx="2">
                  <c:v>2947165.449707821</c:v>
                </c:pt>
              </c:numCache>
            </c:numRef>
          </c:xVal>
          <c:yVal>
            <c:numRef>
              <c:f>'MFP-PDF_All (3)'!$BE$6:$BE$8</c:f>
              <c:numCache>
                <c:formatCode>0.00E+00</c:formatCode>
                <c:ptCount val="3"/>
                <c:pt idx="0">
                  <c:v>4521126.760563381</c:v>
                </c:pt>
                <c:pt idx="1">
                  <c:v>3250000</c:v>
                </c:pt>
                <c:pt idx="2">
                  <c:v>2200657.8947368423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5E-4AD8-927A-CF9D33EE0BF3}"/>
            </c:ext>
          </c:extLst>
        </c:ser>
        <c:ser>
          <c:idx val="1"/>
          <c:order val="2"/>
          <c:tx>
            <c:v>Alkaline Earth Chlorides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'MFP-PDF_All (3)'!$BH$11:$BH$13</c:f>
              <c:numCache>
                <c:formatCode>General</c:formatCode>
                <c:ptCount val="3"/>
                <c:pt idx="0">
                  <c:v>2136567.8374709934</c:v>
                </c:pt>
                <c:pt idx="1">
                  <c:v>1958939.2845827502</c:v>
                </c:pt>
                <c:pt idx="2">
                  <c:v>1418417.7657498075</c:v>
                </c:pt>
              </c:numCache>
            </c:numRef>
          </c:xVal>
          <c:yVal>
            <c:numRef>
              <c:f>'MFP-PDF_All (3)'!$BE$11:$BE$13</c:f>
              <c:numCache>
                <c:formatCode>0.00E+00</c:formatCode>
                <c:ptCount val="3"/>
                <c:pt idx="0">
                  <c:v>1628871.8794256966</c:v>
                </c:pt>
                <c:pt idx="1">
                  <c:v>1928974.5850302745</c:v>
                </c:pt>
                <c:pt idx="2">
                  <c:v>1799756.6027023955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E5F-4925-BD04-A112A1285E56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'MFP-PDF_All (3)'!$BH$16:$BH$18</c:f>
              <c:numCache>
                <c:formatCode>General</c:formatCode>
                <c:ptCount val="3"/>
                <c:pt idx="0">
                  <c:v>3718727.7618627409</c:v>
                </c:pt>
                <c:pt idx="1">
                  <c:v>3738404.7815810372</c:v>
                </c:pt>
                <c:pt idx="2">
                  <c:v>4124321.9271379304</c:v>
                </c:pt>
              </c:numCache>
            </c:numRef>
          </c:xVal>
          <c:yVal>
            <c:numRef>
              <c:f>'MFP-PDF_All (3)'!$BE$16:$BE$18</c:f>
              <c:numCache>
                <c:formatCode>0.00E+00</c:formatCode>
                <c:ptCount val="3"/>
                <c:pt idx="0">
                  <c:v>4323157.1595853949</c:v>
                </c:pt>
                <c:pt idx="1">
                  <c:v>3402318.9027080508</c:v>
                </c:pt>
                <c:pt idx="2">
                  <c:v>4192480.558023226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5E-4AD8-927A-CF9D33EE0BF3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'MFP-PDF_All (3)'!$BH$19:$BH$20</c:f>
              <c:numCache>
                <c:formatCode>General</c:formatCode>
                <c:ptCount val="2"/>
                <c:pt idx="0">
                  <c:v>1670541.5762349977</c:v>
                </c:pt>
                <c:pt idx="1">
                  <c:v>1843595.9152489989</c:v>
                </c:pt>
              </c:numCache>
            </c:numRef>
          </c:xVal>
          <c:yVal>
            <c:numRef>
              <c:f>'MFP-PDF_All (3)'!$BE$19:$BE$20</c:f>
              <c:numCache>
                <c:formatCode>0.00E+00</c:formatCode>
                <c:ptCount val="2"/>
                <c:pt idx="0">
                  <c:v>2156336.4385642763</c:v>
                </c:pt>
                <c:pt idx="1">
                  <c:v>2149770.3220167966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5E-4AD8-927A-CF9D33EE0BF3}"/>
            </c:ext>
          </c:extLst>
        </c:ser>
        <c:ser>
          <c:idx val="2"/>
          <c:order val="5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'MFP-PDF_All (3)'!$BH$21</c:f>
              <c:numCache>
                <c:formatCode>General</c:formatCode>
                <c:ptCount val="1"/>
                <c:pt idx="0">
                  <c:v>4218973.6676481161</c:v>
                </c:pt>
              </c:numCache>
            </c:numRef>
          </c:xVal>
          <c:yVal>
            <c:numRef>
              <c:f>'MFP-PDF_All (3)'!$BE$21</c:f>
              <c:numCache>
                <c:formatCode>0.00E+00</c:formatCode>
                <c:ptCount val="1"/>
                <c:pt idx="0">
                  <c:v>4183129.8557158709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55E-4AD8-927A-CF9D33EE0BF3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.000000000000001E-2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7000000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7000000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9-F55E-4AD8-927A-CF9D33EE0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70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C_p,calc (phonon)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E+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  <c:majorUnit val="1000000"/>
      </c:valAx>
      <c:valAx>
        <c:axId val="689706896"/>
        <c:scaling>
          <c:orientation val="minMax"/>
          <c:max val="7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C_p,measured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635608048993876E-2"/>
              <c:y val="0.305791776027996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67928926647326981"/>
          <c:y val="0.38847331583552058"/>
          <c:w val="0.30430796313330477"/>
          <c:h val="0.611526684164479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PDF-avg_peaks</a:t>
            </a:r>
          </a:p>
        </c:rich>
      </c:tx>
      <c:layout>
        <c:manualLayout>
          <c:xMode val="edge"/>
          <c:yMode val="edge"/>
          <c:x val="0.19279228254362943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900991542723829"/>
          <c:y val="4.3650793650793648E-2"/>
          <c:w val="0.51074058688893342"/>
          <c:h val="0.80527777777777776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'MFP-PDF_All (3)'!$AW$3:$AW$5</c:f>
              <c:numCache>
                <c:formatCode>0.00E+00</c:formatCode>
                <c:ptCount val="3"/>
                <c:pt idx="0">
                  <c:v>2693.7162538043849</c:v>
                </c:pt>
                <c:pt idx="1">
                  <c:v>2311.230914287702</c:v>
                </c:pt>
                <c:pt idx="2">
                  <c:v>2009.61655027342</c:v>
                </c:pt>
              </c:numCache>
            </c:numRef>
          </c:xVal>
          <c:yVal>
            <c:numRef>
              <c:f>'MFP-PDF_All (3)'!$AS$3:$AS$5</c:f>
              <c:numCache>
                <c:formatCode>0.00E+00</c:formatCode>
                <c:ptCount val="3"/>
                <c:pt idx="0">
                  <c:v>2042.3974499999999</c:v>
                </c:pt>
                <c:pt idx="1">
                  <c:v>1743.6799999999998</c:v>
                </c:pt>
                <c:pt idx="2">
                  <c:v>1597.1839999999997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CA-41A6-8125-8AE5475EFD50}"/>
            </c:ext>
          </c:extLst>
        </c:ser>
        <c:ser>
          <c:idx val="0"/>
          <c:order val="1"/>
          <c:tx>
            <c:v>Pure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'MFP-PDF_All (3)'!$AW$6:$AW$8</c:f>
              <c:numCache>
                <c:formatCode>0.00E+00</c:formatCode>
                <c:ptCount val="3"/>
                <c:pt idx="0">
                  <c:v>3603.0260160657886</c:v>
                </c:pt>
                <c:pt idx="1">
                  <c:v>3073.8186935965673</c:v>
                </c:pt>
                <c:pt idx="2">
                  <c:v>2457.1247028936327</c:v>
                </c:pt>
              </c:numCache>
            </c:numRef>
          </c:xVal>
          <c:yVal>
            <c:numRef>
              <c:f>'MFP-PDF_All (3)'!$AS$6:$AS$8</c:f>
              <c:numCache>
                <c:formatCode>0.00E+00</c:formatCode>
                <c:ptCount val="3"/>
                <c:pt idx="0">
                  <c:v>2547.8000000000002</c:v>
                </c:pt>
                <c:pt idx="1">
                  <c:v>2085.5</c:v>
                </c:pt>
                <c:pt idx="2">
                  <c:v>1816.4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CA-41A6-8125-8AE5475EFD50}"/>
            </c:ext>
          </c:extLst>
        </c:ser>
        <c:ser>
          <c:idx val="1"/>
          <c:order val="2"/>
          <c:tx>
            <c:v>Alkaline Earth Chlorides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'MFP-PDF_All (3)'!$AW$11:$AW$13</c:f>
              <c:numCache>
                <c:formatCode>0.00E+00</c:formatCode>
                <c:ptCount val="3"/>
                <c:pt idx="0">
                  <c:v>2755.8515087811993</c:v>
                </c:pt>
                <c:pt idx="1">
                  <c:v>2097.1081849574707</c:v>
                </c:pt>
                <c:pt idx="2">
                  <c:v>1476.2445463845206</c:v>
                </c:pt>
              </c:numCache>
            </c:numRef>
          </c:xVal>
          <c:yVal>
            <c:numRef>
              <c:f>'MFP-PDF_All (3)'!$AS$11:$AS$13</c:f>
              <c:numCache>
                <c:formatCode>0.00E+00</c:formatCode>
                <c:ptCount val="3"/>
                <c:pt idx="0">
                  <c:v>2101</c:v>
                </c:pt>
                <c:pt idx="1">
                  <c:v>2065.0300000000002</c:v>
                </c:pt>
                <c:pt idx="2">
                  <c:v>1873.13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1DD-43FA-9DF2-F53C249DBB06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'MFP-PDF_All (3)'!$AW$16:$AW$18</c:f>
              <c:numCache>
                <c:formatCode>0.00E+00</c:formatCode>
                <c:ptCount val="3"/>
                <c:pt idx="0">
                  <c:v>2702.4312634272496</c:v>
                </c:pt>
                <c:pt idx="1">
                  <c:v>2200.9716645044032</c:v>
                </c:pt>
                <c:pt idx="2">
                  <c:v>2561.8335184383373</c:v>
                </c:pt>
              </c:numCache>
            </c:numRef>
          </c:xVal>
          <c:yVal>
            <c:numRef>
              <c:f>'MFP-PDF_All (3)'!$AS$16:$AS$18</c:f>
              <c:numCache>
                <c:formatCode>0.00E+00</c:formatCode>
                <c:ptCount val="3"/>
                <c:pt idx="0">
                  <c:v>2547.6863757231322</c:v>
                </c:pt>
                <c:pt idx="1">
                  <c:v>2012.468707779205</c:v>
                </c:pt>
                <c:pt idx="2">
                  <c:v>2298.228366828082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9CA-41A6-8125-8AE5475EFD50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'MFP-PDF_All (3)'!$AW$19:$AW$20</c:f>
              <c:numCache>
                <c:formatCode>0.00E+00</c:formatCode>
                <c:ptCount val="2"/>
                <c:pt idx="0">
                  <c:v>1127.8431507727448</c:v>
                </c:pt>
                <c:pt idx="1">
                  <c:v>1264.7830699883316</c:v>
                </c:pt>
              </c:numCache>
            </c:numRef>
          </c:xVal>
          <c:yVal>
            <c:numRef>
              <c:f>'MFP-PDF_All (3)'!$AS$19:$AS$20</c:f>
              <c:numCache>
                <c:formatCode>0.00E+00</c:formatCode>
                <c:ptCount val="2"/>
                <c:pt idx="0">
                  <c:v>1451.7494609289899</c:v>
                </c:pt>
                <c:pt idx="1">
                  <c:v>1470.4555590061771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9CA-41A6-8125-8AE5475EFD50}"/>
            </c:ext>
          </c:extLst>
        </c:ser>
        <c:ser>
          <c:idx val="2"/>
          <c:order val="5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'MFP-PDF_All (3)'!$AW$21</c:f>
              <c:numCache>
                <c:formatCode>0.00E+00</c:formatCode>
                <c:ptCount val="1"/>
                <c:pt idx="0">
                  <c:v>1415.0218281228406</c:v>
                </c:pt>
              </c:numCache>
            </c:numRef>
          </c:xVal>
          <c:yVal>
            <c:numRef>
              <c:f>'MFP-PDF_All (3)'!$AS$21</c:f>
              <c:numCache>
                <c:formatCode>0.00E+00</c:formatCode>
                <c:ptCount val="1"/>
                <c:pt idx="0">
                  <c:v>1403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9CA-41A6-8125-8AE5475EFD50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6000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6000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9-19CA-41A6-8125-8AE5475EF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vs_calc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v_sound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PDF_first_peak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703066721922917"/>
          <c:y val="4.3650793650793648E-2"/>
          <c:w val="0.48245913339779894"/>
          <c:h val="0.82313502478856815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'MFP-PDF_All (3)'!$AN$4</c:f>
              <c:numCache>
                <c:formatCode>General</c:formatCode>
                <c:ptCount val="1"/>
                <c:pt idx="0">
                  <c:v>4.3524260570898789E-10</c:v>
                </c:pt>
              </c:numCache>
            </c:numRef>
          </c:xVal>
          <c:yVal>
            <c:numRef>
              <c:f>'MFP-PDF_All (3)'!$AL$4</c:f>
              <c:numCache>
                <c:formatCode>0.00E+00</c:formatCode>
                <c:ptCount val="1"/>
                <c:pt idx="0">
                  <c:v>2.63829030993587E-10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92-4192-8640-993D5F359693}"/>
            </c:ext>
          </c:extLst>
        </c:ser>
        <c:ser>
          <c:idx val="0"/>
          <c:order val="1"/>
          <c:tx>
            <c:v>Pure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'MFP-PDF_All (3)'!$AN$6</c:f>
              <c:numCache>
                <c:formatCode>0.00E+00</c:formatCode>
                <c:ptCount val="1"/>
                <c:pt idx="0">
                  <c:v>3.3052281270883056E-10</c:v>
                </c:pt>
              </c:numCache>
            </c:numRef>
          </c:xVal>
          <c:yVal>
            <c:numRef>
              <c:f>'MFP-PDF_All (3)'!$AL$6</c:f>
              <c:numCache>
                <c:formatCode>0.00E+00</c:formatCode>
                <c:ptCount val="1"/>
                <c:pt idx="0">
                  <c:v>1.8665750881763499E-10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E92-4192-8640-993D5F359693}"/>
            </c:ext>
          </c:extLst>
        </c:ser>
        <c:ser>
          <c:idx val="5"/>
          <c:order val="2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'MFP-PDF_All (3)'!$AN$16:$AN$18</c:f>
              <c:numCache>
                <c:formatCode>General</c:formatCode>
                <c:ptCount val="3"/>
                <c:pt idx="0">
                  <c:v>1.6068580151669531E-10</c:v>
                </c:pt>
                <c:pt idx="1">
                  <c:v>2.4214980323905345E-10</c:v>
                </c:pt>
                <c:pt idx="2">
                  <c:v>2.3780583138410686E-10</c:v>
                </c:pt>
              </c:numCache>
            </c:numRef>
          </c:xVal>
          <c:yVal>
            <c:numRef>
              <c:f>'MFP-PDF_All (3)'!$AL$16:$AL$18</c:f>
              <c:numCache>
                <c:formatCode>0.00E+00</c:formatCode>
                <c:ptCount val="3"/>
                <c:pt idx="0">
                  <c:v>1.5469393767735401E-10</c:v>
                </c:pt>
                <c:pt idx="1">
                  <c:v>1.85747165436873E-10</c:v>
                </c:pt>
                <c:pt idx="2">
                  <c:v>1.8261412703366699E-10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92-4192-8640-993D5F359693}"/>
            </c:ext>
          </c:extLst>
        </c:ser>
        <c:ser>
          <c:idx val="6"/>
          <c:order val="3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'MFP-PDF_All (3)'!$AN$19:$AN$20</c:f>
              <c:numCache>
                <c:formatCode>General</c:formatCode>
                <c:ptCount val="2"/>
                <c:pt idx="0">
                  <c:v>2.4552541454050528E-10</c:v>
                </c:pt>
                <c:pt idx="1">
                  <c:v>2.7178742571129298E-10</c:v>
                </c:pt>
              </c:numCache>
            </c:numRef>
          </c:xVal>
          <c:yVal>
            <c:numRef>
              <c:f>'MFP-PDF_All (3)'!$AL$19:$AL$20</c:f>
              <c:numCache>
                <c:formatCode>0.00E+00</c:formatCode>
                <c:ptCount val="2"/>
                <c:pt idx="0">
                  <c:v>2.7737644361983898E-10</c:v>
                </c:pt>
                <c:pt idx="1">
                  <c:v>2.7737644361983898E-10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E92-4192-8640-993D5F359693}"/>
            </c:ext>
          </c:extLst>
        </c:ser>
        <c:ser>
          <c:idx val="2"/>
          <c:order val="4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'MFP-PDF_All (3)'!$AN$21</c:f>
              <c:numCache>
                <c:formatCode>0.00E+00</c:formatCode>
                <c:ptCount val="1"/>
                <c:pt idx="0">
                  <c:v>2.8676430958411341E-10</c:v>
                </c:pt>
              </c:numCache>
            </c:numRef>
          </c:xVal>
          <c:yVal>
            <c:numRef>
              <c:f>'MFP-PDF_All (3)'!$AL$21</c:f>
              <c:numCache>
                <c:formatCode>0.00E+00</c:formatCode>
                <c:ptCount val="1"/>
                <c:pt idx="0">
                  <c:v>2.7293000000000001E-10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E92-4192-8640-993D5F359693}"/>
            </c:ext>
          </c:extLst>
        </c:ser>
        <c:ser>
          <c:idx val="3"/>
          <c:order val="5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9.9999999999999994E-12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9.9999999999999994E-12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8-7E92-4192-8640-993D5F3596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6.0000000000000031E-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MFP_calc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6.0000000000000031E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PDF-MFP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PDF-first_peak</a:t>
            </a:r>
          </a:p>
        </c:rich>
      </c:tx>
      <c:layout>
        <c:manualLayout>
          <c:xMode val="edge"/>
          <c:yMode val="edge"/>
          <c:x val="0.21481719390339363"/>
          <c:y val="3.33333333333333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66593759113446"/>
          <c:y val="5.9523809523809521E-2"/>
          <c:w val="0.56891659375911341"/>
          <c:h val="0.77617745698454343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'MFP-PDF_All (3)'!$AH$4</c:f>
              <c:numCache>
                <c:formatCode>0.000000</c:formatCode>
                <c:ptCount val="1"/>
                <c:pt idx="0">
                  <c:v>0.35512727904679298</c:v>
                </c:pt>
              </c:numCache>
            </c:numRef>
          </c:xVal>
          <c:yVal>
            <c:numRef>
              <c:f>'MFP-PDF_All (3)'!$AC$4</c:f>
              <c:numCache>
                <c:formatCode>General</c:formatCode>
                <c:ptCount val="1"/>
                <c:pt idx="0">
                  <c:v>0.47705461868503202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38-4B7B-BFAE-FA30A2D51A11}"/>
            </c:ext>
          </c:extLst>
        </c:ser>
        <c:ser>
          <c:idx val="0"/>
          <c:order val="1"/>
          <c:tx>
            <c:v>Pure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'MFP-PDF_All (3)'!$AH$6</c:f>
              <c:numCache>
                <c:formatCode>0.000000</c:formatCode>
                <c:ptCount val="1"/>
                <c:pt idx="0">
                  <c:v>0.71631982706636499</c:v>
                </c:pt>
              </c:numCache>
            </c:numRef>
          </c:xVal>
          <c:yVal>
            <c:numRef>
              <c:f>'MFP-PDF_All (3)'!$AC$6</c:f>
              <c:numCache>
                <c:formatCode>General</c:formatCode>
                <c:ptCount val="1"/>
                <c:pt idx="0">
                  <c:v>1.2682350574951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138-4B7B-BFAE-FA30A2D51A11}"/>
            </c:ext>
          </c:extLst>
        </c:ser>
        <c:ser>
          <c:idx val="5"/>
          <c:order val="2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('MFP-PDF_All (3)'!$AH$16,'MFP-PDF_All (3)'!$AH$17,'MFP-PDF_All (3)'!$AH$18)</c:f>
              <c:numCache>
                <c:formatCode>0.000000</c:formatCode>
                <c:ptCount val="3"/>
                <c:pt idx="0">
                  <c:v>0.94926009679603196</c:v>
                </c:pt>
                <c:pt idx="1">
                  <c:v>0.60317663224360296</c:v>
                </c:pt>
                <c:pt idx="2">
                  <c:v>0.75516834485926099</c:v>
                </c:pt>
              </c:numCache>
            </c:numRef>
          </c:xVal>
          <c:yVal>
            <c:numRef>
              <c:f>('MFP-PDF_All (3)'!$AC$16,'MFP-PDF_All (3)'!$AC$17,'MFP-PDF_All (3)'!$AC$18)</c:f>
              <c:numCache>
                <c:formatCode>General</c:formatCode>
                <c:ptCount val="3"/>
                <c:pt idx="0">
                  <c:v>0.98602842355479803</c:v>
                </c:pt>
                <c:pt idx="1">
                  <c:v>0.78633287605038305</c:v>
                </c:pt>
                <c:pt idx="2">
                  <c:v>0.86544945017474995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38-4B7B-BFAE-FA30A2D51A11}"/>
            </c:ext>
          </c:extLst>
        </c:ser>
        <c:ser>
          <c:idx val="6"/>
          <c:order val="3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9.3845873432487625E-2"/>
                  <c:y val="9.8049462567179099E-2"/>
                </c:manualLayout>
              </c:layout>
              <c:tx>
                <c:rich>
                  <a:bodyPr/>
                  <a:lstStyle/>
                  <a:p>
                    <a:fld id="{4E0BA487-CCDC-4FE7-BE25-673E4F54B5AB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328813065033539"/>
                      <c:h val="9.793182102237219E-2"/>
                    </c:manualLayout>
                  </c15:layout>
                  <c15:dlblFieldTable>
                    <c15:dlblFTEntry>
                      <c15:txfldGUID>{4E0BA487-CCDC-4FE7-BE25-673E4F54B5AB}</c15:txfldGUID>
                      <c15:f>'MFP-PDF_All (3)'!$A$19</c15:f>
                      <c15:dlblFieldTableCache>
                        <c:ptCount val="1"/>
                        <c:pt idx="0">
                          <c:v>0.63NaCl-0.37UCl3 (ORNL)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C138-4B7B-BFAE-FA30A2D51A11}"/>
                </c:ext>
              </c:extLst>
            </c:dLbl>
            <c:dLbl>
              <c:idx val="1"/>
              <c:layout>
                <c:manualLayout>
                  <c:x val="3.1089929548280139E-2"/>
                  <c:y val="1.568788276465432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48043BA-4F93-455A-BDFD-BB5447868CFE}" type="CELLREF">
                      <a:rPr lang="en-US"/>
                      <a:pPr>
                        <a:defRPr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342772942855827"/>
                      <c:h val="9.7931758530183724E-2"/>
                    </c:manualLayout>
                  </c15:layout>
                  <c15:dlblFieldTable>
                    <c15:dlblFTEntry>
                      <c15:txfldGUID>{F48043BA-4F93-455A-BDFD-BB5447868CFE}</c15:txfldGUID>
                      <c15:f>'MFP-PDF_All (3)'!$A$20</c15:f>
                      <c15:dlblFieldTableCache>
                        <c:ptCount val="1"/>
                        <c:pt idx="0">
                          <c:v>0.658NaCl-0.342UCl3 (ANL)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C138-4B7B-BFAE-FA30A2D51A1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'MFP-PDF_All (3)'!$AH$19:$AH$20</c:f>
              <c:numCache>
                <c:formatCode>0.000000</c:formatCode>
                <c:ptCount val="2"/>
                <c:pt idx="0">
                  <c:v>0.27030115340192401</c:v>
                </c:pt>
                <c:pt idx="1">
                  <c:v>0.281343372768316</c:v>
                </c:pt>
              </c:numCache>
            </c:numRef>
          </c:xVal>
          <c:yVal>
            <c:numRef>
              <c:f>'MFP-PDF_All (3)'!$AC$19:$AC$20</c:f>
              <c:numCache>
                <c:formatCode>General</c:formatCode>
                <c:ptCount val="2"/>
                <c:pt idx="0">
                  <c:v>0.239262577144952</c:v>
                </c:pt>
                <c:pt idx="1">
                  <c:v>0.27567442291687039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138-4B7B-BFAE-FA30A2D51A11}"/>
            </c:ext>
          </c:extLst>
        </c:ser>
        <c:ser>
          <c:idx val="2"/>
          <c:order val="4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'MFP-PDF_All (3)'!$AH$21</c:f>
              <c:numCache>
                <c:formatCode>0.000000</c:formatCode>
                <c:ptCount val="1"/>
                <c:pt idx="0">
                  <c:v>0.53393579634110244</c:v>
                </c:pt>
              </c:numCache>
            </c:numRef>
          </c:xVal>
          <c:yVal>
            <c:numRef>
              <c:f>'MFP-PDF_All (3)'!$AC$21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138-4B7B-BFAE-FA30A2D51A11}"/>
            </c:ext>
          </c:extLst>
        </c:ser>
        <c:ser>
          <c:idx val="3"/>
          <c:order val="5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C138-4B7B-BFAE-FA30A2D51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.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_predicted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  <c:majorUnit val="0.2"/>
      </c:valAx>
      <c:valAx>
        <c:axId val="689706896"/>
        <c:scaling>
          <c:orientation val="minMax"/>
          <c:max val="1.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0.67247133581986451"/>
          <c:y val="0.32258347914843982"/>
          <c:w val="0.30383133029423953"/>
          <c:h val="0.468753280839895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PDF_first_peak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394133537290252"/>
          <c:y val="4.3650793650793648E-2"/>
          <c:w val="0.48138152567538661"/>
          <c:h val="0.82379640044994373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'MFP-PDF_All (3)'!$BI$4</c:f>
              <c:numCache>
                <c:formatCode>General</c:formatCode>
                <c:ptCount val="1"/>
                <c:pt idx="0">
                  <c:v>3050547.9632096207</c:v>
                </c:pt>
              </c:numCache>
            </c:numRef>
          </c:xVal>
          <c:yVal>
            <c:numRef>
              <c:f>'MFP-PDF_All (3)'!$BE$4</c:f>
              <c:numCache>
                <c:formatCode>0.00E+00</c:formatCode>
                <c:ptCount val="1"/>
                <c:pt idx="0">
                  <c:v>1849136.7861885792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7C-4A78-A730-2F6BC91DC9AF}"/>
            </c:ext>
          </c:extLst>
        </c:ser>
        <c:ser>
          <c:idx val="0"/>
          <c:order val="1"/>
          <c:tx>
            <c:v>Pure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'MFP-PDF_All (3)'!$BH$6</c:f>
              <c:numCache>
                <c:formatCode>General</c:formatCode>
                <c:ptCount val="1"/>
                <c:pt idx="0">
                  <c:v>6334201.6553962827</c:v>
                </c:pt>
              </c:numCache>
            </c:numRef>
          </c:xVal>
          <c:yVal>
            <c:numRef>
              <c:f>'MFP-PDF_All (3)'!$BE$6</c:f>
              <c:numCache>
                <c:formatCode>0.00E+00</c:formatCode>
                <c:ptCount val="1"/>
                <c:pt idx="0">
                  <c:v>4521126.760563381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37C-4A78-A730-2F6BC91DC9AF}"/>
            </c:ext>
          </c:extLst>
        </c:ser>
        <c:ser>
          <c:idx val="5"/>
          <c:order val="2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'MFP-PDF_All (3)'!$BI$16:$BI$18</c:f>
              <c:numCache>
                <c:formatCode>General</c:formatCode>
                <c:ptCount val="3"/>
                <c:pt idx="0">
                  <c:v>4952179.9556743838</c:v>
                </c:pt>
                <c:pt idx="1">
                  <c:v>5223833.8194076456</c:v>
                </c:pt>
                <c:pt idx="2">
                  <c:v>5459579.3921168344</c:v>
                </c:pt>
              </c:numCache>
            </c:numRef>
          </c:xVal>
          <c:yVal>
            <c:numRef>
              <c:f>'MFP-PDF_All (3)'!$BE$16:$BE$18</c:f>
              <c:numCache>
                <c:formatCode>0.00E+00</c:formatCode>
                <c:ptCount val="3"/>
                <c:pt idx="0">
                  <c:v>4323157.1595853949</c:v>
                </c:pt>
                <c:pt idx="1">
                  <c:v>3402318.9027080508</c:v>
                </c:pt>
                <c:pt idx="2">
                  <c:v>4192480.558023226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7C-4A78-A730-2F6BC91DC9AF}"/>
            </c:ext>
          </c:extLst>
        </c:ser>
        <c:ser>
          <c:idx val="6"/>
          <c:order val="3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'MFP-PDF_All (3)'!$BI$19:$BI$20</c:f>
              <c:numCache>
                <c:formatCode>General</c:formatCode>
                <c:ptCount val="2"/>
                <c:pt idx="0">
                  <c:v>1908725.1644660672</c:v>
                </c:pt>
                <c:pt idx="1">
                  <c:v>2106453.3601572583</c:v>
                </c:pt>
              </c:numCache>
            </c:numRef>
          </c:xVal>
          <c:yVal>
            <c:numRef>
              <c:f>'MFP-PDF_All (3)'!$BE$19:$BE$20</c:f>
              <c:numCache>
                <c:formatCode>0.00E+00</c:formatCode>
                <c:ptCount val="2"/>
                <c:pt idx="0">
                  <c:v>2156336.4385642763</c:v>
                </c:pt>
                <c:pt idx="1">
                  <c:v>2149770.3220167966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37C-4A78-A730-2F6BC91DC9AF}"/>
            </c:ext>
          </c:extLst>
        </c:ser>
        <c:ser>
          <c:idx val="2"/>
          <c:order val="4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'MFP-PDF_All (3)'!$BI$21</c:f>
              <c:numCache>
                <c:formatCode>General</c:formatCode>
                <c:ptCount val="1"/>
                <c:pt idx="0">
                  <c:v>4395164.8590299832</c:v>
                </c:pt>
              </c:numCache>
            </c:numRef>
          </c:xVal>
          <c:yVal>
            <c:numRef>
              <c:f>'MFP-PDF_All (3)'!$BE$21</c:f>
              <c:numCache>
                <c:formatCode>0.00E+00</c:formatCode>
                <c:ptCount val="1"/>
                <c:pt idx="0">
                  <c:v>4183129.8557158709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37C-4A78-A730-2F6BC91DC9AF}"/>
            </c:ext>
          </c:extLst>
        </c:ser>
        <c:ser>
          <c:idx val="3"/>
          <c:order val="5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.000000000000001E-2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7000000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7000000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8-B37C-4A78-A730-2F6BC91DC9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7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C_p,calc (phonon)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E+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  <c:majorUnit val="1000000"/>
      </c:valAx>
      <c:valAx>
        <c:axId val="689706896"/>
        <c:scaling>
          <c:orientation val="minMax"/>
          <c:max val="7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C_p,measured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635608048993876E-2"/>
              <c:y val="0.305791776027996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0.67928926647326981"/>
          <c:y val="0.38847331583552058"/>
          <c:w val="0.30383126034183811"/>
          <c:h val="0.468753280839895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PDF_first_peak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900991542723829"/>
          <c:y val="4.3650793650793648E-2"/>
          <c:w val="0.51074058688893342"/>
          <c:h val="0.80527777777777776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'MFP-PDF_All (3)'!$AX$4</c:f>
              <c:numCache>
                <c:formatCode>0.00E+00</c:formatCode>
                <c:ptCount val="1"/>
                <c:pt idx="0">
                  <c:v>2925.9717672394954</c:v>
                </c:pt>
              </c:numCache>
            </c:numRef>
          </c:xVal>
          <c:yVal>
            <c:numRef>
              <c:f>'MFP-PDF_All (3)'!$AS$4</c:f>
              <c:numCache>
                <c:formatCode>0.00E+00</c:formatCode>
                <c:ptCount val="1"/>
                <c:pt idx="0">
                  <c:v>1743.6799999999998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34-44ED-90A3-41ADD27EF0D2}"/>
            </c:ext>
          </c:extLst>
        </c:ser>
        <c:ser>
          <c:idx val="0"/>
          <c:order val="1"/>
          <c:tx>
            <c:v>Pure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'MFP-PDF_All (3)'!$AX$6</c:f>
              <c:numCache>
                <c:formatCode>0.00E+00</c:formatCode>
                <c:ptCount val="1"/>
                <c:pt idx="0">
                  <c:v>4553.8442288398046</c:v>
                </c:pt>
              </c:numCache>
            </c:numRef>
          </c:xVal>
          <c:yVal>
            <c:numRef>
              <c:f>'MFP-PDF_All (3)'!$AS$6</c:f>
              <c:numCache>
                <c:formatCode>0.00E+00</c:formatCode>
                <c:ptCount val="1"/>
                <c:pt idx="0">
                  <c:v>2547.8000000000002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34-44ED-90A3-41ADD27EF0D2}"/>
            </c:ext>
          </c:extLst>
        </c:ser>
        <c:ser>
          <c:idx val="5"/>
          <c:order val="2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'MFP-PDF_All (3)'!$AX$16:$AX$18</c:f>
              <c:numCache>
                <c:formatCode>0.00E+00</c:formatCode>
                <c:ptCount val="3"/>
                <c:pt idx="0">
                  <c:v>3598.7915199332842</c:v>
                </c:pt>
                <c:pt idx="1">
                  <c:v>3075.5123878622944</c:v>
                </c:pt>
                <c:pt idx="2">
                  <c:v>3391.23223899404</c:v>
                </c:pt>
              </c:numCache>
            </c:numRef>
          </c:xVal>
          <c:yVal>
            <c:numRef>
              <c:f>'MFP-PDF_All (3)'!$AS$16:$AS$18</c:f>
              <c:numCache>
                <c:formatCode>0.00E+00</c:formatCode>
                <c:ptCount val="3"/>
                <c:pt idx="0">
                  <c:v>2547.6863757231322</c:v>
                </c:pt>
                <c:pt idx="1">
                  <c:v>2012.468707779205</c:v>
                </c:pt>
                <c:pt idx="2">
                  <c:v>2298.228366828082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34-44ED-90A3-41ADD27EF0D2}"/>
            </c:ext>
          </c:extLst>
        </c:ser>
        <c:ser>
          <c:idx val="6"/>
          <c:order val="3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'MFP-PDF_All (3)'!$AX$19:$AX$20</c:f>
              <c:numCache>
                <c:formatCode>0.00E+00</c:formatCode>
                <c:ptCount val="2"/>
                <c:pt idx="0">
                  <c:v>1288.6495218529099</c:v>
                </c:pt>
                <c:pt idx="1">
                  <c:v>1445.1141519735368</c:v>
                </c:pt>
              </c:numCache>
            </c:numRef>
          </c:xVal>
          <c:yVal>
            <c:numRef>
              <c:f>'MFP-PDF_All (3)'!$AS$19:$AS$20</c:f>
              <c:numCache>
                <c:formatCode>0.00E+00</c:formatCode>
                <c:ptCount val="2"/>
                <c:pt idx="0">
                  <c:v>1451.7494609289899</c:v>
                </c:pt>
                <c:pt idx="1">
                  <c:v>1470.4555590061771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34-44ED-90A3-41ADD27EF0D2}"/>
            </c:ext>
          </c:extLst>
        </c:ser>
        <c:ser>
          <c:idx val="2"/>
          <c:order val="4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'MFP-PDF_All (3)'!$AX$21</c:f>
              <c:numCache>
                <c:formatCode>0.00E+00</c:formatCode>
                <c:ptCount val="1"/>
                <c:pt idx="0">
                  <c:v>1474.1154374620271</c:v>
                </c:pt>
              </c:numCache>
            </c:numRef>
          </c:xVal>
          <c:yVal>
            <c:numRef>
              <c:f>'MFP-PDF_All (3)'!$AS$21</c:f>
              <c:numCache>
                <c:formatCode>0.00E+00</c:formatCode>
                <c:ptCount val="1"/>
                <c:pt idx="0">
                  <c:v>1403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34-44ED-90A3-41ADD27EF0D2}"/>
            </c:ext>
          </c:extLst>
        </c:ser>
        <c:ser>
          <c:idx val="3"/>
          <c:order val="5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6000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6000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8-6434-44ED-90A3-41ADD27EF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vs_calc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v_sound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PDF-avg_peak</a:t>
            </a:r>
          </a:p>
        </c:rich>
      </c:tx>
      <c:layout>
        <c:manualLayout>
          <c:xMode val="edge"/>
          <c:yMode val="edge"/>
          <c:x val="0.21481719390339363"/>
          <c:y val="3.33333333333333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66593759113446"/>
          <c:y val="5.9523809523809521E-2"/>
          <c:w val="0.56891659375911341"/>
          <c:h val="0.77617745698454343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'MFP-PDF_All (3)'!$AQ$3:$AQ$5</c:f>
              <c:numCache>
                <c:formatCode>0.00E+00</c:formatCode>
                <c:ptCount val="3"/>
                <c:pt idx="0">
                  <c:v>2.30802105895922E-4</c:v>
                </c:pt>
                <c:pt idx="1">
                  <c:v>2.0640716413749399E-4</c:v>
                </c:pt>
                <c:pt idx="2">
                  <c:v>1.8192385680367899E-4</c:v>
                </c:pt>
              </c:numCache>
            </c:numRef>
          </c:xVal>
          <c:yVal>
            <c:numRef>
              <c:f>'MFP-PDF_All (3)'!$AC$3:$AC$5</c:f>
              <c:numCache>
                <c:formatCode>General</c:formatCode>
                <c:ptCount val="3"/>
                <c:pt idx="0">
                  <c:v>0.62171538406412596</c:v>
                </c:pt>
                <c:pt idx="1">
                  <c:v>0.47705461868503202</c:v>
                </c:pt>
                <c:pt idx="2">
                  <c:v>0.36559719352224501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9A-49A3-9CD4-E818C7946533}"/>
            </c:ext>
          </c:extLst>
        </c:ser>
        <c:ser>
          <c:idx val="5"/>
          <c:order val="1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'MFP-PDF_All (3)'!$AQ$16:$AQ$18</c:f>
              <c:numCache>
                <c:formatCode>0.00E+00</c:formatCode>
                <c:ptCount val="3"/>
                <c:pt idx="0">
                  <c:v>3.64867161248093E-4</c:v>
                </c:pt>
                <c:pt idx="1">
                  <c:v>3.5726624232913199E-4</c:v>
                </c:pt>
                <c:pt idx="2">
                  <c:v>3.3782423562883098E-4</c:v>
                </c:pt>
              </c:numCache>
            </c:numRef>
          </c:xVal>
          <c:yVal>
            <c:numRef>
              <c:f>('MFP-PDF_All (3)'!$AC$16,'MFP-PDF_All (3)'!$AC$17,'MFP-PDF_All (3)'!$AC$18)</c:f>
              <c:numCache>
                <c:formatCode>General</c:formatCode>
                <c:ptCount val="3"/>
                <c:pt idx="0">
                  <c:v>0.98602842355479803</c:v>
                </c:pt>
                <c:pt idx="1">
                  <c:v>0.78633287605038305</c:v>
                </c:pt>
                <c:pt idx="2">
                  <c:v>0.86544945017474995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9A-49A3-9CD4-E818C7946533}"/>
            </c:ext>
          </c:extLst>
        </c:ser>
        <c:ser>
          <c:idx val="6"/>
          <c:order val="2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9.3845873432487625E-2"/>
                  <c:y val="9.8049462567179099E-2"/>
                </c:manualLayout>
              </c:layout>
              <c:tx>
                <c:rich>
                  <a:bodyPr/>
                  <a:lstStyle/>
                  <a:p>
                    <a:fld id="{4E0BA487-CCDC-4FE7-BE25-673E4F54B5AB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328813065033539"/>
                      <c:h val="9.793182102237219E-2"/>
                    </c:manualLayout>
                  </c15:layout>
                  <c15:dlblFieldTable>
                    <c15:dlblFTEntry>
                      <c15:txfldGUID>{4E0BA487-CCDC-4FE7-BE25-673E4F54B5AB}</c15:txfldGUID>
                      <c15:f>'MFP-PDF_All (3)'!$A$19</c15:f>
                      <c15:dlblFieldTableCache>
                        <c:ptCount val="1"/>
                        <c:pt idx="0">
                          <c:v>0.63NaCl-0.37UCl3 (ORNL)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8B9A-49A3-9CD4-E818C7946533}"/>
                </c:ext>
              </c:extLst>
            </c:dLbl>
            <c:dLbl>
              <c:idx val="1"/>
              <c:layout>
                <c:manualLayout>
                  <c:x val="3.1089929548280139E-2"/>
                  <c:y val="1.568788276465432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48043BA-4F93-455A-BDFD-BB5447868CFE}" type="CELLREF">
                      <a:rPr lang="en-US"/>
                      <a:pPr>
                        <a:defRPr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342772942855827"/>
                      <c:h val="9.7931758530183724E-2"/>
                    </c:manualLayout>
                  </c15:layout>
                  <c15:dlblFieldTable>
                    <c15:dlblFTEntry>
                      <c15:txfldGUID>{F48043BA-4F93-455A-BDFD-BB5447868CFE}</c15:txfldGUID>
                      <c15:f>'MFP-PDF_All (3)'!$A$20</c15:f>
                      <c15:dlblFieldTableCache>
                        <c:ptCount val="1"/>
                        <c:pt idx="0">
                          <c:v>0.658NaCl-0.342UCl3 (ANL)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8B9A-49A3-9CD4-E818C79465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'MFP-PDF_All (3)'!$AQ$19:$AQ$20</c:f>
              <c:numCache>
                <c:formatCode>0.00E+00</c:formatCode>
                <c:ptCount val="2"/>
                <c:pt idx="0">
                  <c:v>2.12141712241654E-4</c:v>
                </c:pt>
                <c:pt idx="1">
                  <c:v>2.1796182243284901E-4</c:v>
                </c:pt>
              </c:numCache>
            </c:numRef>
          </c:xVal>
          <c:yVal>
            <c:numRef>
              <c:f>'MFP-PDF_All (3)'!$AC$19:$AC$20</c:f>
              <c:numCache>
                <c:formatCode>General</c:formatCode>
                <c:ptCount val="2"/>
                <c:pt idx="0">
                  <c:v>0.239262577144952</c:v>
                </c:pt>
                <c:pt idx="1">
                  <c:v>0.27567442291687039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B9A-49A3-9CD4-E818C7946533}"/>
            </c:ext>
          </c:extLst>
        </c:ser>
        <c:ser>
          <c:idx val="2"/>
          <c:order val="3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'MFP-PDF_All (3)'!$AQ$21</c:f>
              <c:numCache>
                <c:formatCode>0.00E+00</c:formatCode>
                <c:ptCount val="1"/>
                <c:pt idx="0">
                  <c:v>3.9646031520532745E-4</c:v>
                </c:pt>
              </c:numCache>
            </c:numRef>
          </c:xVal>
          <c:yVal>
            <c:numRef>
              <c:f>'MFP-PDF_All (3)'!$AC$21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B9A-49A3-9CD4-E818C7946533}"/>
            </c:ext>
          </c:extLst>
        </c:ser>
        <c:ser>
          <c:idx val="3"/>
          <c:order val="4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1"/>
            <c:dispEq val="0"/>
            <c:trendlineLbl>
              <c:layout>
                <c:manualLayout>
                  <c:x val="-0.14856331023774766"/>
                  <c:y val="0.108100029163021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'MFP-PDF_All (3)'!$AQ$3:$AQ$21</c:f>
              <c:numCache>
                <c:formatCode>0.00E+00</c:formatCode>
                <c:ptCount val="19"/>
                <c:pt idx="0">
                  <c:v>2.30802105895922E-4</c:v>
                </c:pt>
                <c:pt idx="1">
                  <c:v>2.0640716413749399E-4</c:v>
                </c:pt>
                <c:pt idx="2">
                  <c:v>1.8192385680367899E-4</c:v>
                </c:pt>
                <c:pt idx="3">
                  <c:v>3.5199164586657898E-4</c:v>
                </c:pt>
                <c:pt idx="4">
                  <c:v>2.9457755653783602E-4</c:v>
                </c:pt>
                <c:pt idx="5">
                  <c:v>2.3103748024325401E-4</c:v>
                </c:pt>
                <c:pt idx="8">
                  <c:v>1.6764328503473099E-4</c:v>
                </c:pt>
                <c:pt idx="9">
                  <c:v>2.13544061871601E-4</c:v>
                </c:pt>
                <c:pt idx="10">
                  <c:v>2.57932874964755E-4</c:v>
                </c:pt>
                <c:pt idx="13">
                  <c:v>3.64867161248093E-4</c:v>
                </c:pt>
                <c:pt idx="14">
                  <c:v>3.5726624232913199E-4</c:v>
                </c:pt>
                <c:pt idx="15">
                  <c:v>3.3782423562883098E-4</c:v>
                </c:pt>
                <c:pt idx="16">
                  <c:v>2.12141712241654E-4</c:v>
                </c:pt>
                <c:pt idx="17">
                  <c:v>2.1796182243284901E-4</c:v>
                </c:pt>
                <c:pt idx="18">
                  <c:v>3.9646031520532745E-4</c:v>
                </c:pt>
              </c:numCache>
            </c:numRef>
          </c:xVal>
          <c:yVal>
            <c:numRef>
              <c:f>'MFP-PDF_All (3)'!$AC$3:$AC$21</c:f>
              <c:numCache>
                <c:formatCode>General</c:formatCode>
                <c:ptCount val="19"/>
                <c:pt idx="0">
                  <c:v>0.62171538406412596</c:v>
                </c:pt>
                <c:pt idx="1">
                  <c:v>0.47705461868503202</c:v>
                </c:pt>
                <c:pt idx="2">
                  <c:v>0.36559719352224501</c:v>
                </c:pt>
                <c:pt idx="3">
                  <c:v>1.2682350574951</c:v>
                </c:pt>
                <c:pt idx="4">
                  <c:v>0.90547800000000001</c:v>
                </c:pt>
                <c:pt idx="5">
                  <c:v>0.56768789999999902</c:v>
                </c:pt>
                <c:pt idx="8">
                  <c:v>0.46200000000000002</c:v>
                </c:pt>
                <c:pt idx="9">
                  <c:v>0.44782499999999897</c:v>
                </c:pt>
                <c:pt idx="10">
                  <c:v>0.380772</c:v>
                </c:pt>
                <c:pt idx="11">
                  <c:v>0.59593560000000001</c:v>
                </c:pt>
                <c:pt idx="12">
                  <c:v>0.14599400000000001</c:v>
                </c:pt>
                <c:pt idx="13">
                  <c:v>0.98602842355479803</c:v>
                </c:pt>
                <c:pt idx="14">
                  <c:v>0.78633287605038305</c:v>
                </c:pt>
                <c:pt idx="15">
                  <c:v>0.86544945017474995</c:v>
                </c:pt>
                <c:pt idx="16">
                  <c:v>0.239262577144952</c:v>
                </c:pt>
                <c:pt idx="17">
                  <c:v>0.27567442291687039</c:v>
                </c:pt>
                <c:pt idx="18" formatCode="0.0000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B9A-49A3-9CD4-E818C7946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1/3*cp*MFP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ayout>
        <c:manualLayout>
          <c:xMode val="edge"/>
          <c:yMode val="edge"/>
          <c:x val="0.67247133581986451"/>
          <c:y val="0.32258347914843982"/>
          <c:w val="0.32205682200056962"/>
          <c:h val="0.370895304753572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66593759113446"/>
          <c:y val="5.9523809523809521E-2"/>
          <c:w val="0.56891659375911341"/>
          <c:h val="0.77617745698454343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'MFP-PDF_All (3)'!$AI$3:$AI$5</c:f>
              <c:numCache>
                <c:formatCode>0.00E+00</c:formatCode>
                <c:ptCount val="3"/>
                <c:pt idx="0">
                  <c:v>1596825626.1070199</c:v>
                </c:pt>
                <c:pt idx="1">
                  <c:v>1096065992.68455</c:v>
                </c:pt>
                <c:pt idx="2">
                  <c:v>820903913.34655297</c:v>
                </c:pt>
              </c:numCache>
            </c:numRef>
          </c:xVal>
          <c:yVal>
            <c:numRef>
              <c:f>'MFP-PDF_All (3)'!$AC$3:$AC$5</c:f>
              <c:numCache>
                <c:formatCode>General</c:formatCode>
                <c:ptCount val="3"/>
                <c:pt idx="0">
                  <c:v>0.62171538406412596</c:v>
                </c:pt>
                <c:pt idx="1">
                  <c:v>0.47705461868503202</c:v>
                </c:pt>
                <c:pt idx="2">
                  <c:v>0.36559719352224501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68-4D46-A187-ABCBE565A84C}"/>
            </c:ext>
          </c:extLst>
        </c:ser>
        <c:ser>
          <c:idx val="5"/>
          <c:order val="1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'MFP-PDF_All (3)'!$AI$16:$AI$18</c:f>
              <c:numCache>
                <c:formatCode>0.00E+00</c:formatCode>
                <c:ptCount val="3"/>
                <c:pt idx="0">
                  <c:v>6136375549.3502598</c:v>
                </c:pt>
                <c:pt idx="1">
                  <c:v>3247299256.6262999</c:v>
                </c:pt>
                <c:pt idx="2">
                  <c:v>3639311303.4173899</c:v>
                </c:pt>
              </c:numCache>
            </c:numRef>
          </c:xVal>
          <c:yVal>
            <c:numRef>
              <c:f>('MFP-PDF_All (3)'!$AC$16,'MFP-PDF_All (3)'!$AC$17,'MFP-PDF_All (3)'!$AC$18)</c:f>
              <c:numCache>
                <c:formatCode>General</c:formatCode>
                <c:ptCount val="3"/>
                <c:pt idx="0">
                  <c:v>0.98602842355479803</c:v>
                </c:pt>
                <c:pt idx="1">
                  <c:v>0.78633287605038305</c:v>
                </c:pt>
                <c:pt idx="2">
                  <c:v>0.86544945017474995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68-4D46-A187-ABCBE565A84C}"/>
            </c:ext>
          </c:extLst>
        </c:ser>
        <c:ser>
          <c:idx val="6"/>
          <c:order val="2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9.3845873432487625E-2"/>
                  <c:y val="9.8049462567179099E-2"/>
                </c:manualLayout>
              </c:layout>
              <c:tx>
                <c:rich>
                  <a:bodyPr/>
                  <a:lstStyle/>
                  <a:p>
                    <a:fld id="{4E0BA487-CCDC-4FE7-BE25-673E4F54B5AB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328813065033539"/>
                      <c:h val="9.793182102237219E-2"/>
                    </c:manualLayout>
                  </c15:layout>
                  <c15:dlblFieldTable>
                    <c15:dlblFTEntry>
                      <c15:txfldGUID>{4E0BA487-CCDC-4FE7-BE25-673E4F54B5AB}</c15:txfldGUID>
                      <c15:f>'MFP-PDF_All (3)'!$A$19</c15:f>
                      <c15:dlblFieldTableCache>
                        <c:ptCount val="1"/>
                        <c:pt idx="0">
                          <c:v>0.63NaCl-0.37UCl3 (ORNL)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7A68-4D46-A187-ABCBE565A84C}"/>
                </c:ext>
              </c:extLst>
            </c:dLbl>
            <c:dLbl>
              <c:idx val="1"/>
              <c:layout>
                <c:manualLayout>
                  <c:x val="3.1089929548280139E-2"/>
                  <c:y val="1.568788276465432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48043BA-4F93-455A-BDFD-BB5447868CFE}" type="CELLREF">
                      <a:rPr lang="en-US"/>
                      <a:pPr>
                        <a:defRPr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342772942855827"/>
                      <c:h val="9.7931758530183724E-2"/>
                    </c:manualLayout>
                  </c15:layout>
                  <c15:dlblFieldTable>
                    <c15:dlblFTEntry>
                      <c15:txfldGUID>{F48043BA-4F93-455A-BDFD-BB5447868CFE}</c15:txfldGUID>
                      <c15:f>'MFP-PDF_All (3)'!$A$20</c15:f>
                      <c15:dlblFieldTableCache>
                        <c:ptCount val="1"/>
                        <c:pt idx="0">
                          <c:v>0.658NaCl-0.342UCl3 (ANL)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7A68-4D46-A187-ABCBE565A8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'MFP-PDF_All (3)'!$AI$19:$AI$20</c:f>
              <c:numCache>
                <c:formatCode>0.00E+00</c:formatCode>
                <c:ptCount val="2"/>
                <c:pt idx="0">
                  <c:v>974492101.32778299</c:v>
                </c:pt>
                <c:pt idx="1">
                  <c:v>1014301607.94012</c:v>
                </c:pt>
              </c:numCache>
            </c:numRef>
          </c:xVal>
          <c:yVal>
            <c:numRef>
              <c:f>'MFP-PDF_All (3)'!$AC$19:$AC$20</c:f>
              <c:numCache>
                <c:formatCode>General</c:formatCode>
                <c:ptCount val="2"/>
                <c:pt idx="0">
                  <c:v>0.239262577144952</c:v>
                </c:pt>
                <c:pt idx="1">
                  <c:v>0.27567442291687039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A68-4D46-A187-ABCBE565A84C}"/>
            </c:ext>
          </c:extLst>
        </c:ser>
        <c:ser>
          <c:idx val="2"/>
          <c:order val="3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'MFP-PDF_All (3)'!$AI$21</c:f>
              <c:numCache>
                <c:formatCode>0.00E+00</c:formatCode>
                <c:ptCount val="1"/>
                <c:pt idx="0">
                  <c:v>1956310395.8564556</c:v>
                </c:pt>
              </c:numCache>
            </c:numRef>
          </c:xVal>
          <c:yVal>
            <c:numRef>
              <c:f>'MFP-PDF_All (3)'!$AC$21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A68-4D46-A187-ABCBE565A84C}"/>
            </c:ext>
          </c:extLst>
        </c:ser>
        <c:ser>
          <c:idx val="0"/>
          <c:order val="5"/>
          <c:tx>
            <c:v>Pure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'MFP-PDF_All (3)'!$AI$6</c:f>
              <c:numCache>
                <c:formatCode>0.00E+00</c:formatCode>
                <c:ptCount val="1"/>
                <c:pt idx="0">
                  <c:v>3837057560.7207298</c:v>
                </c:pt>
              </c:numCache>
            </c:numRef>
          </c:xVal>
          <c:yVal>
            <c:numRef>
              <c:f>'MFP-PDF_All (3)'!$AC$6</c:f>
              <c:numCache>
                <c:formatCode>General</c:formatCode>
                <c:ptCount val="1"/>
                <c:pt idx="0">
                  <c:v>1.2682350574951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A68-4D46-A187-ABCBE565A8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4"/>
                <c:tx>
                  <c:v>Ideal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noFill/>
                    <a:ln w="9525">
                      <a:noFill/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4"/>
                      </a:solidFill>
                      <a:prstDash val="sysDot"/>
                    </a:ln>
                    <a:effectLst/>
                  </c:spPr>
                  <c:trendlineType val="linear"/>
                  <c:forward val="1.0000000000000005E-9"/>
                  <c:intercept val="0"/>
                  <c:dispRSqr val="0"/>
                  <c:dispEq val="0"/>
                </c:trendline>
                <c:x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2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2</c:v>
                    </c:pt>
                  </c:numLit>
                </c:yVal>
                <c:smooth val="0"/>
                <c:extLst>
                  <c:ext xmlns:c16="http://schemas.microsoft.com/office/drawing/2014/chart" uri="{C3380CC4-5D6E-409C-BE32-E72D297353CC}">
                    <c16:uniqueId val="{0000000A-7A68-4D46-A187-ABCBE565A84C}"/>
                  </c:ext>
                </c:extLst>
              </c15:ser>
            </c15:filteredScatterSeries>
          </c:ext>
        </c:extLst>
      </c:scatterChart>
      <c:valAx>
        <c:axId val="75714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1/3*cp*vs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ayout>
        <c:manualLayout>
          <c:xMode val="edge"/>
          <c:yMode val="edge"/>
          <c:x val="0.67247133581986451"/>
          <c:y val="0.32258347914843982"/>
          <c:w val="0.24063406547865726"/>
          <c:h val="0.303353371560249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PDF-avg_peak</a:t>
            </a:r>
          </a:p>
        </c:rich>
      </c:tx>
      <c:layout>
        <c:manualLayout>
          <c:xMode val="edge"/>
          <c:yMode val="edge"/>
          <c:x val="0.21481719390339363"/>
          <c:y val="3.33333333333333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66593759113446"/>
          <c:y val="5.9523809523809521E-2"/>
          <c:w val="0.56891659375911341"/>
          <c:h val="0.77617745698454343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'MFP-PDF_All (3)'!$BA$3:$BA$5</c:f>
              <c:numCache>
                <c:formatCode>0.00E+00</c:formatCode>
                <c:ptCount val="3"/>
                <c:pt idx="0" formatCode="General">
                  <c:v>2.0876175485837878E-7</c:v>
                </c:pt>
                <c:pt idx="1">
                  <c:v>1.9797804922458501E-7</c:v>
                </c:pt>
                <c:pt idx="2" formatCode="General">
                  <c:v>1.9709839536224268E-7</c:v>
                </c:pt>
              </c:numCache>
            </c:numRef>
          </c:xVal>
          <c:yVal>
            <c:numRef>
              <c:f>'MFP-PDF_All (3)'!$AC$3:$AC$5</c:f>
              <c:numCache>
                <c:formatCode>General</c:formatCode>
                <c:ptCount val="3"/>
                <c:pt idx="0">
                  <c:v>0.62171538406412596</c:v>
                </c:pt>
                <c:pt idx="1">
                  <c:v>0.47705461868503202</c:v>
                </c:pt>
                <c:pt idx="2">
                  <c:v>0.36559719352224501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F7-4CA7-B4CF-6F92FC3D148D}"/>
            </c:ext>
          </c:extLst>
        </c:ser>
        <c:ser>
          <c:idx val="5"/>
          <c:order val="1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'MFP-PDF_All (3)'!$BA$16:$BA$18</c:f>
              <c:numCache>
                <c:formatCode>General</c:formatCode>
                <c:ptCount val="3"/>
                <c:pt idx="0">
                  <c:v>2.6515208606205915E-7</c:v>
                </c:pt>
                <c:pt idx="1">
                  <c:v>2.1033914784311533E-7</c:v>
                </c:pt>
                <c:pt idx="2">
                  <c:v>2.0984042115629121E-7</c:v>
                </c:pt>
              </c:numCache>
            </c:numRef>
          </c:xVal>
          <c:yVal>
            <c:numRef>
              <c:f>('MFP-PDF_All (3)'!$AC$16,'MFP-PDF_All (3)'!$AC$17,'MFP-PDF_All (3)'!$AC$18)</c:f>
              <c:numCache>
                <c:formatCode>General</c:formatCode>
                <c:ptCount val="3"/>
                <c:pt idx="0">
                  <c:v>0.98602842355479803</c:v>
                </c:pt>
                <c:pt idx="1">
                  <c:v>0.78633287605038305</c:v>
                </c:pt>
                <c:pt idx="2">
                  <c:v>0.86544945017474995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F7-4CA7-B4CF-6F92FC3D148D}"/>
            </c:ext>
          </c:extLst>
        </c:ser>
        <c:ser>
          <c:idx val="6"/>
          <c:order val="2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9.3845873432487625E-2"/>
                  <c:y val="9.8049462567179099E-2"/>
                </c:manualLayout>
              </c:layout>
              <c:tx>
                <c:rich>
                  <a:bodyPr/>
                  <a:lstStyle/>
                  <a:p>
                    <a:fld id="{4E0BA487-CCDC-4FE7-BE25-673E4F54B5AB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328813065033539"/>
                      <c:h val="9.793182102237219E-2"/>
                    </c:manualLayout>
                  </c15:layout>
                  <c15:dlblFieldTable>
                    <c15:dlblFTEntry>
                      <c15:txfldGUID>{4E0BA487-CCDC-4FE7-BE25-673E4F54B5AB}</c15:txfldGUID>
                      <c15:f>'MFP-PDF_All (3)'!$A$19</c15:f>
                      <c15:dlblFieldTableCache>
                        <c:ptCount val="1"/>
                        <c:pt idx="0">
                          <c:v>0.63NaCl-0.37UCl3 (ORNL)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CEF7-4CA7-B4CF-6F92FC3D148D}"/>
                </c:ext>
              </c:extLst>
            </c:dLbl>
            <c:dLbl>
              <c:idx val="1"/>
              <c:layout>
                <c:manualLayout>
                  <c:x val="3.1089929548280139E-2"/>
                  <c:y val="1.568788276465432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48043BA-4F93-455A-BDFD-BB5447868CFE}" type="CELLREF">
                      <a:rPr lang="en-US"/>
                      <a:pPr>
                        <a:defRPr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342772942855827"/>
                      <c:h val="9.7931758530183724E-2"/>
                    </c:manualLayout>
                  </c15:layout>
                  <c15:dlblFieldTable>
                    <c15:dlblFTEntry>
                      <c15:txfldGUID>{F48043BA-4F93-455A-BDFD-BB5447868CFE}</c15:txfldGUID>
                      <c15:f>'MFP-PDF_All (3)'!$A$20</c15:f>
                      <c15:dlblFieldTableCache>
                        <c:ptCount val="1"/>
                        <c:pt idx="0">
                          <c:v>0.658NaCl-0.342UCl3 (ANL)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CEF7-4CA7-B4CF-6F92FC3D14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'MFP-PDF_All (3)'!$BA$19:$BA$20</c:f>
              <c:numCache>
                <c:formatCode>General</c:formatCode>
                <c:ptCount val="2"/>
                <c:pt idx="0">
                  <c:v>1.4322455696325306E-7</c:v>
                </c:pt>
                <c:pt idx="1">
                  <c:v>1.4953082757272077E-7</c:v>
                </c:pt>
              </c:numCache>
            </c:numRef>
          </c:xVal>
          <c:yVal>
            <c:numRef>
              <c:f>'MFP-PDF_All (3)'!$AC$19:$AC$20</c:f>
              <c:numCache>
                <c:formatCode>General</c:formatCode>
                <c:ptCount val="2"/>
                <c:pt idx="0">
                  <c:v>0.239262577144952</c:v>
                </c:pt>
                <c:pt idx="1">
                  <c:v>0.27567442291687039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F7-4CA7-B4CF-6F92FC3D148D}"/>
            </c:ext>
          </c:extLst>
        </c:ser>
        <c:ser>
          <c:idx val="2"/>
          <c:order val="3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'MFP-PDF_All (3)'!$BA$21</c:f>
              <c:numCache>
                <c:formatCode>General</c:formatCode>
                <c:ptCount val="1"/>
                <c:pt idx="0">
                  <c:v>1.32970728E-7</c:v>
                </c:pt>
              </c:numCache>
            </c:numRef>
          </c:xVal>
          <c:yVal>
            <c:numRef>
              <c:f>'MFP-PDF_All (3)'!$AC$21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EF7-4CA7-B4CF-6F92FC3D148D}"/>
            </c:ext>
          </c:extLst>
        </c:ser>
        <c:ser>
          <c:idx val="3"/>
          <c:order val="4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1"/>
            <c:dispEq val="0"/>
            <c:trendlineLbl>
              <c:layout>
                <c:manualLayout>
                  <c:x val="-0.12863286825988857"/>
                  <c:y val="0.1167629046369203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'MFP-PDF_All (3)'!$BA$3:$BA$21</c:f>
              <c:numCache>
                <c:formatCode>0.00E+00</c:formatCode>
                <c:ptCount val="19"/>
                <c:pt idx="0" formatCode="General">
                  <c:v>2.0876175485837878E-7</c:v>
                </c:pt>
                <c:pt idx="1">
                  <c:v>1.9797804922458501E-7</c:v>
                </c:pt>
                <c:pt idx="2" formatCode="General">
                  <c:v>1.9709839536224268E-7</c:v>
                </c:pt>
                <c:pt idx="3" formatCode="General">
                  <c:v>2.002201897716116E-7</c:v>
                </c:pt>
                <c:pt idx="4">
                  <c:v>1.8800978584811899E-7</c:v>
                </c:pt>
                <c:pt idx="5">
                  <c:v>1.9262165958693599E-7</c:v>
                </c:pt>
                <c:pt idx="8">
                  <c:v>2.16234650684838E-7</c:v>
                </c:pt>
                <c:pt idx="9">
                  <c:v>2.2860586008176599E-7</c:v>
                </c:pt>
                <c:pt idx="10">
                  <c:v>2.68448414278508E-7</c:v>
                </c:pt>
                <c:pt idx="13" formatCode="General">
                  <c:v>2.6515208606205915E-7</c:v>
                </c:pt>
                <c:pt idx="14" formatCode="General">
                  <c:v>2.1033914784311533E-7</c:v>
                </c:pt>
                <c:pt idx="15" formatCode="General">
                  <c:v>2.0984042115629121E-7</c:v>
                </c:pt>
                <c:pt idx="16" formatCode="General">
                  <c:v>1.4322455696325306E-7</c:v>
                </c:pt>
                <c:pt idx="17" formatCode="General">
                  <c:v>1.4953082757272077E-7</c:v>
                </c:pt>
                <c:pt idx="18" formatCode="General">
                  <c:v>1.32970728E-7</c:v>
                </c:pt>
              </c:numCache>
            </c:numRef>
          </c:xVal>
          <c:yVal>
            <c:numRef>
              <c:f>'MFP-PDF_All (3)'!$AC$3:$AC$21</c:f>
              <c:numCache>
                <c:formatCode>General</c:formatCode>
                <c:ptCount val="19"/>
                <c:pt idx="0">
                  <c:v>0.62171538406412596</c:v>
                </c:pt>
                <c:pt idx="1">
                  <c:v>0.47705461868503202</c:v>
                </c:pt>
                <c:pt idx="2">
                  <c:v>0.36559719352224501</c:v>
                </c:pt>
                <c:pt idx="3">
                  <c:v>1.2682350574951</c:v>
                </c:pt>
                <c:pt idx="4">
                  <c:v>0.90547800000000001</c:v>
                </c:pt>
                <c:pt idx="5">
                  <c:v>0.56768789999999902</c:v>
                </c:pt>
                <c:pt idx="8">
                  <c:v>0.46200000000000002</c:v>
                </c:pt>
                <c:pt idx="9">
                  <c:v>0.44782499999999897</c:v>
                </c:pt>
                <c:pt idx="10">
                  <c:v>0.380772</c:v>
                </c:pt>
                <c:pt idx="11">
                  <c:v>0.59593560000000001</c:v>
                </c:pt>
                <c:pt idx="12">
                  <c:v>0.14599400000000001</c:v>
                </c:pt>
                <c:pt idx="13">
                  <c:v>0.98602842355479803</c:v>
                </c:pt>
                <c:pt idx="14">
                  <c:v>0.78633287605038305</c:v>
                </c:pt>
                <c:pt idx="15">
                  <c:v>0.86544945017474995</c:v>
                </c:pt>
                <c:pt idx="16">
                  <c:v>0.239262577144952</c:v>
                </c:pt>
                <c:pt idx="17">
                  <c:v>0.27567442291687039</c:v>
                </c:pt>
                <c:pt idx="18" formatCode="0.00000">
                  <c:v>0.56100000000000005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CEF7-4CA7-B4CF-6F92FC3D1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  <c:extLst/>
      </c:scatterChart>
      <c:valAx>
        <c:axId val="75714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1/3*vs*MFP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ayout>
        <c:manualLayout>
          <c:xMode val="edge"/>
          <c:yMode val="edge"/>
          <c:x val="0.67247133581986451"/>
          <c:y val="0.32258347914843982"/>
          <c:w val="0.32205682200056962"/>
          <c:h val="0.370895304753572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PDF-avg_peak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703066721922917"/>
          <c:y val="4.3650793650793648E-2"/>
          <c:w val="0.53801468895335458"/>
          <c:h val="0.82313502478856815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'MFP-PDF_All (3)'!$BJ$3:$BJ$5</c:f>
              <c:numCache>
                <c:formatCode>0.00E+00</c:formatCode>
                <c:ptCount val="3"/>
                <c:pt idx="0">
                  <c:v>5.0986492855295244E-10</c:v>
                </c:pt>
                <c:pt idx="1">
                  <c:v>3.7944326183477726E-10</c:v>
                </c:pt>
                <c:pt idx="2">
                  <c:v>4.5335791979318428E-10</c:v>
                </c:pt>
              </c:numCache>
            </c:numRef>
          </c:xVal>
          <c:yVal>
            <c:numRef>
              <c:f>'MFP-PDF_All (3)'!$AK$3:$AK$5</c:f>
              <c:numCache>
                <c:formatCode>0.00E+00</c:formatCode>
                <c:ptCount val="3"/>
                <c:pt idx="0">
                  <c:v>3.0056447474785299E-10</c:v>
                </c:pt>
                <c:pt idx="1">
                  <c:v>3.3400223720324102E-10</c:v>
                </c:pt>
                <c:pt idx="2">
                  <c:v>3.6182029353950698E-10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65-484E-81ED-68248C299F20}"/>
            </c:ext>
          </c:extLst>
        </c:ser>
        <c:ser>
          <c:idx val="5"/>
          <c:order val="1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'MFP-PDF_All (3)'!$BJ$16:$BJ$18</c:f>
              <c:numCache>
                <c:formatCode>0.00E+00</c:formatCode>
                <c:ptCount val="3"/>
                <c:pt idx="0">
                  <c:v>3.8338347353322035E-9</c:v>
                </c:pt>
                <c:pt idx="1">
                  <c:v>2.8369914793196441E-9</c:v>
                </c:pt>
                <c:pt idx="2">
                  <c:v>8.4406168446792717E-10</c:v>
                </c:pt>
              </c:numCache>
            </c:numRef>
          </c:xVal>
          <c:yVal>
            <c:numRef>
              <c:f>'MFP-PDF_All (3)'!$AK$16:$AK$18</c:f>
              <c:numCache>
                <c:formatCode>0.00E+00</c:formatCode>
                <c:ptCount val="3"/>
                <c:pt idx="0">
                  <c:v>2.06003844994128E-10</c:v>
                </c:pt>
                <c:pt idx="1">
                  <c:v>2.5955250470707202E-10</c:v>
                </c:pt>
                <c:pt idx="2">
                  <c:v>2.4173581555363199E-10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65-484E-81ED-68248C299F20}"/>
            </c:ext>
          </c:extLst>
        </c:ser>
        <c:ser>
          <c:idx val="6"/>
          <c:order val="2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'MFP-PDF_All (3)'!$BJ$19:$BJ$20</c:f>
              <c:numCache>
                <c:formatCode>0.00E+00</c:formatCode>
                <c:ptCount val="2"/>
                <c:pt idx="0">
                  <c:v>1.8511567318115176E-9</c:v>
                </c:pt>
                <c:pt idx="1">
                  <c:v>1.3749528367298905E-9</c:v>
                </c:pt>
              </c:numCache>
            </c:numRef>
          </c:xVal>
          <c:yVal>
            <c:numRef>
              <c:f>'MFP-PDF_All (3)'!$AK$19:$AK$20</c:f>
              <c:numCache>
                <c:formatCode>0.00E+00</c:formatCode>
                <c:ptCount val="2"/>
                <c:pt idx="0">
                  <c:v>3.1692440673072701E-10</c:v>
                </c:pt>
                <c:pt idx="1">
                  <c:v>3.1692440673072701E-10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165-484E-81ED-68248C299F20}"/>
            </c:ext>
          </c:extLst>
        </c:ser>
        <c:ser>
          <c:idx val="2"/>
          <c:order val="3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'MFP-PDF_All (3)'!$BJ$21</c:f>
              <c:numCache>
                <c:formatCode>0.00E+00</c:formatCode>
                <c:ptCount val="1"/>
                <c:pt idx="0">
                  <c:v>1.2781802750592626E-9</c:v>
                </c:pt>
              </c:numCache>
            </c:numRef>
          </c:xVal>
          <c:yVal>
            <c:numRef>
              <c:f>'MFP-PDF_All (3)'!$AK$21</c:f>
              <c:numCache>
                <c:formatCode>0.00E+00</c:formatCode>
                <c:ptCount val="1"/>
                <c:pt idx="0">
                  <c:v>2.8432800000000002E-10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165-484E-81ED-68248C299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4"/>
                <c:tx>
                  <c:v>Ideal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noFill/>
                    <a:ln w="9525">
                      <a:noFill/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4"/>
                      </a:solidFill>
                      <a:prstDash val="sysDot"/>
                    </a:ln>
                    <a:effectLst/>
                  </c:spPr>
                  <c:trendlineType val="linear"/>
                  <c:forward val="1.0000000000000005E-9"/>
                  <c:intercept val="0"/>
                  <c:dispRSqr val="0"/>
                  <c:dispEq val="0"/>
                </c:trendline>
                <c:x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9.9999999999999994E-12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9.9999999999999994E-12</c:v>
                    </c:pt>
                  </c:numLit>
                </c:yVal>
                <c:smooth val="0"/>
                <c:extLst>
                  <c:ext xmlns:c16="http://schemas.microsoft.com/office/drawing/2014/chart" uri="{C3380CC4-5D6E-409C-BE32-E72D297353CC}">
                    <c16:uniqueId val="{00000008-7165-484E-81ED-68248C299F20}"/>
                  </c:ext>
                </c:extLst>
              </c15:ser>
            </c15:filteredScatterSeries>
          </c:ext>
        </c:extLst>
      </c:scatterChart>
      <c:valAx>
        <c:axId val="75714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Visc/(Dens*vsound)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6.0000000000000031E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PDF-avg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PDF-avg_peaks</a:t>
            </a:r>
          </a:p>
        </c:rich>
      </c:tx>
      <c:layout>
        <c:manualLayout>
          <c:xMode val="edge"/>
          <c:yMode val="edge"/>
          <c:x val="0.19279228254362943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900991542723829"/>
          <c:y val="4.3650793650793648E-2"/>
          <c:w val="0.51074058688893342"/>
          <c:h val="0.80527777777777776"/>
        </c:manualLayout>
      </c:layout>
      <c:scatterChart>
        <c:scatterStyle val="lineMarker"/>
        <c:varyColors val="0"/>
        <c:ser>
          <c:idx val="4"/>
          <c:order val="0"/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'MFP-PDF_All (3)'!$AW$3:$AW$5</c:f>
              <c:numCache>
                <c:formatCode>0.00E+00</c:formatCode>
                <c:ptCount val="3"/>
                <c:pt idx="0">
                  <c:v>2693.7162538043849</c:v>
                </c:pt>
                <c:pt idx="1">
                  <c:v>2311.230914287702</c:v>
                </c:pt>
                <c:pt idx="2">
                  <c:v>2009.61655027342</c:v>
                </c:pt>
              </c:numCache>
            </c:numRef>
          </c:xVal>
          <c:yVal>
            <c:numRef>
              <c:f>'MFP-PDF_All (3)'!$AT$3:$AT$5</c:f>
              <c:numCache>
                <c:formatCode>0.00E+00</c:formatCode>
                <c:ptCount val="3"/>
                <c:pt idx="0">
                  <c:v>3406.1987250000002</c:v>
                </c:pt>
                <c:pt idx="1">
                  <c:v>2021.84</c:v>
                </c:pt>
                <c:pt idx="2">
                  <c:v>1813.5919999999999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32-4798-B044-6CD6C197DC6F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'MFP-PDF_All (3)'!$AW$6</c:f>
              <c:numCache>
                <c:formatCode>0.00E+00</c:formatCode>
                <c:ptCount val="1"/>
                <c:pt idx="0">
                  <c:v>3603.0260160657886</c:v>
                </c:pt>
              </c:numCache>
            </c:numRef>
          </c:xVal>
          <c:yVal>
            <c:numRef>
              <c:f>'MFP-PDF_All (3)'!$AT$6</c:f>
              <c:numCache>
                <c:formatCode>0.00E+00</c:formatCode>
                <c:ptCount val="1"/>
                <c:pt idx="0">
                  <c:v>3658.9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32-4798-B044-6CD6C197DC6F}"/>
            </c:ext>
          </c:extLst>
        </c:ser>
        <c:ser>
          <c:idx val="5"/>
          <c:order val="2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'MFP-PDF_All (3)'!$AW$16:$AW$18</c:f>
              <c:numCache>
                <c:formatCode>0.00E+00</c:formatCode>
                <c:ptCount val="3"/>
                <c:pt idx="0">
                  <c:v>2702.4312634272496</c:v>
                </c:pt>
                <c:pt idx="1">
                  <c:v>2200.9716645044032</c:v>
                </c:pt>
                <c:pt idx="2">
                  <c:v>2561.8335184383373</c:v>
                </c:pt>
              </c:numCache>
            </c:numRef>
          </c:xVal>
          <c:yVal>
            <c:numRef>
              <c:f>'MFP-PDF_All (3)'!$AS$16:$AS$18</c:f>
              <c:numCache>
                <c:formatCode>0.00E+00</c:formatCode>
                <c:ptCount val="3"/>
                <c:pt idx="0">
                  <c:v>2547.6863757231322</c:v>
                </c:pt>
                <c:pt idx="1">
                  <c:v>2012.468707779205</c:v>
                </c:pt>
                <c:pt idx="2">
                  <c:v>2298.228366828082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132-4798-B044-6CD6C197DC6F}"/>
            </c:ext>
          </c:extLst>
        </c:ser>
        <c:ser>
          <c:idx val="6"/>
          <c:order val="3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'MFP-PDF_All (3)'!$AW$19:$AW$20</c:f>
              <c:numCache>
                <c:formatCode>0.00E+00</c:formatCode>
                <c:ptCount val="2"/>
                <c:pt idx="0">
                  <c:v>1127.8431507727448</c:v>
                </c:pt>
                <c:pt idx="1">
                  <c:v>1264.7830699883316</c:v>
                </c:pt>
              </c:numCache>
            </c:numRef>
          </c:xVal>
          <c:yVal>
            <c:numRef>
              <c:f>'MFP-PDF_All (3)'!$AS$19:$AS$20</c:f>
              <c:numCache>
                <c:formatCode>0.00E+00</c:formatCode>
                <c:ptCount val="2"/>
                <c:pt idx="0">
                  <c:v>1451.7494609289899</c:v>
                </c:pt>
                <c:pt idx="1">
                  <c:v>1470.4555590061771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132-4798-B044-6CD6C197DC6F}"/>
            </c:ext>
          </c:extLst>
        </c:ser>
        <c:ser>
          <c:idx val="2"/>
          <c:order val="4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'MFP-PDF_All (3)'!$AW$21</c:f>
              <c:numCache>
                <c:formatCode>0.00E+00</c:formatCode>
                <c:ptCount val="1"/>
                <c:pt idx="0">
                  <c:v>1415.0218281228406</c:v>
                </c:pt>
              </c:numCache>
            </c:numRef>
          </c:xVal>
          <c:yVal>
            <c:numRef>
              <c:f>'MFP-PDF_All (3)'!$AS$21</c:f>
              <c:numCache>
                <c:formatCode>0.00E+00</c:formatCode>
                <c:ptCount val="1"/>
                <c:pt idx="0">
                  <c:v>1403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132-4798-B044-6CD6C197DC6F}"/>
            </c:ext>
          </c:extLst>
        </c:ser>
        <c:ser>
          <c:idx val="3"/>
          <c:order val="5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6000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6000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9-7132-4798-B044-6CD6C197D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vs_calc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v_sound_metal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PDF-avg_peaks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978933554358339"/>
          <c:y val="4.3650793650793648E-2"/>
          <c:w val="0.47553368328958878"/>
          <c:h val="0.82379640044994373"/>
        </c:manualLayout>
      </c:layout>
      <c:scatterChart>
        <c:scatterStyle val="lineMarker"/>
        <c:varyColors val="0"/>
        <c:ser>
          <c:idx val="4"/>
          <c:order val="0"/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'MFP-PDF_All (3)'!$BG$3:$BG$5</c:f>
              <c:numCache>
                <c:formatCode>0.00E+00</c:formatCode>
                <c:ptCount val="3"/>
                <c:pt idx="0" formatCode="General">
                  <c:v>1821819.0491510634</c:v>
                </c:pt>
                <c:pt idx="1">
                  <c:v>2119303.7152239704</c:v>
                </c:pt>
                <c:pt idx="2" formatCode="General">
                  <c:v>1671443.0931046468</c:v>
                </c:pt>
              </c:numCache>
            </c:numRef>
          </c:xVal>
          <c:yVal>
            <c:numRef>
              <c:f>'MFP-PDF_All (3)'!$BE$3:$BE$5</c:f>
              <c:numCache>
                <c:formatCode>0.00E+00</c:formatCode>
                <c:ptCount val="3"/>
                <c:pt idx="0">
                  <c:v>2299027.692598009</c:v>
                </c:pt>
                <c:pt idx="1">
                  <c:v>1849136.7861885792</c:v>
                </c:pt>
                <c:pt idx="2">
                  <c:v>1506961.5069615068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C5-4817-AB3A-8111B3983F5F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'MFP-PDF_All (3)'!$BG$6</c:f>
              <c:numCache>
                <c:formatCode>General</c:formatCode>
                <c:ptCount val="1"/>
                <c:pt idx="0">
                  <c:v>4407722.3583634971</c:v>
                </c:pt>
              </c:numCache>
            </c:numRef>
          </c:xVal>
          <c:yVal>
            <c:numRef>
              <c:f>'MFP-PDF_All (3)'!$BE$6</c:f>
              <c:numCache>
                <c:formatCode>0.00E+00</c:formatCode>
                <c:ptCount val="1"/>
                <c:pt idx="0">
                  <c:v>4521126.760563381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C5-4817-AB3A-8111B3983F5F}"/>
            </c:ext>
          </c:extLst>
        </c:ser>
        <c:ser>
          <c:idx val="5"/>
          <c:order val="2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'MFP-PDF_All (3)'!$BH$16:$BH$18</c:f>
              <c:numCache>
                <c:formatCode>General</c:formatCode>
                <c:ptCount val="3"/>
                <c:pt idx="0">
                  <c:v>3718727.7618627409</c:v>
                </c:pt>
                <c:pt idx="1">
                  <c:v>3738404.7815810372</c:v>
                </c:pt>
                <c:pt idx="2">
                  <c:v>4124321.9271379304</c:v>
                </c:pt>
              </c:numCache>
            </c:numRef>
          </c:xVal>
          <c:yVal>
            <c:numRef>
              <c:f>'MFP-PDF_All (3)'!$BE$16:$BE$18</c:f>
              <c:numCache>
                <c:formatCode>0.00E+00</c:formatCode>
                <c:ptCount val="3"/>
                <c:pt idx="0">
                  <c:v>4323157.1595853949</c:v>
                </c:pt>
                <c:pt idx="1">
                  <c:v>3402318.9027080508</c:v>
                </c:pt>
                <c:pt idx="2">
                  <c:v>4192480.558023226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DC5-4817-AB3A-8111B3983F5F}"/>
            </c:ext>
          </c:extLst>
        </c:ser>
        <c:ser>
          <c:idx val="6"/>
          <c:order val="3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'MFP-PDF_All (3)'!$BH$19:$BH$20</c:f>
              <c:numCache>
                <c:formatCode>General</c:formatCode>
                <c:ptCount val="2"/>
                <c:pt idx="0">
                  <c:v>1670541.5762349977</c:v>
                </c:pt>
                <c:pt idx="1">
                  <c:v>1843595.9152489989</c:v>
                </c:pt>
              </c:numCache>
            </c:numRef>
          </c:xVal>
          <c:yVal>
            <c:numRef>
              <c:f>'MFP-PDF_All (3)'!$BE$19:$BE$20</c:f>
              <c:numCache>
                <c:formatCode>0.00E+00</c:formatCode>
                <c:ptCount val="2"/>
                <c:pt idx="0">
                  <c:v>2156336.4385642763</c:v>
                </c:pt>
                <c:pt idx="1">
                  <c:v>2149770.3220167966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DC5-4817-AB3A-8111B3983F5F}"/>
            </c:ext>
          </c:extLst>
        </c:ser>
        <c:ser>
          <c:idx val="2"/>
          <c:order val="4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'MFP-PDF_All (3)'!$BH$21</c:f>
              <c:numCache>
                <c:formatCode>General</c:formatCode>
                <c:ptCount val="1"/>
                <c:pt idx="0">
                  <c:v>4218973.6676481161</c:v>
                </c:pt>
              </c:numCache>
            </c:numRef>
          </c:xVal>
          <c:yVal>
            <c:numRef>
              <c:f>'MFP-PDF_All (3)'!$BE$21</c:f>
              <c:numCache>
                <c:formatCode>0.00E+00</c:formatCode>
                <c:ptCount val="1"/>
                <c:pt idx="0">
                  <c:v>4183129.8557158709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DC5-4817-AB3A-8111B3983F5F}"/>
            </c:ext>
          </c:extLst>
        </c:ser>
        <c:ser>
          <c:idx val="3"/>
          <c:order val="5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.000000000000001E-2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7000000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7000000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9-DDC5-4817-AB3A-8111B3983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70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C_p,calc_VsoundMetal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E+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  <c:majorUnit val="1000000"/>
      </c:valAx>
      <c:valAx>
        <c:axId val="689706896"/>
        <c:scaling>
          <c:orientation val="minMax"/>
          <c:max val="7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C_p,measured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635608048993876E-2"/>
              <c:y val="0.305791776027996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0.67928926647326981"/>
          <c:y val="0.38847331583552058"/>
          <c:w val="0.30383133029423953"/>
          <c:h val="0.468753280839895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PDF-avg_peaks</a:t>
            </a:r>
          </a:p>
        </c:rich>
      </c:tx>
      <c:layout>
        <c:manualLayout>
          <c:xMode val="edge"/>
          <c:yMode val="edge"/>
          <c:x val="0.21481719390339363"/>
          <c:y val="3.33333333333333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66593759113446"/>
          <c:y val="5.9523809523809521E-2"/>
          <c:w val="0.56891659375911341"/>
          <c:h val="0.77617745698454343"/>
        </c:manualLayout>
      </c:layout>
      <c:scatterChart>
        <c:scatterStyle val="lineMarker"/>
        <c:varyColors val="0"/>
        <c:ser>
          <c:idx val="4"/>
          <c:order val="0"/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'MFP-PDF_All (3)'!$AF$3:$AF$5</c:f>
              <c:numCache>
                <c:formatCode>0.000000</c:formatCode>
                <c:ptCount val="3"/>
                <c:pt idx="0">
                  <c:v>0.8032223032445629</c:v>
                </c:pt>
                <c:pt idx="1">
                  <c:v>0.42448864473987091</c:v>
                </c:pt>
                <c:pt idx="2">
                  <c:v>0.33717090491279622</c:v>
                </c:pt>
              </c:numCache>
            </c:numRef>
          </c:xVal>
          <c:yVal>
            <c:numRef>
              <c:f>'MFP-PDF_All (3)'!$AC$3:$AC$5</c:f>
              <c:numCache>
                <c:formatCode>General</c:formatCode>
                <c:ptCount val="3"/>
                <c:pt idx="0">
                  <c:v>0.62171538406412596</c:v>
                </c:pt>
                <c:pt idx="1">
                  <c:v>0.47705461868503202</c:v>
                </c:pt>
                <c:pt idx="2">
                  <c:v>0.36559719352224501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CF-4EAA-81CC-B32832EB259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'MFP-PDF_All (3)'!$AF$6</c:f>
              <c:numCache>
                <c:formatCode>0.000000</c:formatCode>
                <c:ptCount val="1"/>
                <c:pt idx="0">
                  <c:v>1.3001784151701719</c:v>
                </c:pt>
              </c:numCache>
            </c:numRef>
          </c:xVal>
          <c:yVal>
            <c:numRef>
              <c:f>'MFP-PDF_All (3)'!$AC$6</c:f>
              <c:numCache>
                <c:formatCode>General</c:formatCode>
                <c:ptCount val="1"/>
                <c:pt idx="0">
                  <c:v>1.2682350574951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CF-4EAA-81CC-B32832EB259C}"/>
            </c:ext>
          </c:extLst>
        </c:ser>
        <c:ser>
          <c:idx val="5"/>
          <c:order val="2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'MFP-PDF_All (3)'!$AG$16:$AG$18</c:f>
              <c:numCache>
                <c:formatCode>0.000000</c:formatCode>
                <c:ptCount val="3"/>
                <c:pt idx="0">
                  <c:v>1.2641169574941</c:v>
                </c:pt>
                <c:pt idx="1">
                  <c:v>0.84284465559077204</c:v>
                </c:pt>
                <c:pt idx="2">
                  <c:v>0.93676902087574598</c:v>
                </c:pt>
              </c:numCache>
            </c:numRef>
          </c:xVal>
          <c:yVal>
            <c:numRef>
              <c:f>('MFP-PDF_All (3)'!$AC$16,'MFP-PDF_All (3)'!$AC$17,'MFP-PDF_All (3)'!$AC$18)</c:f>
              <c:numCache>
                <c:formatCode>General</c:formatCode>
                <c:ptCount val="3"/>
                <c:pt idx="0">
                  <c:v>0.98602842355479803</c:v>
                </c:pt>
                <c:pt idx="1">
                  <c:v>0.78633287605038305</c:v>
                </c:pt>
                <c:pt idx="2">
                  <c:v>0.86544945017474995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1CF-4EAA-81CC-B32832EB259C}"/>
            </c:ext>
          </c:extLst>
        </c:ser>
        <c:ser>
          <c:idx val="6"/>
          <c:order val="3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9.3845873432487625E-2"/>
                  <c:y val="9.8049462567179099E-2"/>
                </c:manualLayout>
              </c:layout>
              <c:tx>
                <c:rich>
                  <a:bodyPr/>
                  <a:lstStyle/>
                  <a:p>
                    <a:fld id="{4E0BA487-CCDC-4FE7-BE25-673E4F54B5AB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328813065033539"/>
                      <c:h val="9.793182102237219E-2"/>
                    </c:manualLayout>
                  </c15:layout>
                  <c15:dlblFieldTable>
                    <c15:dlblFTEntry>
                      <c15:txfldGUID>{4E0BA487-CCDC-4FE7-BE25-673E4F54B5AB}</c15:txfldGUID>
                      <c15:f>'MFP-PDF_All (3)'!$A$19</c15:f>
                      <c15:dlblFieldTableCache>
                        <c:ptCount val="1"/>
                        <c:pt idx="0">
                          <c:v>0.63NaCl-0.37UCl3 (ORNL)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11CF-4EAA-81CC-B32832EB259C}"/>
                </c:ext>
              </c:extLst>
            </c:dLbl>
            <c:dLbl>
              <c:idx val="1"/>
              <c:layout>
                <c:manualLayout>
                  <c:x val="3.1089929548280139E-2"/>
                  <c:y val="1.568788276465432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48043BA-4F93-455A-BDFD-BB5447868CFE}" type="CELLREF">
                      <a:rPr lang="en-US"/>
                      <a:pPr>
                        <a:defRPr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342772942855827"/>
                      <c:h val="9.7931758530183724E-2"/>
                    </c:manualLayout>
                  </c15:layout>
                  <c15:dlblFieldTable>
                    <c15:dlblFTEntry>
                      <c15:txfldGUID>{F48043BA-4F93-455A-BDFD-BB5447868CFE}</c15:txfldGUID>
                      <c15:f>'MFP-PDF_All (3)'!$A$20</c15:f>
                      <c15:dlblFieldTableCache>
                        <c:ptCount val="1"/>
                        <c:pt idx="0">
                          <c:v>0.658NaCl-0.342UCl3 (ANL)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11CF-4EAA-81CC-B32832EB25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'MFP-PDF_All (3)'!$AG$19:$AG$20</c:f>
              <c:numCache>
                <c:formatCode>0.000000</c:formatCode>
                <c:ptCount val="2"/>
                <c:pt idx="0">
                  <c:v>0.30884033107708703</c:v>
                </c:pt>
                <c:pt idx="1">
                  <c:v>0.32145693534244602</c:v>
                </c:pt>
              </c:numCache>
            </c:numRef>
          </c:xVal>
          <c:yVal>
            <c:numRef>
              <c:f>'MFP-PDF_All (3)'!$AC$19:$AC$20</c:f>
              <c:numCache>
                <c:formatCode>General</c:formatCode>
                <c:ptCount val="2"/>
                <c:pt idx="0">
                  <c:v>0.239262577144952</c:v>
                </c:pt>
                <c:pt idx="1">
                  <c:v>0.27567442291687039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1CF-4EAA-81CC-B32832EB259C}"/>
            </c:ext>
          </c:extLst>
        </c:ser>
        <c:ser>
          <c:idx val="2"/>
          <c:order val="4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'MFP-PDF_All (3)'!$AG$21</c:f>
              <c:numCache>
                <c:formatCode>0.000000</c:formatCode>
                <c:ptCount val="1"/>
                <c:pt idx="0">
                  <c:v>0.55623382223307438</c:v>
                </c:pt>
              </c:numCache>
            </c:numRef>
          </c:xVal>
          <c:yVal>
            <c:numRef>
              <c:f>'MFP-PDF_All (3)'!$AC$21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1CF-4EAA-81CC-B32832EB259C}"/>
            </c:ext>
          </c:extLst>
        </c:ser>
        <c:ser>
          <c:idx val="3"/>
          <c:order val="5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B-11CF-4EAA-81CC-B32832EB259C}"/>
            </c:ext>
          </c:extLst>
        </c:ser>
        <c:ser>
          <c:idx val="0"/>
          <c:order val="6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986485241976331"/>
                  <c:y val="3.2516768737241177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'MFP-PDF_All (3)'!$AF$3:$AF$21</c:f>
              <c:numCache>
                <c:formatCode>0.000000</c:formatCode>
                <c:ptCount val="19"/>
                <c:pt idx="0">
                  <c:v>0.8032223032445629</c:v>
                </c:pt>
                <c:pt idx="1">
                  <c:v>0.42448864473987091</c:v>
                </c:pt>
                <c:pt idx="2">
                  <c:v>0.33717090491279622</c:v>
                </c:pt>
                <c:pt idx="3">
                  <c:v>1.3001784151701719</c:v>
                </c:pt>
                <c:pt idx="13">
                  <c:v>1.2641169574941</c:v>
                </c:pt>
                <c:pt idx="14">
                  <c:v>0.84284465559077204</c:v>
                </c:pt>
                <c:pt idx="15">
                  <c:v>0.93676902087574598</c:v>
                </c:pt>
                <c:pt idx="16">
                  <c:v>0.30884033107708703</c:v>
                </c:pt>
                <c:pt idx="17">
                  <c:v>0.32145693534244602</c:v>
                </c:pt>
                <c:pt idx="18">
                  <c:v>0.55623382223307438</c:v>
                </c:pt>
              </c:numCache>
            </c:numRef>
          </c:xVal>
          <c:yVal>
            <c:numRef>
              <c:f>'MFP-PDF_All (3)'!$AC$3:$AC$21</c:f>
              <c:numCache>
                <c:formatCode>General</c:formatCode>
                <c:ptCount val="19"/>
                <c:pt idx="0">
                  <c:v>0.62171538406412596</c:v>
                </c:pt>
                <c:pt idx="1">
                  <c:v>0.47705461868503202</c:v>
                </c:pt>
                <c:pt idx="2">
                  <c:v>0.36559719352224501</c:v>
                </c:pt>
                <c:pt idx="3">
                  <c:v>1.2682350574951</c:v>
                </c:pt>
                <c:pt idx="4">
                  <c:v>0.90547800000000001</c:v>
                </c:pt>
                <c:pt idx="5">
                  <c:v>0.56768789999999902</c:v>
                </c:pt>
                <c:pt idx="8">
                  <c:v>0.46200000000000002</c:v>
                </c:pt>
                <c:pt idx="9">
                  <c:v>0.44782499999999897</c:v>
                </c:pt>
                <c:pt idx="10">
                  <c:v>0.380772</c:v>
                </c:pt>
                <c:pt idx="11">
                  <c:v>0.59593560000000001</c:v>
                </c:pt>
                <c:pt idx="12">
                  <c:v>0.14599400000000001</c:v>
                </c:pt>
                <c:pt idx="13">
                  <c:v>0.98602842355479803</c:v>
                </c:pt>
                <c:pt idx="14">
                  <c:v>0.78633287605038305</c:v>
                </c:pt>
                <c:pt idx="15">
                  <c:v>0.86544945017474995</c:v>
                </c:pt>
                <c:pt idx="16">
                  <c:v>0.239262577144952</c:v>
                </c:pt>
                <c:pt idx="17">
                  <c:v>0.27567442291687039</c:v>
                </c:pt>
                <c:pt idx="18" formatCode="0.0000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11CF-4EAA-81CC-B32832EB25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.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_predicted_vs_metal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  <c:majorUnit val="0.2"/>
      </c:valAx>
      <c:valAx>
        <c:axId val="689706896"/>
        <c:scaling>
          <c:orientation val="minMax"/>
          <c:max val="1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  <c:minorUnit val="4.0000000000000008E-2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67247133581986451"/>
          <c:y val="0.32258347914843982"/>
          <c:w val="0.30383133029423953"/>
          <c:h val="0.546878827646544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PDF-max_peak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703066721922917"/>
          <c:y val="4.3650793650793648E-2"/>
          <c:w val="0.48245913339779894"/>
          <c:h val="0.82313502478856815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'MFP-PDF_All (3)'!$AN$3:$AN$5</c:f>
              <c:numCache>
                <c:formatCode>General</c:formatCode>
                <c:ptCount val="3"/>
                <c:pt idx="0">
                  <c:v>3.8934456831071569E-10</c:v>
                </c:pt>
                <c:pt idx="1">
                  <c:v>4.3524260570898789E-10</c:v>
                </c:pt>
                <c:pt idx="2">
                  <c:v>4.4535930159210294E-10</c:v>
                </c:pt>
              </c:numCache>
            </c:numRef>
          </c:xVal>
          <c:yVal>
            <c:numRef>
              <c:f>'MFP-PDF_All (3)'!$AJ$3:$AJ$5</c:f>
              <c:numCache>
                <c:formatCode>0.00E+00</c:formatCode>
                <c:ptCount val="3"/>
                <c:pt idx="0">
                  <c:v>3.60550819002004E-10</c:v>
                </c:pt>
                <c:pt idx="1">
                  <c:v>4.0269415584248401E-10</c:v>
                </c:pt>
                <c:pt idx="2">
                  <c:v>2.9896383292945799E-10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12-434C-84B4-DF56EEE7F5FA}"/>
            </c:ext>
          </c:extLst>
        </c:ser>
        <c:ser>
          <c:idx val="0"/>
          <c:order val="1"/>
          <c:tx>
            <c:v>Pure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'MFP-PDF_All (3)'!$AN$6</c:f>
              <c:numCache>
                <c:formatCode>0.00E+00</c:formatCode>
                <c:ptCount val="1"/>
                <c:pt idx="0">
                  <c:v>3.3052281270883056E-10</c:v>
                </c:pt>
              </c:numCache>
            </c:numRef>
          </c:xVal>
          <c:yVal>
            <c:numRef>
              <c:f>'MFP-PDF_All (3)'!$AJ$6</c:f>
              <c:numCache>
                <c:formatCode>0.00E+00</c:formatCode>
                <c:ptCount val="1"/>
                <c:pt idx="0">
                  <c:v>2.8231084688076099E-10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012-434C-84B4-DF56EEE7F5FA}"/>
            </c:ext>
          </c:extLst>
        </c:ser>
        <c:ser>
          <c:idx val="5"/>
          <c:order val="2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'MFP-PDF_All (3)'!$AJ$16:$AJ$18</c:f>
              <c:numCache>
                <c:formatCode>0.00E+00</c:formatCode>
                <c:ptCount val="3"/>
                <c:pt idx="0">
                  <c:v>1.5469393767735401E-10</c:v>
                </c:pt>
                <c:pt idx="1">
                  <c:v>3.0950738049158301E-10</c:v>
                </c:pt>
                <c:pt idx="2">
                  <c:v>1.8261412703366699E-10</c:v>
                </c:pt>
              </c:numCache>
            </c:numRef>
          </c:xVal>
          <c:yVal>
            <c:numRef>
              <c:f>'MFP-PDF_All (3)'!$AL$16:$AL$18</c:f>
              <c:numCache>
                <c:formatCode>0.00E+00</c:formatCode>
                <c:ptCount val="3"/>
                <c:pt idx="0">
                  <c:v>1.5469393767735401E-10</c:v>
                </c:pt>
                <c:pt idx="1">
                  <c:v>1.85747165436873E-10</c:v>
                </c:pt>
                <c:pt idx="2">
                  <c:v>1.8261412703366699E-10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12-434C-84B4-DF56EEE7F5FA}"/>
            </c:ext>
          </c:extLst>
        </c:ser>
        <c:ser>
          <c:idx val="6"/>
          <c:order val="3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'MFP-PDF_All (3)'!$AN$19:$AN$20</c:f>
              <c:numCache>
                <c:formatCode>General</c:formatCode>
                <c:ptCount val="2"/>
                <c:pt idx="0">
                  <c:v>2.4552541454050528E-10</c:v>
                </c:pt>
                <c:pt idx="1">
                  <c:v>2.7178742571129298E-10</c:v>
                </c:pt>
              </c:numCache>
            </c:numRef>
          </c:xVal>
          <c:yVal>
            <c:numRef>
              <c:f>'MFP-PDF_All (3)'!$AJ$19:$AJ$20</c:f>
              <c:numCache>
                <c:formatCode>0.00E+00</c:formatCode>
                <c:ptCount val="2"/>
                <c:pt idx="0">
                  <c:v>3.5638656241162298E-10</c:v>
                </c:pt>
                <c:pt idx="1">
                  <c:v>3.5638656241162298E-10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012-434C-84B4-DF56EEE7F5FA}"/>
            </c:ext>
          </c:extLst>
        </c:ser>
        <c:ser>
          <c:idx val="2"/>
          <c:order val="4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'MFP-PDF_All (3)'!$AN$21</c:f>
              <c:numCache>
                <c:formatCode>0.00E+00</c:formatCode>
                <c:ptCount val="1"/>
                <c:pt idx="0">
                  <c:v>2.8676430958411341E-10</c:v>
                </c:pt>
              </c:numCache>
            </c:numRef>
          </c:xVal>
          <c:yVal>
            <c:numRef>
              <c:f>'MFP-PDF_All (3)'!$AJ$21</c:f>
              <c:numCache>
                <c:formatCode>0.00E+00</c:formatCode>
                <c:ptCount val="1"/>
                <c:pt idx="0">
                  <c:v>2.7293000000000001E-10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012-434C-84B4-DF56EEE7F5FA}"/>
            </c:ext>
          </c:extLst>
        </c:ser>
        <c:ser>
          <c:idx val="3"/>
          <c:order val="5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9.9999999999999994E-12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9.9999999999999994E-12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8-6012-434C-84B4-DF56EEE7F5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6.0000000000000031E-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MFP_calc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6.0000000000000031E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PDF-MFP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PDF-max_peak</a:t>
            </a:r>
          </a:p>
        </c:rich>
      </c:tx>
      <c:layout>
        <c:manualLayout>
          <c:xMode val="edge"/>
          <c:yMode val="edge"/>
          <c:x val="0.21481719390339363"/>
          <c:y val="3.33333333333333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66593759113446"/>
          <c:y val="5.9523809523809521E-2"/>
          <c:w val="0.56891659375911341"/>
          <c:h val="0.77617745698454343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'MFP-PDF_All (3)'!$AE$3:$AE$5</c:f>
              <c:numCache>
                <c:formatCode>0.000000</c:formatCode>
                <c:ptCount val="3"/>
                <c:pt idx="0">
                  <c:v>0.57774324348124695</c:v>
                </c:pt>
                <c:pt idx="1">
                  <c:v>0.54204679187053895</c:v>
                </c:pt>
                <c:pt idx="2">
                  <c:v>0.24535289248259401</c:v>
                </c:pt>
              </c:numCache>
            </c:numRef>
          </c:xVal>
          <c:yVal>
            <c:numRef>
              <c:f>'MFP-PDF_All (3)'!$AC$3:$AC$5</c:f>
              <c:numCache>
                <c:formatCode>General</c:formatCode>
                <c:ptCount val="3"/>
                <c:pt idx="0">
                  <c:v>0.62171538406412596</c:v>
                </c:pt>
                <c:pt idx="1">
                  <c:v>0.47705461868503202</c:v>
                </c:pt>
                <c:pt idx="2">
                  <c:v>0.36559719352224501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B2-465A-A40E-3FE3EC31AA44}"/>
            </c:ext>
          </c:extLst>
        </c:ser>
        <c:ser>
          <c:idx val="0"/>
          <c:order val="1"/>
          <c:tx>
            <c:v>Pure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'MFP-PDF_All (3)'!$AE$6</c:f>
              <c:numCache>
                <c:formatCode>0.000000</c:formatCode>
                <c:ptCount val="1"/>
                <c:pt idx="0">
                  <c:v>1.08340059983421</c:v>
                </c:pt>
              </c:numCache>
            </c:numRef>
          </c:xVal>
          <c:yVal>
            <c:numRef>
              <c:f>'MFP-PDF_All (3)'!$AC$6</c:f>
              <c:numCache>
                <c:formatCode>General</c:formatCode>
                <c:ptCount val="1"/>
                <c:pt idx="0">
                  <c:v>1.2682350574951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9B2-465A-A40E-3FE3EC31AA44}"/>
            </c:ext>
          </c:extLst>
        </c:ser>
        <c:ser>
          <c:idx val="5"/>
          <c:order val="2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'MFP-PDF_All (3)'!$AE$16:$AE$18</c:f>
              <c:numCache>
                <c:formatCode>0.000000</c:formatCode>
                <c:ptCount val="3"/>
                <c:pt idx="0">
                  <c:v>0.94926009679603196</c:v>
                </c:pt>
                <c:pt idx="1">
                  <c:v>1.00506308659067</c:v>
                </c:pt>
                <c:pt idx="2">
                  <c:v>0.75516834485926099</c:v>
                </c:pt>
              </c:numCache>
            </c:numRef>
          </c:xVal>
          <c:yVal>
            <c:numRef>
              <c:f>('MFP-PDF_All (3)'!$AC$16,'MFP-PDF_All (3)'!$AC$17,'MFP-PDF_All (3)'!$AC$18)</c:f>
              <c:numCache>
                <c:formatCode>General</c:formatCode>
                <c:ptCount val="3"/>
                <c:pt idx="0">
                  <c:v>0.98602842355479803</c:v>
                </c:pt>
                <c:pt idx="1">
                  <c:v>0.78633287605038305</c:v>
                </c:pt>
                <c:pt idx="2">
                  <c:v>0.86544945017474995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B2-465A-A40E-3FE3EC31AA44}"/>
            </c:ext>
          </c:extLst>
        </c:ser>
        <c:ser>
          <c:idx val="6"/>
          <c:order val="3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9.3845873432487625E-2"/>
                  <c:y val="9.8049462567179099E-2"/>
                </c:manualLayout>
              </c:layout>
              <c:tx>
                <c:rich>
                  <a:bodyPr/>
                  <a:lstStyle/>
                  <a:p>
                    <a:fld id="{4E0BA487-CCDC-4FE7-BE25-673E4F54B5AB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328813065033539"/>
                      <c:h val="9.793182102237219E-2"/>
                    </c:manualLayout>
                  </c15:layout>
                  <c15:dlblFieldTable>
                    <c15:dlblFTEntry>
                      <c15:txfldGUID>{4E0BA487-CCDC-4FE7-BE25-673E4F54B5AB}</c15:txfldGUID>
                      <c15:f>'MFP-PDF_All (3)'!$A$19</c15:f>
                      <c15:dlblFieldTableCache>
                        <c:ptCount val="1"/>
                        <c:pt idx="0">
                          <c:v>0.63NaCl-0.37UCl3 (ORNL)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39B2-465A-A40E-3FE3EC31AA44}"/>
                </c:ext>
              </c:extLst>
            </c:dLbl>
            <c:dLbl>
              <c:idx val="1"/>
              <c:layout>
                <c:manualLayout>
                  <c:x val="3.1089929548280139E-2"/>
                  <c:y val="1.568788276465432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48043BA-4F93-455A-BDFD-BB5447868CFE}" type="CELLREF">
                      <a:rPr lang="en-US"/>
                      <a:pPr>
                        <a:defRPr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342772942855827"/>
                      <c:h val="9.7931758530183724E-2"/>
                    </c:manualLayout>
                  </c15:layout>
                  <c15:dlblFieldTable>
                    <c15:dlblFTEntry>
                      <c15:txfldGUID>{F48043BA-4F93-455A-BDFD-BB5447868CFE}</c15:txfldGUID>
                      <c15:f>'MFP-PDF_All (3)'!$A$20</c15:f>
                      <c15:dlblFieldTableCache>
                        <c:ptCount val="1"/>
                        <c:pt idx="0">
                          <c:v>0.658NaCl-0.342UCl3 (ANL)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39B2-465A-A40E-3FE3EC31AA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'MFP-PDF_All (3)'!$AE$19:$AE$20</c:f>
              <c:numCache>
                <c:formatCode>0.000000</c:formatCode>
                <c:ptCount val="2"/>
                <c:pt idx="0">
                  <c:v>0.34729589008948702</c:v>
                </c:pt>
                <c:pt idx="1">
                  <c:v>0.36148346330236197</c:v>
                </c:pt>
              </c:numCache>
            </c:numRef>
          </c:xVal>
          <c:yVal>
            <c:numRef>
              <c:f>'MFP-PDF_All (3)'!$AC$19:$AC$20</c:f>
              <c:numCache>
                <c:formatCode>General</c:formatCode>
                <c:ptCount val="2"/>
                <c:pt idx="0">
                  <c:v>0.239262577144952</c:v>
                </c:pt>
                <c:pt idx="1">
                  <c:v>0.27567442291687039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9B2-465A-A40E-3FE3EC31AA44}"/>
            </c:ext>
          </c:extLst>
        </c:ser>
        <c:ser>
          <c:idx val="2"/>
          <c:order val="4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'MFP-PDF_All (3)'!$AE$21</c:f>
              <c:numCache>
                <c:formatCode>0.000000</c:formatCode>
                <c:ptCount val="1"/>
                <c:pt idx="0">
                  <c:v>0.53393579634110244</c:v>
                </c:pt>
              </c:numCache>
            </c:numRef>
          </c:xVal>
          <c:yVal>
            <c:numRef>
              <c:f>'MFP-PDF_All (3)'!$AC$21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9B2-465A-A40E-3FE3EC31AA44}"/>
            </c:ext>
          </c:extLst>
        </c:ser>
        <c:ser>
          <c:idx val="3"/>
          <c:order val="5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39B2-465A-A40E-3FE3EC31A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.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_predicted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  <c:majorUnit val="0.2"/>
      </c:valAx>
      <c:valAx>
        <c:axId val="689706896"/>
        <c:scaling>
          <c:orientation val="minMax"/>
          <c:max val="1.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0.67247133581986451"/>
          <c:y val="0.32258347914843982"/>
          <c:w val="0.30383133029423953"/>
          <c:h val="0.468753280839895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PDF-max_peak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900991542723829"/>
          <c:y val="4.3650793650793648E-2"/>
          <c:w val="0.51074058688893342"/>
          <c:h val="0.80527777777777776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'MFP-PDF_All (3)'!$AV$3:$AV$5</c:f>
              <c:numCache>
                <c:formatCode>0.00E+00</c:formatCode>
                <c:ptCount val="3"/>
                <c:pt idx="0">
                  <c:v>2245.5514403920206</c:v>
                </c:pt>
                <c:pt idx="1">
                  <c:v>1916.9791387966968</c:v>
                </c:pt>
                <c:pt idx="2">
                  <c:v>2432.1338236700599</c:v>
                </c:pt>
              </c:numCache>
            </c:numRef>
          </c:xVal>
          <c:yVal>
            <c:numRef>
              <c:f>'MFP-PDF_All (3)'!$AS$3:$AS$5</c:f>
              <c:numCache>
                <c:formatCode>0.00E+00</c:formatCode>
                <c:ptCount val="3"/>
                <c:pt idx="0">
                  <c:v>2042.3974499999999</c:v>
                </c:pt>
                <c:pt idx="1">
                  <c:v>1743.6799999999998</c:v>
                </c:pt>
                <c:pt idx="2">
                  <c:v>1597.1839999999997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EB-4A77-BCE1-B7E8F5E5D5A3}"/>
            </c:ext>
          </c:extLst>
        </c:ser>
        <c:ser>
          <c:idx val="0"/>
          <c:order val="1"/>
          <c:tx>
            <c:v>Pure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'MFP-PDF_All (3)'!$AV$6</c:f>
              <c:numCache>
                <c:formatCode>0.00E+00</c:formatCode>
                <c:ptCount val="1"/>
                <c:pt idx="0">
                  <c:v>3010.898194987944</c:v>
                </c:pt>
              </c:numCache>
            </c:numRef>
          </c:xVal>
          <c:yVal>
            <c:numRef>
              <c:f>'MFP-PDF_All (3)'!$AS$6</c:f>
              <c:numCache>
                <c:formatCode>0.00E+00</c:formatCode>
                <c:ptCount val="1"/>
                <c:pt idx="0">
                  <c:v>2547.8000000000002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EEB-4A77-BCE1-B7E8F5E5D5A3}"/>
            </c:ext>
          </c:extLst>
        </c:ser>
        <c:ser>
          <c:idx val="5"/>
          <c:order val="2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'MFP-PDF_All (3)'!$AV$16:$AV$18</c:f>
              <c:numCache>
                <c:formatCode>0.00E+00</c:formatCode>
                <c:ptCount val="3"/>
                <c:pt idx="0">
                  <c:v>3598.7915199332842</c:v>
                </c:pt>
                <c:pt idx="1">
                  <c:v>1845.7321030732169</c:v>
                </c:pt>
                <c:pt idx="2">
                  <c:v>3391.23223899404</c:v>
                </c:pt>
              </c:numCache>
            </c:numRef>
          </c:xVal>
          <c:yVal>
            <c:numRef>
              <c:f>'MFP-PDF_All (3)'!$AS$16:$AS$18</c:f>
              <c:numCache>
                <c:formatCode>0.00E+00</c:formatCode>
                <c:ptCount val="3"/>
                <c:pt idx="0">
                  <c:v>2547.6863757231322</c:v>
                </c:pt>
                <c:pt idx="1">
                  <c:v>2012.468707779205</c:v>
                </c:pt>
                <c:pt idx="2">
                  <c:v>2298.228366828082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EB-4A77-BCE1-B7E8F5E5D5A3}"/>
            </c:ext>
          </c:extLst>
        </c:ser>
        <c:ser>
          <c:idx val="6"/>
          <c:order val="3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'MFP-PDF_All (3)'!$AV$19:$AV$20</c:f>
              <c:numCache>
                <c:formatCode>0.00E+00</c:formatCode>
                <c:ptCount val="2"/>
                <c:pt idx="0">
                  <c:v>1002.958750815991</c:v>
                </c:pt>
                <c:pt idx="1">
                  <c:v>1124.7355158025096</c:v>
                </c:pt>
              </c:numCache>
            </c:numRef>
          </c:xVal>
          <c:yVal>
            <c:numRef>
              <c:f>'MFP-PDF_All (3)'!$AS$19:$AS$20</c:f>
              <c:numCache>
                <c:formatCode>0.00E+00</c:formatCode>
                <c:ptCount val="2"/>
                <c:pt idx="0">
                  <c:v>1451.7494609289899</c:v>
                </c:pt>
                <c:pt idx="1">
                  <c:v>1470.4555590061771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EEB-4A77-BCE1-B7E8F5E5D5A3}"/>
            </c:ext>
          </c:extLst>
        </c:ser>
        <c:ser>
          <c:idx val="2"/>
          <c:order val="4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'MFP-PDF_All (3)'!$AV$21</c:f>
              <c:numCache>
                <c:formatCode>0.00E+00</c:formatCode>
                <c:ptCount val="1"/>
                <c:pt idx="0">
                  <c:v>1474.1154374620271</c:v>
                </c:pt>
              </c:numCache>
            </c:numRef>
          </c:xVal>
          <c:yVal>
            <c:numRef>
              <c:f>'MFP-PDF_All (3)'!$AS$21</c:f>
              <c:numCache>
                <c:formatCode>0.00E+00</c:formatCode>
                <c:ptCount val="1"/>
                <c:pt idx="0">
                  <c:v>1403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EEB-4A77-BCE1-B7E8F5E5D5A3}"/>
            </c:ext>
          </c:extLst>
        </c:ser>
        <c:ser>
          <c:idx val="3"/>
          <c:order val="5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6000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6000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8-7EEB-4A77-BCE1-B7E8F5E5D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vs_calc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v_sound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PDF-avg_peaks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978933554358339"/>
          <c:y val="4.3650793650793648E-2"/>
          <c:w val="0.47553368328958878"/>
          <c:h val="0.82379640044994373"/>
        </c:manualLayout>
      </c:layout>
      <c:scatterChart>
        <c:scatterStyle val="lineMarker"/>
        <c:varyColors val="0"/>
        <c:ser>
          <c:idx val="4"/>
          <c:order val="0"/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'MFP-PDF_All (3)'!$BG$23:$BG$25</c:f>
              <c:numCache>
                <c:formatCode>0.00E+00</c:formatCode>
                <c:ptCount val="3"/>
                <c:pt idx="0">
                  <c:v>1769630.4554948662</c:v>
                </c:pt>
                <c:pt idx="1">
                  <c:v>1460197.5615832598</c:v>
                </c:pt>
                <c:pt idx="2">
                  <c:v>1343915.6235148998</c:v>
                </c:pt>
              </c:numCache>
            </c:numRef>
          </c:xVal>
          <c:yVal>
            <c:numRef>
              <c:f>'MFP-PDF_All (3)'!$BE$3:$BE$5</c:f>
              <c:numCache>
                <c:formatCode>0.00E+00</c:formatCode>
                <c:ptCount val="3"/>
                <c:pt idx="0">
                  <c:v>2299027.692598009</c:v>
                </c:pt>
                <c:pt idx="1">
                  <c:v>1849136.7861885792</c:v>
                </c:pt>
                <c:pt idx="2">
                  <c:v>1506961.5069615068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37-4C04-BC3B-E197AFDD340D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'MFP-PDF_All (3)'!$BG$26</c:f>
              <c:numCache>
                <c:formatCode>0.00E+00</c:formatCode>
                <c:ptCount val="1"/>
                <c:pt idx="0">
                  <c:v>3713748.055119318</c:v>
                </c:pt>
              </c:numCache>
            </c:numRef>
          </c:xVal>
          <c:yVal>
            <c:numRef>
              <c:f>'MFP-PDF_All (3)'!$BE$6</c:f>
              <c:numCache>
                <c:formatCode>0.00E+00</c:formatCode>
                <c:ptCount val="1"/>
                <c:pt idx="0">
                  <c:v>4521126.760563381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37-4C04-BC3B-E197AFDD340D}"/>
            </c:ext>
          </c:extLst>
        </c:ser>
        <c:ser>
          <c:idx val="5"/>
          <c:order val="2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'MFP-PDF_All (3)'!$BH$16:$BH$18</c:f>
              <c:numCache>
                <c:formatCode>General</c:formatCode>
                <c:ptCount val="3"/>
                <c:pt idx="0">
                  <c:v>3718727.7618627409</c:v>
                </c:pt>
                <c:pt idx="1">
                  <c:v>3738404.7815810372</c:v>
                </c:pt>
                <c:pt idx="2">
                  <c:v>4124321.9271379304</c:v>
                </c:pt>
              </c:numCache>
            </c:numRef>
          </c:xVal>
          <c:yVal>
            <c:numRef>
              <c:f>'MFP-PDF_All (3)'!$BE$16:$BE$18</c:f>
              <c:numCache>
                <c:formatCode>0.00E+00</c:formatCode>
                <c:ptCount val="3"/>
                <c:pt idx="0">
                  <c:v>4323157.1595853949</c:v>
                </c:pt>
                <c:pt idx="1">
                  <c:v>3402318.9027080508</c:v>
                </c:pt>
                <c:pt idx="2">
                  <c:v>4192480.558023226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37-4C04-BC3B-E197AFDD340D}"/>
            </c:ext>
          </c:extLst>
        </c:ser>
        <c:ser>
          <c:idx val="6"/>
          <c:order val="3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'MFP-PDF_All (3)'!$BH$19:$BH$20</c:f>
              <c:numCache>
                <c:formatCode>General</c:formatCode>
                <c:ptCount val="2"/>
                <c:pt idx="0">
                  <c:v>1670541.5762349977</c:v>
                </c:pt>
                <c:pt idx="1">
                  <c:v>1843595.9152489989</c:v>
                </c:pt>
              </c:numCache>
            </c:numRef>
          </c:xVal>
          <c:yVal>
            <c:numRef>
              <c:f>'MFP-PDF_All (3)'!$BE$19:$BE$20</c:f>
              <c:numCache>
                <c:formatCode>0.00E+00</c:formatCode>
                <c:ptCount val="2"/>
                <c:pt idx="0">
                  <c:v>2156336.4385642763</c:v>
                </c:pt>
                <c:pt idx="1">
                  <c:v>2149770.3220167966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837-4C04-BC3B-E197AFDD340D}"/>
            </c:ext>
          </c:extLst>
        </c:ser>
        <c:ser>
          <c:idx val="2"/>
          <c:order val="4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'MFP-PDF_All (3)'!$BH$21</c:f>
              <c:numCache>
                <c:formatCode>General</c:formatCode>
                <c:ptCount val="1"/>
                <c:pt idx="0">
                  <c:v>4218973.6676481161</c:v>
                </c:pt>
              </c:numCache>
            </c:numRef>
          </c:xVal>
          <c:yVal>
            <c:numRef>
              <c:f>'MFP-PDF_All (3)'!$BE$21</c:f>
              <c:numCache>
                <c:formatCode>0.00E+00</c:formatCode>
                <c:ptCount val="1"/>
                <c:pt idx="0">
                  <c:v>4183129.8557158709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837-4C04-BC3B-E197AFDD340D}"/>
            </c:ext>
          </c:extLst>
        </c:ser>
        <c:ser>
          <c:idx val="3"/>
          <c:order val="5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.000000000000001E-2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7000000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7000000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9-2837-4C04-BC3B-E197AFDD3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70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C_p,calc_VsoundMetal_secondpeak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E+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  <c:majorUnit val="1000000"/>
      </c:valAx>
      <c:valAx>
        <c:axId val="689706896"/>
        <c:scaling>
          <c:orientation val="minMax"/>
          <c:max val="7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C_p,measured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635608048993876E-2"/>
              <c:y val="0.305791776027996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0.67928926647326981"/>
          <c:y val="0.38847331583552058"/>
          <c:w val="0.30383133029423953"/>
          <c:h val="0.468753280839895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PDF-avg_peaks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978933554358339"/>
          <c:y val="4.3650793650793648E-2"/>
          <c:w val="0.47553368328958878"/>
          <c:h val="0.82379640044994373"/>
        </c:manualLayout>
      </c:layout>
      <c:scatterChart>
        <c:scatterStyle val="lineMarker"/>
        <c:varyColors val="0"/>
        <c:ser>
          <c:idx val="4"/>
          <c:order val="0"/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'MFP-PDF_All (3)'!$BH$23:$BH$25</c:f>
              <c:numCache>
                <c:formatCode>0.00E+00</c:formatCode>
                <c:ptCount val="3"/>
                <c:pt idx="0">
                  <c:v>2051930.1936925012</c:v>
                </c:pt>
                <c:pt idx="1">
                  <c:v>2435237.6039800714</c:v>
                </c:pt>
                <c:pt idx="2">
                  <c:v>1526007.4127224127</c:v>
                </c:pt>
              </c:numCache>
            </c:numRef>
          </c:xVal>
          <c:yVal>
            <c:numRef>
              <c:f>'MFP-PDF_All (3)'!$BE$3:$BE$5</c:f>
              <c:numCache>
                <c:formatCode>0.00E+00</c:formatCode>
                <c:ptCount val="3"/>
                <c:pt idx="0">
                  <c:v>2299027.692598009</c:v>
                </c:pt>
                <c:pt idx="1">
                  <c:v>1849136.7861885792</c:v>
                </c:pt>
                <c:pt idx="2">
                  <c:v>1506961.5069615068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1A-4883-8C02-D620DCC262CA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'MFP-PDF_All (3)'!$BH$26</c:f>
              <c:numCache>
                <c:formatCode>0.00E+00</c:formatCode>
                <c:ptCount val="1"/>
                <c:pt idx="0">
                  <c:v>5333320.0246785739</c:v>
                </c:pt>
              </c:numCache>
            </c:numRef>
          </c:xVal>
          <c:yVal>
            <c:numRef>
              <c:f>'MFP-PDF_All (3)'!$BE$6</c:f>
              <c:numCache>
                <c:formatCode>0.00E+00</c:formatCode>
                <c:ptCount val="1"/>
                <c:pt idx="0">
                  <c:v>4521126.760563381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1A-4883-8C02-D620DCC262CA}"/>
            </c:ext>
          </c:extLst>
        </c:ser>
        <c:ser>
          <c:idx val="5"/>
          <c:order val="2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'MFP-PDF_All (3)'!$BH$16:$BH$18</c:f>
              <c:numCache>
                <c:formatCode>General</c:formatCode>
                <c:ptCount val="3"/>
                <c:pt idx="0">
                  <c:v>3718727.7618627409</c:v>
                </c:pt>
                <c:pt idx="1">
                  <c:v>3738404.7815810372</c:v>
                </c:pt>
                <c:pt idx="2">
                  <c:v>4124321.9271379304</c:v>
                </c:pt>
              </c:numCache>
            </c:numRef>
          </c:xVal>
          <c:yVal>
            <c:numRef>
              <c:f>'MFP-PDF_All (3)'!$BE$16:$BE$18</c:f>
              <c:numCache>
                <c:formatCode>0.00E+00</c:formatCode>
                <c:ptCount val="3"/>
                <c:pt idx="0">
                  <c:v>4323157.1595853949</c:v>
                </c:pt>
                <c:pt idx="1">
                  <c:v>3402318.9027080508</c:v>
                </c:pt>
                <c:pt idx="2">
                  <c:v>4192480.558023226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91A-4883-8C02-D620DCC262CA}"/>
            </c:ext>
          </c:extLst>
        </c:ser>
        <c:ser>
          <c:idx val="6"/>
          <c:order val="3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'MFP-PDF_All (3)'!$BH$19:$BH$20</c:f>
              <c:numCache>
                <c:formatCode>General</c:formatCode>
                <c:ptCount val="2"/>
                <c:pt idx="0">
                  <c:v>1670541.5762349977</c:v>
                </c:pt>
                <c:pt idx="1">
                  <c:v>1843595.9152489989</c:v>
                </c:pt>
              </c:numCache>
            </c:numRef>
          </c:xVal>
          <c:yVal>
            <c:numRef>
              <c:f>'MFP-PDF_All (3)'!$BE$19:$BE$20</c:f>
              <c:numCache>
                <c:formatCode>0.00E+00</c:formatCode>
                <c:ptCount val="2"/>
                <c:pt idx="0">
                  <c:v>2156336.4385642763</c:v>
                </c:pt>
                <c:pt idx="1">
                  <c:v>2149770.3220167966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91A-4883-8C02-D620DCC262CA}"/>
            </c:ext>
          </c:extLst>
        </c:ser>
        <c:ser>
          <c:idx val="2"/>
          <c:order val="4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'MFP-PDF_All (3)'!$BH$21</c:f>
              <c:numCache>
                <c:formatCode>General</c:formatCode>
                <c:ptCount val="1"/>
                <c:pt idx="0">
                  <c:v>4218973.6676481161</c:v>
                </c:pt>
              </c:numCache>
            </c:numRef>
          </c:xVal>
          <c:yVal>
            <c:numRef>
              <c:f>'MFP-PDF_All (3)'!$BE$21</c:f>
              <c:numCache>
                <c:formatCode>0.00E+00</c:formatCode>
                <c:ptCount val="1"/>
                <c:pt idx="0">
                  <c:v>4183129.8557158709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91A-4883-8C02-D620DCC262CA}"/>
            </c:ext>
          </c:extLst>
        </c:ser>
        <c:ser>
          <c:idx val="3"/>
          <c:order val="5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.000000000000001E-2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7000000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7000000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9-791A-4883-8C02-D620DCC26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70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C_p,calc_secondpeak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E+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  <c:majorUnit val="1000000"/>
      </c:valAx>
      <c:valAx>
        <c:axId val="689706896"/>
        <c:scaling>
          <c:orientation val="minMax"/>
          <c:max val="7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C_p,measured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635608048993876E-2"/>
              <c:y val="0.305791776027996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0.67928926647326981"/>
          <c:y val="0.38847331583552058"/>
          <c:w val="0.30383133029423953"/>
          <c:h val="0.468753280839895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Pure Salts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663695203635465"/>
                  <c:y val="-0.15127041411490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'MFP-PDF_Avg'!$BE$6</c:f>
              <c:numCache>
                <c:formatCode>General</c:formatCode>
                <c:ptCount val="1"/>
                <c:pt idx="0">
                  <c:v>4.3524260570898789E-10</c:v>
                </c:pt>
              </c:numCache>
            </c:numRef>
          </c:xVal>
          <c:yVal>
            <c:numRef>
              <c:f>'MFP-PDF_Avg'!$AK$6</c:f>
              <c:numCache>
                <c:formatCode>General</c:formatCode>
                <c:ptCount val="1"/>
                <c:pt idx="0">
                  <c:v>0.47705461868503202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C3-4549-AEEA-CDC816CF8639}"/>
            </c:ext>
          </c:extLst>
        </c:ser>
        <c:ser>
          <c:idx val="1"/>
          <c:order val="1"/>
          <c:tx>
            <c:v>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'MFP-PDF_Avg'!$BE$18:$BE$22</c:f>
              <c:numCache>
                <c:formatCode>General</c:formatCode>
                <c:ptCount val="5"/>
                <c:pt idx="0" formatCode="0.00E+00">
                  <c:v>1.9229592297768383E-10</c:v>
                </c:pt>
                <c:pt idx="1">
                  <c:v>2.4214980323905345E-10</c:v>
                </c:pt>
                <c:pt idx="2">
                  <c:v>2.3780583138410686E-10</c:v>
                </c:pt>
                <c:pt idx="3">
                  <c:v>2.4552541454050528E-10</c:v>
                </c:pt>
                <c:pt idx="4">
                  <c:v>2.7178742571129298E-10</c:v>
                </c:pt>
              </c:numCache>
            </c:numRef>
          </c:xVal>
          <c:yVal>
            <c:numRef>
              <c:f>'MFP-PDF_Avg'!$AK$18:$AK$22</c:f>
              <c:numCache>
                <c:formatCode>General</c:formatCode>
                <c:ptCount val="5"/>
                <c:pt idx="0">
                  <c:v>1.18</c:v>
                </c:pt>
                <c:pt idx="1">
                  <c:v>0.78633287605038305</c:v>
                </c:pt>
                <c:pt idx="2">
                  <c:v>0.86544945017474995</c:v>
                </c:pt>
                <c:pt idx="3">
                  <c:v>0.239262577144952</c:v>
                </c:pt>
                <c:pt idx="4">
                  <c:v>0.27567442291687039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2C3-4549-AEEA-CDC816CF8639}"/>
            </c:ext>
          </c:extLst>
        </c:ser>
        <c:ser>
          <c:idx val="2"/>
          <c:order val="2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'MFP-PDF_Avg'!$BE$23</c:f>
              <c:numCache>
                <c:formatCode>0.00E+00</c:formatCode>
                <c:ptCount val="1"/>
                <c:pt idx="0">
                  <c:v>2.8676430958411341E-10</c:v>
                </c:pt>
              </c:numCache>
            </c:numRef>
          </c:xVal>
          <c:yVal>
            <c:numRef>
              <c:f>'MFP-PDF_Avg'!$AK$23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2C3-4549-AEEA-CDC816CF8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MFP_calc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baseline="0">
                    <a:effectLst/>
                  </a:rPr>
                  <a:t>λ</a:t>
                </a:r>
                <a:r>
                  <a:rPr lang="en-US" sz="1000" b="0" i="0" u="none" strike="noStrike" baseline="0">
                    <a:effectLst/>
                  </a:rPr>
                  <a:t>_measured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95460239568026"/>
          <c:y val="2.9761956838728492E-2"/>
          <c:w val="0.48245913339779894"/>
          <c:h val="0.82313502478856815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'MFP-PDF_Avg'!$BE$5:$BE$7</c:f>
              <c:numCache>
                <c:formatCode>General</c:formatCode>
                <c:ptCount val="3"/>
                <c:pt idx="0" formatCode="0.00E+00">
                  <c:v>3.8934456831071569E-10</c:v>
                </c:pt>
                <c:pt idx="1">
                  <c:v>4.3524260570898789E-10</c:v>
                </c:pt>
                <c:pt idx="2">
                  <c:v>4.4535930159210294E-10</c:v>
                </c:pt>
              </c:numCache>
            </c:numRef>
          </c:xVal>
          <c:yVal>
            <c:numRef>
              <c:f>'MFP-PDF_Avg'!$BB$5:$BB$7</c:f>
              <c:numCache>
                <c:formatCode>0.00E+00</c:formatCode>
                <c:ptCount val="3"/>
                <c:pt idx="0">
                  <c:v>3.0056447474785299E-10</c:v>
                </c:pt>
                <c:pt idx="1">
                  <c:v>3.3400223720324102E-10</c:v>
                </c:pt>
                <c:pt idx="2">
                  <c:v>3.6182029353950698E-10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51-43C6-B12D-CDCD4779A0D9}"/>
            </c:ext>
          </c:extLst>
        </c:ser>
        <c:ser>
          <c:idx val="0"/>
          <c:order val="1"/>
          <c:tx>
            <c:v>Pure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'MFP-PDF_Avg'!$BE$8:$BE$10</c:f>
              <c:numCache>
                <c:formatCode>0.00E+00</c:formatCode>
                <c:ptCount val="3"/>
                <c:pt idx="0">
                  <c:v>3.3052281270883056E-10</c:v>
                </c:pt>
                <c:pt idx="1">
                  <c:v>4.005402703507692E-10</c:v>
                </c:pt>
                <c:pt idx="2">
                  <c:v>4.2251699415347138E-10</c:v>
                </c:pt>
              </c:numCache>
            </c:numRef>
          </c:xVal>
          <c:yVal>
            <c:numRef>
              <c:f>'MFP-PDF_Avg'!$BB$8:$BB$10</c:f>
              <c:numCache>
                <c:formatCode>0.00E+00</c:formatCode>
                <c:ptCount val="3"/>
                <c:pt idx="0">
                  <c:v>2.3591537099888599E-10</c:v>
                </c:pt>
                <c:pt idx="1">
                  <c:v>2.7110331264484899E-10</c:v>
                </c:pt>
                <c:pt idx="2">
                  <c:v>3.1522574455637898E-10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51-43C6-B12D-CDCD4779A0D9}"/>
            </c:ext>
          </c:extLst>
        </c:ser>
        <c:ser>
          <c:idx val="1"/>
          <c:order val="2"/>
          <c:tx>
            <c:v>Alkaline Earth Chlorides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'MFP-PDF_Avg'!$BE$13:$BE$15</c:f>
              <c:numCache>
                <c:formatCode>0.00E+00</c:formatCode>
                <c:ptCount val="3"/>
                <c:pt idx="0">
                  <c:v>4.0499555072860697E-10</c:v>
                </c:pt>
                <c:pt idx="1">
                  <c:v>3.3726922781027543E-10</c:v>
                </c:pt>
                <c:pt idx="2">
                  <c:v>3.3884771765935365E-10</c:v>
                </c:pt>
              </c:numCache>
            </c:numRef>
          </c:xVal>
          <c:yVal>
            <c:numRef>
              <c:f>'MFP-PDF_Avg'!$BB$13:$BB$15</c:f>
              <c:numCache>
                <c:formatCode>0.00E+00</c:formatCode>
                <c:ptCount val="3"/>
                <c:pt idx="0">
                  <c:v>3.08759615447175E-10</c:v>
                </c:pt>
                <c:pt idx="1">
                  <c:v>3.3211022612034601E-10</c:v>
                </c:pt>
                <c:pt idx="2">
                  <c:v>4.2994626258483001E-10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151-43C6-B12D-CDCD4779A0D9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'MFP-PDF_Avg'!$BE$18:$BE$20</c:f>
              <c:numCache>
                <c:formatCode>General</c:formatCode>
                <c:ptCount val="3"/>
                <c:pt idx="0" formatCode="0.00E+00">
                  <c:v>1.9229592297768383E-10</c:v>
                </c:pt>
                <c:pt idx="1">
                  <c:v>2.4214980323905345E-10</c:v>
                </c:pt>
                <c:pt idx="2">
                  <c:v>2.3780583138410686E-10</c:v>
                </c:pt>
              </c:numCache>
            </c:numRef>
          </c:xVal>
          <c:yVal>
            <c:numRef>
              <c:f>'MFP-PDF_Avg'!$BB$18:$BB$20</c:f>
              <c:numCache>
                <c:formatCode>0.00E+00</c:formatCode>
                <c:ptCount val="3"/>
                <c:pt idx="0">
                  <c:v>2.06003844994128E-10</c:v>
                </c:pt>
                <c:pt idx="1">
                  <c:v>2.5955250470707202E-10</c:v>
                </c:pt>
                <c:pt idx="2">
                  <c:v>2.4173581555363199E-10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151-43C6-B12D-CDCD4779A0D9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'MFP-PDF_Avg'!$BE$21:$BE$22</c:f>
              <c:numCache>
                <c:formatCode>General</c:formatCode>
                <c:ptCount val="2"/>
                <c:pt idx="0">
                  <c:v>2.4552541454050528E-10</c:v>
                </c:pt>
                <c:pt idx="1">
                  <c:v>2.7178742571129298E-10</c:v>
                </c:pt>
              </c:numCache>
            </c:numRef>
          </c:xVal>
          <c:yVal>
            <c:numRef>
              <c:f>'MFP-PDF_Avg'!$BB$21:$BB$22</c:f>
              <c:numCache>
                <c:formatCode>0.00E+00</c:formatCode>
                <c:ptCount val="2"/>
                <c:pt idx="0">
                  <c:v>3.1692440673072701E-10</c:v>
                </c:pt>
                <c:pt idx="1">
                  <c:v>3.1692440673072701E-10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151-43C6-B12D-CDCD4779A0D9}"/>
            </c:ext>
          </c:extLst>
        </c:ser>
        <c:ser>
          <c:idx val="2"/>
          <c:order val="5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'MFP-PDF_Avg'!$BE$23</c:f>
              <c:numCache>
                <c:formatCode>0.00E+00</c:formatCode>
                <c:ptCount val="1"/>
                <c:pt idx="0">
                  <c:v>2.8676430958411341E-10</c:v>
                </c:pt>
              </c:numCache>
            </c:numRef>
          </c:xVal>
          <c:yVal>
            <c:numRef>
              <c:f>'MFP-PDF_Avg'!$BB$23</c:f>
              <c:numCache>
                <c:formatCode>0.00E+00</c:formatCode>
                <c:ptCount val="1"/>
                <c:pt idx="0">
                  <c:v>2.8432800000000002E-10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151-43C6-B12D-CDCD4779A0D9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9.9999999999999994E-12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9.9999999999999994E-12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A151-43C6-B12D-CDCD4779A0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6.0000000000000031E-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MFP_calc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6.0000000000000031E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PDF-MFP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66593759113446"/>
          <c:y val="5.9523809523809521E-2"/>
          <c:w val="0.56891659375911341"/>
          <c:h val="0.77617745698454343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'MFP-PDF_Avg'!$AS$5:$AS$7</c:f>
              <c:numCache>
                <c:formatCode>0.000000</c:formatCode>
                <c:ptCount val="3"/>
                <c:pt idx="0">
                  <c:v>0.48162168927176202</c:v>
                </c:pt>
                <c:pt idx="1">
                  <c:v>0.36608849367903401</c:v>
                </c:pt>
                <c:pt idx="2">
                  <c:v>0.296937775746827</c:v>
                </c:pt>
              </c:numCache>
            </c:numRef>
          </c:xVal>
          <c:yVal>
            <c:numRef>
              <c:f>'MFP-PDF_Avg'!$AK$5:$AK$7</c:f>
              <c:numCache>
                <c:formatCode>General</c:formatCode>
                <c:ptCount val="3"/>
                <c:pt idx="0">
                  <c:v>0.62171538406412596</c:v>
                </c:pt>
                <c:pt idx="1">
                  <c:v>0.47705461868503202</c:v>
                </c:pt>
                <c:pt idx="2">
                  <c:v>0.36559719352224501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3D-414C-8536-3AE93C07306D}"/>
            </c:ext>
          </c:extLst>
        </c:ser>
        <c:ser>
          <c:idx val="1"/>
          <c:order val="1"/>
          <c:tx>
            <c:v>Pure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'MFP-PDF_Avg'!$AS$8:$AS$10</c:f>
              <c:numCache>
                <c:formatCode>0.000000</c:formatCode>
                <c:ptCount val="3"/>
                <c:pt idx="0">
                  <c:v>0.90535258306336996</c:v>
                </c:pt>
                <c:pt idx="1">
                  <c:v>0.61286742806674199</c:v>
                </c:pt>
                <c:pt idx="2">
                  <c:v>0.42353288371673797</c:v>
                </c:pt>
              </c:numCache>
            </c:numRef>
          </c:xVal>
          <c:yVal>
            <c:numRef>
              <c:f>'MFP-PDF_Avg'!$AK$8:$AK$10</c:f>
              <c:numCache>
                <c:formatCode>General</c:formatCode>
                <c:ptCount val="3"/>
                <c:pt idx="0">
                  <c:v>1.2682350574951</c:v>
                </c:pt>
                <c:pt idx="1">
                  <c:v>0.90547800000000001</c:v>
                </c:pt>
                <c:pt idx="2">
                  <c:v>0.56768789999999902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3D-414C-8536-3AE93C07306D}"/>
            </c:ext>
          </c:extLst>
        </c:ser>
        <c:ser>
          <c:idx val="7"/>
          <c:order val="2"/>
          <c:tx>
            <c:v>Alkaline Earth Chlorides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'MFP-PDF_Avg'!$AS$13:$AS$15</c:f>
              <c:numCache>
                <c:formatCode>0.000000</c:formatCode>
                <c:ptCount val="3"/>
                <c:pt idx="0">
                  <c:v>0.35221854185797102</c:v>
                </c:pt>
                <c:pt idx="1">
                  <c:v>0.44097489408671398</c:v>
                </c:pt>
                <c:pt idx="2">
                  <c:v>0.48314180608273199</c:v>
                </c:pt>
              </c:numCache>
            </c:numRef>
          </c:xVal>
          <c:yVal>
            <c:numRef>
              <c:f>'MFP-PDF_Avg'!$AK$13:$AK$15</c:f>
              <c:numCache>
                <c:formatCode>General</c:formatCode>
                <c:ptCount val="3"/>
                <c:pt idx="0">
                  <c:v>0.46200000000000002</c:v>
                </c:pt>
                <c:pt idx="1">
                  <c:v>0.44782499999999897</c:v>
                </c:pt>
                <c:pt idx="2">
                  <c:v>0.380772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F3D-414C-8536-3AE93C07306D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'MFP-PDF_Avg'!$AS$18:$AS$20</c:f>
              <c:numCache>
                <c:formatCode>0.000000</c:formatCode>
                <c:ptCount val="3"/>
                <c:pt idx="0">
                  <c:v>1.2641169574941</c:v>
                </c:pt>
                <c:pt idx="1">
                  <c:v>0.84284465559077204</c:v>
                </c:pt>
                <c:pt idx="2">
                  <c:v>0.93676902087574598</c:v>
                </c:pt>
              </c:numCache>
            </c:numRef>
          </c:xVal>
          <c:yVal>
            <c:numRef>
              <c:f>('MFP-PDF_Avg'!$AK$18,'MFP-PDF_Avg'!$AK$19,'MFP-PDF_Avg'!$AK$20)</c:f>
              <c:numCache>
                <c:formatCode>General</c:formatCode>
                <c:ptCount val="3"/>
                <c:pt idx="0">
                  <c:v>1.18</c:v>
                </c:pt>
                <c:pt idx="1">
                  <c:v>0.78633287605038305</c:v>
                </c:pt>
                <c:pt idx="2">
                  <c:v>0.86544945017474995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F3D-414C-8536-3AE93C07306D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8.5943333609889649E-2"/>
                  <c:y val="0.104994167395742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E0BA487-CCDC-4FE7-BE25-673E4F54B5AB}" type="CELLREF">
                      <a:rPr lang="en-US"/>
                      <a:pPr>
                        <a:defRPr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597216460632209"/>
                      <c:h val="0.11182086614173228"/>
                    </c:manualLayout>
                  </c15:layout>
                  <c15:dlblFieldTable>
                    <c15:dlblFTEntry>
                      <c15:txfldGUID>{4E0BA487-CCDC-4FE7-BE25-673E4F54B5AB}</c15:txfldGUID>
                      <c15:f>'MFP-PDF_Avg'!$A$21</c15:f>
                      <c15:dlblFieldTableCache>
                        <c:ptCount val="1"/>
                        <c:pt idx="0">
                          <c:v>0.63NaCl-0.37UCl3 (ORNL)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7F3D-414C-8536-3AE93C07306D}"/>
                </c:ext>
              </c:extLst>
            </c:dLbl>
            <c:dLbl>
              <c:idx val="1"/>
              <c:layout>
                <c:manualLayout>
                  <c:x val="3.1089929548280139E-2"/>
                  <c:y val="1.568788276465432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48043BA-4F93-455A-BDFD-BB5447868CFE}" type="CELLREF">
                      <a:rPr lang="en-US"/>
                      <a:pPr>
                        <a:defRPr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342772942855827"/>
                      <c:h val="9.7931758530183724E-2"/>
                    </c:manualLayout>
                  </c15:layout>
                  <c15:dlblFieldTable>
                    <c15:dlblFTEntry>
                      <c15:txfldGUID>{F48043BA-4F93-455A-BDFD-BB5447868CFE}</c15:txfldGUID>
                      <c15:f>'MFP-PDF_Avg'!$A$22</c15:f>
                      <c15:dlblFieldTableCache>
                        <c:ptCount val="1"/>
                        <c:pt idx="0">
                          <c:v>0.658NaCl-0.342UCl3 (ANL)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7F3D-414C-8536-3AE93C0730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'MFP-PDF_Avg'!$AS$21:$AS$22</c:f>
              <c:numCache>
                <c:formatCode>0.000000</c:formatCode>
                <c:ptCount val="2"/>
                <c:pt idx="0">
                  <c:v>0.30884033107708703</c:v>
                </c:pt>
                <c:pt idx="1">
                  <c:v>0.32145693534244602</c:v>
                </c:pt>
              </c:numCache>
            </c:numRef>
          </c:xVal>
          <c:yVal>
            <c:numRef>
              <c:f>'MFP-PDF_Avg'!$AK$21:$AK$22</c:f>
              <c:numCache>
                <c:formatCode>General</c:formatCode>
                <c:ptCount val="2"/>
                <c:pt idx="0">
                  <c:v>0.239262577144952</c:v>
                </c:pt>
                <c:pt idx="1">
                  <c:v>0.27567442291687039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F3D-414C-8536-3AE93C07306D}"/>
            </c:ext>
          </c:extLst>
        </c:ser>
        <c:ser>
          <c:idx val="2"/>
          <c:order val="5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'MFP-PDF_Avg'!$AS$23</c:f>
              <c:numCache>
                <c:formatCode>0.000000</c:formatCode>
                <c:ptCount val="1"/>
                <c:pt idx="0">
                  <c:v>0.55623382223307438</c:v>
                </c:pt>
              </c:numCache>
            </c:numRef>
          </c:xVal>
          <c:yVal>
            <c:numRef>
              <c:f>'MFP-PDF_Avg'!$AK$23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F3D-414C-8536-3AE93C07306D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C-7F3D-414C-8536-3AE93C07306D}"/>
            </c:ext>
          </c:extLst>
        </c:ser>
        <c:ser>
          <c:idx val="0"/>
          <c:order val="7"/>
          <c:tx>
            <c:v>Fit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5761315046934277"/>
                  <c:y val="-2.292578011081948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'MFP-PDF_Avg'!$AS$5:$AS$23</c:f>
              <c:numCache>
                <c:formatCode>0.000000</c:formatCode>
                <c:ptCount val="19"/>
                <c:pt idx="0">
                  <c:v>0.48162168927176202</c:v>
                </c:pt>
                <c:pt idx="1">
                  <c:v>0.36608849367903401</c:v>
                </c:pt>
                <c:pt idx="2">
                  <c:v>0.296937775746827</c:v>
                </c:pt>
                <c:pt idx="3">
                  <c:v>0.90535258306336996</c:v>
                </c:pt>
                <c:pt idx="4">
                  <c:v>0.61286742806674199</c:v>
                </c:pt>
                <c:pt idx="5">
                  <c:v>0.42353288371673797</c:v>
                </c:pt>
                <c:pt idx="8">
                  <c:v>0.35221854185797102</c:v>
                </c:pt>
                <c:pt idx="9">
                  <c:v>0.44097489408671398</c:v>
                </c:pt>
                <c:pt idx="10">
                  <c:v>0.48314180608273199</c:v>
                </c:pt>
                <c:pt idx="13">
                  <c:v>1.2641169574941</c:v>
                </c:pt>
                <c:pt idx="14">
                  <c:v>0.84284465559077204</c:v>
                </c:pt>
                <c:pt idx="15">
                  <c:v>0.93676902087574598</c:v>
                </c:pt>
                <c:pt idx="16">
                  <c:v>0.30884033107708703</c:v>
                </c:pt>
                <c:pt idx="17">
                  <c:v>0.32145693534244602</c:v>
                </c:pt>
                <c:pt idx="18">
                  <c:v>0.55623382223307438</c:v>
                </c:pt>
              </c:numCache>
            </c:numRef>
          </c:xVal>
          <c:yVal>
            <c:numRef>
              <c:f>'MFP-PDF_Avg'!$AK$5:$AK$23</c:f>
              <c:numCache>
                <c:formatCode>General</c:formatCode>
                <c:ptCount val="19"/>
                <c:pt idx="0">
                  <c:v>0.62171538406412596</c:v>
                </c:pt>
                <c:pt idx="1">
                  <c:v>0.47705461868503202</c:v>
                </c:pt>
                <c:pt idx="2">
                  <c:v>0.36559719352224501</c:v>
                </c:pt>
                <c:pt idx="3">
                  <c:v>1.2682350574951</c:v>
                </c:pt>
                <c:pt idx="4">
                  <c:v>0.90547800000000001</c:v>
                </c:pt>
                <c:pt idx="5">
                  <c:v>0.56768789999999902</c:v>
                </c:pt>
                <c:pt idx="8">
                  <c:v>0.46200000000000002</c:v>
                </c:pt>
                <c:pt idx="9">
                  <c:v>0.44782499999999897</c:v>
                </c:pt>
                <c:pt idx="10">
                  <c:v>0.380772</c:v>
                </c:pt>
                <c:pt idx="11">
                  <c:v>0.59593560000000001</c:v>
                </c:pt>
                <c:pt idx="12">
                  <c:v>0.14599400000000001</c:v>
                </c:pt>
                <c:pt idx="13">
                  <c:v>1.18</c:v>
                </c:pt>
                <c:pt idx="14">
                  <c:v>0.78633287605038305</c:v>
                </c:pt>
                <c:pt idx="15">
                  <c:v>0.86544945017474995</c:v>
                </c:pt>
                <c:pt idx="16">
                  <c:v>0.239262577144952</c:v>
                </c:pt>
                <c:pt idx="17">
                  <c:v>0.27567442291687039</c:v>
                </c:pt>
                <c:pt idx="18" formatCode="0.0000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F3D-414C-8536-3AE93C073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.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_predicted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  <c:majorUnit val="0.2"/>
      </c:valAx>
      <c:valAx>
        <c:axId val="689706896"/>
        <c:scaling>
          <c:orientation val="minMax"/>
          <c:max val="1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  <c:minorUnit val="4.0000000000000008E-2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0.71601650001853678"/>
          <c:y val="0.1836945902595509"/>
          <c:w val="0.28398349998146333"/>
          <c:h val="0.763893263342082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27133121517705"/>
          <c:y val="4.3650793650793648E-2"/>
          <c:w val="0.47260970668140168"/>
          <c:h val="0.82379640044994373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'MFP-PDF_Avg'!$BX$5:$BX$7</c:f>
              <c:numCache>
                <c:formatCode>General</c:formatCode>
                <c:ptCount val="3"/>
                <c:pt idx="0">
                  <c:v>2978109.5894977963</c:v>
                </c:pt>
                <c:pt idx="1">
                  <c:v>2409633.8990787021</c:v>
                </c:pt>
                <c:pt idx="2">
                  <c:v>1854896.8541845416</c:v>
                </c:pt>
              </c:numCache>
            </c:numRef>
          </c:xVal>
          <c:yVal>
            <c:numRef>
              <c:f>'MFP-PDF_Avg'!$BQ$5:$BQ$7</c:f>
              <c:numCache>
                <c:formatCode>0.00E+00</c:formatCode>
                <c:ptCount val="3"/>
                <c:pt idx="0">
                  <c:v>2299027.692598009</c:v>
                </c:pt>
                <c:pt idx="1">
                  <c:v>1849136.7861885792</c:v>
                </c:pt>
                <c:pt idx="2">
                  <c:v>1506961.5069615068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CC-4CF5-A193-D44120842995}"/>
            </c:ext>
          </c:extLst>
        </c:ser>
        <c:ser>
          <c:idx val="0"/>
          <c:order val="1"/>
          <c:tx>
            <c:v>Pure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'MFP-PDF_Avg'!$BX$8:$BX$10</c:f>
              <c:numCache>
                <c:formatCode>General</c:formatCode>
                <c:ptCount val="3"/>
                <c:pt idx="0">
                  <c:v>6334201.6553962827</c:v>
                </c:pt>
                <c:pt idx="1">
                  <c:v>4816121.6498138951</c:v>
                </c:pt>
                <c:pt idx="2">
                  <c:v>2947165.449707821</c:v>
                </c:pt>
              </c:numCache>
            </c:numRef>
          </c:xVal>
          <c:yVal>
            <c:numRef>
              <c:f>'MFP-PDF_Avg'!$BQ$8:$BQ$10</c:f>
              <c:numCache>
                <c:formatCode>0.00E+00</c:formatCode>
                <c:ptCount val="3"/>
                <c:pt idx="0">
                  <c:v>4521126.760563381</c:v>
                </c:pt>
                <c:pt idx="1">
                  <c:v>3250000</c:v>
                </c:pt>
                <c:pt idx="2">
                  <c:v>2200657.8947368423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CC-4CF5-A193-D44120842995}"/>
            </c:ext>
          </c:extLst>
        </c:ser>
        <c:ser>
          <c:idx val="1"/>
          <c:order val="2"/>
          <c:tx>
            <c:v>Alkaline Earth Chlorides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'MFP-PDF_Avg'!$BX$13:$BX$15</c:f>
              <c:numCache>
                <c:formatCode>General</c:formatCode>
                <c:ptCount val="3"/>
                <c:pt idx="0">
                  <c:v>2136567.8374709934</c:v>
                </c:pt>
                <c:pt idx="1">
                  <c:v>1958939.2845827502</c:v>
                </c:pt>
                <c:pt idx="2">
                  <c:v>1418417.7657498075</c:v>
                </c:pt>
              </c:numCache>
            </c:numRef>
          </c:xVal>
          <c:yVal>
            <c:numRef>
              <c:f>'MFP-PDF_Avg'!$BQ$13:$BQ$15</c:f>
              <c:numCache>
                <c:formatCode>0.00E+00</c:formatCode>
                <c:ptCount val="3"/>
                <c:pt idx="0">
                  <c:v>1628871.8794256966</c:v>
                </c:pt>
                <c:pt idx="1">
                  <c:v>1928974.5850302745</c:v>
                </c:pt>
                <c:pt idx="2">
                  <c:v>1799756.6027023955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1CC-4CF5-A193-D44120842995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'MFP-PDF_Avg'!$BX$18:$BX$20</c:f>
              <c:numCache>
                <c:formatCode>General</c:formatCode>
                <c:ptCount val="3"/>
                <c:pt idx="0">
                  <c:v>4450276.1321810596</c:v>
                </c:pt>
                <c:pt idx="1">
                  <c:v>3738404.7815810372</c:v>
                </c:pt>
                <c:pt idx="2">
                  <c:v>4124321.9271379304</c:v>
                </c:pt>
              </c:numCache>
            </c:numRef>
          </c:xVal>
          <c:yVal>
            <c:numRef>
              <c:f>'MFP-PDF_Avg'!$BQ$18:$BQ$20</c:f>
              <c:numCache>
                <c:formatCode>0.00E+00</c:formatCode>
                <c:ptCount val="3"/>
                <c:pt idx="0">
                  <c:v>4323157.1595853949</c:v>
                </c:pt>
                <c:pt idx="1">
                  <c:v>3402318.9027080508</c:v>
                </c:pt>
                <c:pt idx="2">
                  <c:v>4192480.558023226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1CC-4CF5-A193-D44120842995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'MFP-PDF_Avg'!$BX$21:$BX$22</c:f>
              <c:numCache>
                <c:formatCode>General</c:formatCode>
                <c:ptCount val="2"/>
                <c:pt idx="0">
                  <c:v>1670541.5762349977</c:v>
                </c:pt>
                <c:pt idx="1">
                  <c:v>1843595.9152489989</c:v>
                </c:pt>
              </c:numCache>
            </c:numRef>
          </c:xVal>
          <c:yVal>
            <c:numRef>
              <c:f>'MFP-PDF_Avg'!$BQ$21:$BQ$22</c:f>
              <c:numCache>
                <c:formatCode>0.00E+00</c:formatCode>
                <c:ptCount val="2"/>
                <c:pt idx="0">
                  <c:v>2156336.4385642763</c:v>
                </c:pt>
                <c:pt idx="1">
                  <c:v>2149770.3220167966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1CC-4CF5-A193-D44120842995}"/>
            </c:ext>
          </c:extLst>
        </c:ser>
        <c:ser>
          <c:idx val="2"/>
          <c:order val="5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'MFP-PDF_Avg'!$BX$23</c:f>
              <c:numCache>
                <c:formatCode>General</c:formatCode>
                <c:ptCount val="1"/>
                <c:pt idx="0">
                  <c:v>4218973.6676481161</c:v>
                </c:pt>
              </c:numCache>
            </c:numRef>
          </c:xVal>
          <c:yVal>
            <c:numRef>
              <c:f>'MFP-PDF_Avg'!$BQ$23</c:f>
              <c:numCache>
                <c:formatCode>0.00E+00</c:formatCode>
                <c:ptCount val="1"/>
                <c:pt idx="0">
                  <c:v>4183129.8557158709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1CC-4CF5-A193-D44120842995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.000000000000001E-2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7000000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7000000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41CC-4CF5-A193-D44120842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70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C_p,calc (phonon)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E+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  <c:majorUnit val="1000000"/>
      </c:valAx>
      <c:valAx>
        <c:axId val="689706896"/>
        <c:scaling>
          <c:orientation val="minMax"/>
          <c:max val="7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C_p,measured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635608048993876E-2"/>
              <c:y val="0.305791776027996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68536096836723448"/>
          <c:y val="8.2917760279965003E-2"/>
          <c:w val="0.30430796313330477"/>
          <c:h val="0.745785943423738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00991542723829"/>
          <c:y val="4.3650793650793648E-2"/>
          <c:w val="0.51074058688893342"/>
          <c:h val="0.80527777777777776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'MFP-PDF_Avg'!$BN$5:$BN$7</c:f>
              <c:numCache>
                <c:formatCode>0.00E+00</c:formatCode>
                <c:ptCount val="3"/>
                <c:pt idx="0">
                  <c:v>2693.7162538043849</c:v>
                </c:pt>
                <c:pt idx="1">
                  <c:v>2311.230914287702</c:v>
                </c:pt>
                <c:pt idx="2">
                  <c:v>2009.61655027342</c:v>
                </c:pt>
              </c:numCache>
            </c:numRef>
          </c:xVal>
          <c:yVal>
            <c:numRef>
              <c:f>'MFP-PDF_Avg'!$BJ$5:$BJ$7</c:f>
              <c:numCache>
                <c:formatCode>0.00E+00</c:formatCode>
                <c:ptCount val="3"/>
                <c:pt idx="0">
                  <c:v>2042.3974499999999</c:v>
                </c:pt>
                <c:pt idx="1">
                  <c:v>1743.6799999999998</c:v>
                </c:pt>
                <c:pt idx="2">
                  <c:v>1597.1839999999997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E1-422B-8399-9216065FCF41}"/>
            </c:ext>
          </c:extLst>
        </c:ser>
        <c:ser>
          <c:idx val="0"/>
          <c:order val="1"/>
          <c:tx>
            <c:v>Pure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'MFP-PDF_Avg'!$BN$8:$BN$10</c:f>
              <c:numCache>
                <c:formatCode>0.00E+00</c:formatCode>
                <c:ptCount val="3"/>
                <c:pt idx="0">
                  <c:v>3603.0260160657886</c:v>
                </c:pt>
                <c:pt idx="1">
                  <c:v>3073.8186935965673</c:v>
                </c:pt>
                <c:pt idx="2">
                  <c:v>2457.1247028936327</c:v>
                </c:pt>
              </c:numCache>
            </c:numRef>
          </c:xVal>
          <c:yVal>
            <c:numRef>
              <c:f>'MFP-PDF_Avg'!$BJ$8:$BJ$10</c:f>
              <c:numCache>
                <c:formatCode>0.00E+00</c:formatCode>
                <c:ptCount val="3"/>
                <c:pt idx="0">
                  <c:v>2547.8000000000002</c:v>
                </c:pt>
                <c:pt idx="1">
                  <c:v>2085.5</c:v>
                </c:pt>
                <c:pt idx="2">
                  <c:v>1816.4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E1-422B-8399-9216065FCF41}"/>
            </c:ext>
          </c:extLst>
        </c:ser>
        <c:ser>
          <c:idx val="1"/>
          <c:order val="2"/>
          <c:tx>
            <c:v>Alkaline Earth Chlorides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'MFP-PDF_Avg'!$BN$13:$BN$15</c:f>
              <c:numCache>
                <c:formatCode>0.00E+00</c:formatCode>
                <c:ptCount val="3"/>
                <c:pt idx="0">
                  <c:v>2755.8515087811993</c:v>
                </c:pt>
                <c:pt idx="1">
                  <c:v>2097.1081849574707</c:v>
                </c:pt>
                <c:pt idx="2">
                  <c:v>1476.2445463845206</c:v>
                </c:pt>
              </c:numCache>
            </c:numRef>
          </c:xVal>
          <c:yVal>
            <c:numRef>
              <c:f>'MFP-PDF_Avg'!$BJ$13:$BJ$15</c:f>
              <c:numCache>
                <c:formatCode>0.00E+00</c:formatCode>
                <c:ptCount val="3"/>
                <c:pt idx="0">
                  <c:v>2101</c:v>
                </c:pt>
                <c:pt idx="1">
                  <c:v>2065.0300000000002</c:v>
                </c:pt>
                <c:pt idx="2">
                  <c:v>1873.13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6E1-422B-8399-9216065FCF41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'MFP-PDF_Avg'!$BN$18:$BN$20</c:f>
              <c:numCache>
                <c:formatCode>0.00E+00</c:formatCode>
                <c:ptCount val="3"/>
                <c:pt idx="0">
                  <c:v>3234.0537196156542</c:v>
                </c:pt>
                <c:pt idx="1">
                  <c:v>2200.9716645044032</c:v>
                </c:pt>
                <c:pt idx="2">
                  <c:v>2561.8335184383373</c:v>
                </c:pt>
              </c:numCache>
            </c:numRef>
          </c:xVal>
          <c:yVal>
            <c:numRef>
              <c:f>'MFP-PDF_Avg'!$BJ$18:$BJ$20</c:f>
              <c:numCache>
                <c:formatCode>0.00E+00</c:formatCode>
                <c:ptCount val="3"/>
                <c:pt idx="0">
                  <c:v>2547.6863757231322</c:v>
                </c:pt>
                <c:pt idx="1">
                  <c:v>2012.468707779205</c:v>
                </c:pt>
                <c:pt idx="2">
                  <c:v>2298.228366828082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6E1-422B-8399-9216065FCF41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'MFP-PDF_Avg'!$BN$21:$BN$22</c:f>
              <c:numCache>
                <c:formatCode>0.00E+00</c:formatCode>
                <c:ptCount val="2"/>
                <c:pt idx="0">
                  <c:v>1127.8431507727448</c:v>
                </c:pt>
                <c:pt idx="1">
                  <c:v>1264.7830699883316</c:v>
                </c:pt>
              </c:numCache>
            </c:numRef>
          </c:xVal>
          <c:yVal>
            <c:numRef>
              <c:f>'MFP-PDF_Avg'!$BJ$21:$BJ$22</c:f>
              <c:numCache>
                <c:formatCode>0.00E+00</c:formatCode>
                <c:ptCount val="2"/>
                <c:pt idx="0">
                  <c:v>1451.7494609289899</c:v>
                </c:pt>
                <c:pt idx="1">
                  <c:v>1470.4555590061771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6E1-422B-8399-9216065FCF41}"/>
            </c:ext>
          </c:extLst>
        </c:ser>
        <c:ser>
          <c:idx val="2"/>
          <c:order val="5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'MFP-PDF_Avg'!$BN$23</c:f>
              <c:numCache>
                <c:formatCode>0.00E+00</c:formatCode>
                <c:ptCount val="1"/>
                <c:pt idx="0">
                  <c:v>1415.0218281228406</c:v>
                </c:pt>
              </c:numCache>
            </c:numRef>
          </c:xVal>
          <c:yVal>
            <c:numRef>
              <c:f>'MFP-PDF_Avg'!$BJ$23</c:f>
              <c:numCache>
                <c:formatCode>0.00E+00</c:formatCode>
                <c:ptCount val="1"/>
                <c:pt idx="0">
                  <c:v>1403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6E1-422B-8399-9216065FCF41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6000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6000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F6E1-422B-8399-9216065FC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vs_calc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v_sound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PDF-avg_peak</a:t>
            </a:r>
          </a:p>
        </c:rich>
      </c:tx>
      <c:layout>
        <c:manualLayout>
          <c:xMode val="edge"/>
          <c:yMode val="edge"/>
          <c:x val="0.21481719390339363"/>
          <c:y val="3.33333333333333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66593759113446"/>
          <c:y val="5.9523809523809521E-2"/>
          <c:w val="0.56891659375911341"/>
          <c:h val="0.77617745698454343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'MFP-PDF_Avg'!$BH$5:$BH$7</c:f>
              <c:numCache>
                <c:formatCode>0.00E+00</c:formatCode>
                <c:ptCount val="3"/>
                <c:pt idx="0">
                  <c:v>2.30802105895922E-4</c:v>
                </c:pt>
                <c:pt idx="1">
                  <c:v>2.0640716413749399E-4</c:v>
                </c:pt>
                <c:pt idx="2">
                  <c:v>1.8192385680367899E-4</c:v>
                </c:pt>
              </c:numCache>
            </c:numRef>
          </c:xVal>
          <c:yVal>
            <c:numRef>
              <c:f>'MFP-PDF_Avg'!$AK$5:$AK$7</c:f>
              <c:numCache>
                <c:formatCode>General</c:formatCode>
                <c:ptCount val="3"/>
                <c:pt idx="0">
                  <c:v>0.62171538406412596</c:v>
                </c:pt>
                <c:pt idx="1">
                  <c:v>0.47705461868503202</c:v>
                </c:pt>
                <c:pt idx="2">
                  <c:v>0.36559719352224501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68-47CC-992A-F1907BDF591D}"/>
            </c:ext>
          </c:extLst>
        </c:ser>
        <c:ser>
          <c:idx val="5"/>
          <c:order val="1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'MFP-PDF_Avg'!$BH$18:$BH$20</c:f>
              <c:numCache>
                <c:formatCode>0.00E+00</c:formatCode>
                <c:ptCount val="3"/>
                <c:pt idx="0">
                  <c:v>3.64867161248093E-4</c:v>
                </c:pt>
                <c:pt idx="1">
                  <c:v>3.5726624232913199E-4</c:v>
                </c:pt>
                <c:pt idx="2">
                  <c:v>3.3782423562883098E-4</c:v>
                </c:pt>
              </c:numCache>
            </c:numRef>
          </c:xVal>
          <c:yVal>
            <c:numRef>
              <c:f>('MFP-PDF_Avg'!$AK$18,'MFP-PDF_Avg'!$AK$19,'MFP-PDF_Avg'!$AK$20)</c:f>
              <c:numCache>
                <c:formatCode>General</c:formatCode>
                <c:ptCount val="3"/>
                <c:pt idx="0">
                  <c:v>1.18</c:v>
                </c:pt>
                <c:pt idx="1">
                  <c:v>0.78633287605038305</c:v>
                </c:pt>
                <c:pt idx="2">
                  <c:v>0.86544945017474995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68-47CC-992A-F1907BDF591D}"/>
            </c:ext>
          </c:extLst>
        </c:ser>
        <c:ser>
          <c:idx val="6"/>
          <c:order val="2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9.3845873432487625E-2"/>
                  <c:y val="9.8049462567179099E-2"/>
                </c:manualLayout>
              </c:layout>
              <c:tx>
                <c:rich>
                  <a:bodyPr/>
                  <a:lstStyle/>
                  <a:p>
                    <a:fld id="{4E0BA487-CCDC-4FE7-BE25-673E4F54B5AB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328813065033539"/>
                      <c:h val="9.793182102237219E-2"/>
                    </c:manualLayout>
                  </c15:layout>
                  <c15:dlblFieldTable>
                    <c15:dlblFTEntry>
                      <c15:txfldGUID>{4E0BA487-CCDC-4FE7-BE25-673E4F54B5AB}</c15:txfldGUID>
                      <c15:f>'MFP-PDF_Avg'!$A$21</c15:f>
                      <c15:dlblFieldTableCache>
                        <c:ptCount val="1"/>
                        <c:pt idx="0">
                          <c:v>0.63NaCl-0.37UCl3 (ORNL)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7F68-47CC-992A-F1907BDF591D}"/>
                </c:ext>
              </c:extLst>
            </c:dLbl>
            <c:dLbl>
              <c:idx val="1"/>
              <c:layout>
                <c:manualLayout>
                  <c:x val="3.1089929548280139E-2"/>
                  <c:y val="1.568788276465432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48043BA-4F93-455A-BDFD-BB5447868CFE}" type="CELLREF">
                      <a:rPr lang="en-US"/>
                      <a:pPr>
                        <a:defRPr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342772942855827"/>
                      <c:h val="9.7931758530183724E-2"/>
                    </c:manualLayout>
                  </c15:layout>
                  <c15:dlblFieldTable>
                    <c15:dlblFTEntry>
                      <c15:txfldGUID>{F48043BA-4F93-455A-BDFD-BB5447868CFE}</c15:txfldGUID>
                      <c15:f>'MFP-PDF_Avg'!$A$22</c15:f>
                      <c15:dlblFieldTableCache>
                        <c:ptCount val="1"/>
                        <c:pt idx="0">
                          <c:v>0.658NaCl-0.342UCl3 (ANL)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7F68-47CC-992A-F1907BDF59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'MFP-PDF_Avg'!$BH$21:$BH$22</c:f>
              <c:numCache>
                <c:formatCode>0.00E+00</c:formatCode>
                <c:ptCount val="2"/>
                <c:pt idx="0">
                  <c:v>2.12141712241654E-4</c:v>
                </c:pt>
                <c:pt idx="1">
                  <c:v>2.1796182243284901E-4</c:v>
                </c:pt>
              </c:numCache>
            </c:numRef>
          </c:xVal>
          <c:yVal>
            <c:numRef>
              <c:f>'MFP-PDF_Avg'!$AK$21:$AK$22</c:f>
              <c:numCache>
                <c:formatCode>General</c:formatCode>
                <c:ptCount val="2"/>
                <c:pt idx="0">
                  <c:v>0.239262577144952</c:v>
                </c:pt>
                <c:pt idx="1">
                  <c:v>0.27567442291687039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F68-47CC-992A-F1907BDF591D}"/>
            </c:ext>
          </c:extLst>
        </c:ser>
        <c:ser>
          <c:idx val="2"/>
          <c:order val="3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'MFP-PDF_Avg'!$BH$23</c:f>
              <c:numCache>
                <c:formatCode>0.00E+00</c:formatCode>
                <c:ptCount val="1"/>
                <c:pt idx="0">
                  <c:v>3.9646031520532745E-4</c:v>
                </c:pt>
              </c:numCache>
            </c:numRef>
          </c:xVal>
          <c:yVal>
            <c:numRef>
              <c:f>'MFP-PDF_Avg'!$AK$23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F68-47CC-992A-F1907BDF591D}"/>
            </c:ext>
          </c:extLst>
        </c:ser>
        <c:ser>
          <c:idx val="3"/>
          <c:order val="4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1"/>
            <c:dispEq val="0"/>
            <c:trendlineLbl>
              <c:layout>
                <c:manualLayout>
                  <c:x val="-0.14856331023774766"/>
                  <c:y val="0.108100029163021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'MFP-PDF_Avg'!$BH$5:$BH$23</c:f>
              <c:numCache>
                <c:formatCode>0.00E+00</c:formatCode>
                <c:ptCount val="19"/>
                <c:pt idx="0">
                  <c:v>2.30802105895922E-4</c:v>
                </c:pt>
                <c:pt idx="1">
                  <c:v>2.0640716413749399E-4</c:v>
                </c:pt>
                <c:pt idx="2">
                  <c:v>1.8192385680367899E-4</c:v>
                </c:pt>
                <c:pt idx="3">
                  <c:v>3.5199164586657898E-4</c:v>
                </c:pt>
                <c:pt idx="4">
                  <c:v>2.9457755653783602E-4</c:v>
                </c:pt>
                <c:pt idx="5">
                  <c:v>2.3103748024325401E-4</c:v>
                </c:pt>
                <c:pt idx="8">
                  <c:v>1.6764328503473099E-4</c:v>
                </c:pt>
                <c:pt idx="9">
                  <c:v>2.13544061871601E-4</c:v>
                </c:pt>
                <c:pt idx="10">
                  <c:v>2.57932874964755E-4</c:v>
                </c:pt>
                <c:pt idx="13">
                  <c:v>3.64867161248093E-4</c:v>
                </c:pt>
                <c:pt idx="14">
                  <c:v>3.5726624232913199E-4</c:v>
                </c:pt>
                <c:pt idx="15">
                  <c:v>3.3782423562883098E-4</c:v>
                </c:pt>
                <c:pt idx="16">
                  <c:v>2.12141712241654E-4</c:v>
                </c:pt>
                <c:pt idx="17">
                  <c:v>2.1796182243284901E-4</c:v>
                </c:pt>
                <c:pt idx="18">
                  <c:v>3.9646031520532745E-4</c:v>
                </c:pt>
              </c:numCache>
            </c:numRef>
          </c:xVal>
          <c:yVal>
            <c:numRef>
              <c:f>'MFP-PDF_Avg'!$AK$5:$AK$23</c:f>
              <c:numCache>
                <c:formatCode>General</c:formatCode>
                <c:ptCount val="19"/>
                <c:pt idx="0">
                  <c:v>0.62171538406412596</c:v>
                </c:pt>
                <c:pt idx="1">
                  <c:v>0.47705461868503202</c:v>
                </c:pt>
                <c:pt idx="2">
                  <c:v>0.36559719352224501</c:v>
                </c:pt>
                <c:pt idx="3">
                  <c:v>1.2682350574951</c:v>
                </c:pt>
                <c:pt idx="4">
                  <c:v>0.90547800000000001</c:v>
                </c:pt>
                <c:pt idx="5">
                  <c:v>0.56768789999999902</c:v>
                </c:pt>
                <c:pt idx="8">
                  <c:v>0.46200000000000002</c:v>
                </c:pt>
                <c:pt idx="9">
                  <c:v>0.44782499999999897</c:v>
                </c:pt>
                <c:pt idx="10">
                  <c:v>0.380772</c:v>
                </c:pt>
                <c:pt idx="11">
                  <c:v>0.59593560000000001</c:v>
                </c:pt>
                <c:pt idx="12">
                  <c:v>0.14599400000000001</c:v>
                </c:pt>
                <c:pt idx="13">
                  <c:v>1.18</c:v>
                </c:pt>
                <c:pt idx="14">
                  <c:v>0.78633287605038305</c:v>
                </c:pt>
                <c:pt idx="15">
                  <c:v>0.86544945017474995</c:v>
                </c:pt>
                <c:pt idx="16">
                  <c:v>0.239262577144952</c:v>
                </c:pt>
                <c:pt idx="17">
                  <c:v>0.27567442291687039</c:v>
                </c:pt>
                <c:pt idx="18" formatCode="0.0000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F68-47CC-992A-F1907BDF5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1/3*cp*MFP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ayout>
        <c:manualLayout>
          <c:xMode val="edge"/>
          <c:yMode val="edge"/>
          <c:x val="0.67247133581986451"/>
          <c:y val="0.32258347914843982"/>
          <c:w val="0.32205682200056962"/>
          <c:h val="0.370895304753572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66593759113446"/>
          <c:y val="5.9523809523809521E-2"/>
          <c:w val="0.56891659375911341"/>
          <c:h val="0.77617745698454343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'MFP-PDF_Avg'!$AY$5:$AY$7</c:f>
              <c:numCache>
                <c:formatCode>0.00E+00</c:formatCode>
                <c:ptCount val="3"/>
                <c:pt idx="0">
                  <c:v>1596825626.1070199</c:v>
                </c:pt>
                <c:pt idx="1">
                  <c:v>1096065992.68455</c:v>
                </c:pt>
                <c:pt idx="2">
                  <c:v>820903913.34655297</c:v>
                </c:pt>
              </c:numCache>
            </c:numRef>
          </c:xVal>
          <c:yVal>
            <c:numRef>
              <c:f>'MFP-PDF_Avg'!$AK$5:$AK$7</c:f>
              <c:numCache>
                <c:formatCode>General</c:formatCode>
                <c:ptCount val="3"/>
                <c:pt idx="0">
                  <c:v>0.62171538406412596</c:v>
                </c:pt>
                <c:pt idx="1">
                  <c:v>0.47705461868503202</c:v>
                </c:pt>
                <c:pt idx="2">
                  <c:v>0.36559719352224501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B8-481C-B281-6DD4028A16BC}"/>
            </c:ext>
          </c:extLst>
        </c:ser>
        <c:ser>
          <c:idx val="5"/>
          <c:order val="1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'MFP-PDF_Avg'!$AY$18:$AY$20</c:f>
              <c:numCache>
                <c:formatCode>0.00E+00</c:formatCode>
                <c:ptCount val="3"/>
                <c:pt idx="0">
                  <c:v>6136375549.3502598</c:v>
                </c:pt>
                <c:pt idx="1">
                  <c:v>3247299256.6262999</c:v>
                </c:pt>
                <c:pt idx="2">
                  <c:v>3639311303.4173899</c:v>
                </c:pt>
              </c:numCache>
            </c:numRef>
          </c:xVal>
          <c:yVal>
            <c:numRef>
              <c:f>('MFP-PDF_Avg'!$AK$18,'MFP-PDF_Avg'!$AK$19,'MFP-PDF_Avg'!$AK$20)</c:f>
              <c:numCache>
                <c:formatCode>General</c:formatCode>
                <c:ptCount val="3"/>
                <c:pt idx="0">
                  <c:v>1.18</c:v>
                </c:pt>
                <c:pt idx="1">
                  <c:v>0.78633287605038305</c:v>
                </c:pt>
                <c:pt idx="2">
                  <c:v>0.86544945017474995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B8-481C-B281-6DD4028A16BC}"/>
            </c:ext>
          </c:extLst>
        </c:ser>
        <c:ser>
          <c:idx val="6"/>
          <c:order val="2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9.3845873432487625E-2"/>
                  <c:y val="9.8049462567179099E-2"/>
                </c:manualLayout>
              </c:layout>
              <c:tx>
                <c:rich>
                  <a:bodyPr/>
                  <a:lstStyle/>
                  <a:p>
                    <a:fld id="{4E0BA487-CCDC-4FE7-BE25-673E4F54B5AB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328813065033539"/>
                      <c:h val="9.793182102237219E-2"/>
                    </c:manualLayout>
                  </c15:layout>
                  <c15:dlblFieldTable>
                    <c15:dlblFTEntry>
                      <c15:txfldGUID>{4E0BA487-CCDC-4FE7-BE25-673E4F54B5AB}</c15:txfldGUID>
                      <c15:f>'MFP-PDF_Avg'!$A$21</c15:f>
                      <c15:dlblFieldTableCache>
                        <c:ptCount val="1"/>
                        <c:pt idx="0">
                          <c:v>0.63NaCl-0.37UCl3 (ORNL)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15B8-481C-B281-6DD4028A16BC}"/>
                </c:ext>
              </c:extLst>
            </c:dLbl>
            <c:dLbl>
              <c:idx val="1"/>
              <c:layout>
                <c:manualLayout>
                  <c:x val="3.1089929548280139E-2"/>
                  <c:y val="1.568788276465432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48043BA-4F93-455A-BDFD-BB5447868CFE}" type="CELLREF">
                      <a:rPr lang="en-US"/>
                      <a:pPr>
                        <a:defRPr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342772942855827"/>
                      <c:h val="9.7931758530183724E-2"/>
                    </c:manualLayout>
                  </c15:layout>
                  <c15:dlblFieldTable>
                    <c15:dlblFTEntry>
                      <c15:txfldGUID>{F48043BA-4F93-455A-BDFD-BB5447868CFE}</c15:txfldGUID>
                      <c15:f>'MFP-PDF_Avg'!$A$22</c15:f>
                      <c15:dlblFieldTableCache>
                        <c:ptCount val="1"/>
                        <c:pt idx="0">
                          <c:v>0.658NaCl-0.342UCl3 (ANL)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15B8-481C-B281-6DD4028A16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'MFP-PDF_Avg'!$AY$21:$AY$22</c:f>
              <c:numCache>
                <c:formatCode>0.00E+00</c:formatCode>
                <c:ptCount val="2"/>
                <c:pt idx="0">
                  <c:v>974492101.32778299</c:v>
                </c:pt>
                <c:pt idx="1">
                  <c:v>1014301607.94012</c:v>
                </c:pt>
              </c:numCache>
            </c:numRef>
          </c:xVal>
          <c:yVal>
            <c:numRef>
              <c:f>'MFP-PDF_Avg'!$AK$21:$AK$22</c:f>
              <c:numCache>
                <c:formatCode>General</c:formatCode>
                <c:ptCount val="2"/>
                <c:pt idx="0">
                  <c:v>0.239262577144952</c:v>
                </c:pt>
                <c:pt idx="1">
                  <c:v>0.27567442291687039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5B8-481C-B281-6DD4028A16BC}"/>
            </c:ext>
          </c:extLst>
        </c:ser>
        <c:ser>
          <c:idx val="2"/>
          <c:order val="3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'MFP-PDF_Avg'!$AY$23</c:f>
              <c:numCache>
                <c:formatCode>0.00E+00</c:formatCode>
                <c:ptCount val="1"/>
                <c:pt idx="0">
                  <c:v>1956310395.8564556</c:v>
                </c:pt>
              </c:numCache>
            </c:numRef>
          </c:xVal>
          <c:yVal>
            <c:numRef>
              <c:f>'MFP-PDF_Avg'!$AK$23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5B8-481C-B281-6DD4028A16BC}"/>
            </c:ext>
          </c:extLst>
        </c:ser>
        <c:ser>
          <c:idx val="0"/>
          <c:order val="5"/>
          <c:tx>
            <c:v>Pure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'MFP-PDF_Avg'!$AY$8</c:f>
              <c:numCache>
                <c:formatCode>0.00E+00</c:formatCode>
                <c:ptCount val="1"/>
                <c:pt idx="0">
                  <c:v>3837057560.7207298</c:v>
                </c:pt>
              </c:numCache>
            </c:numRef>
          </c:xVal>
          <c:yVal>
            <c:numRef>
              <c:f>'MFP-PDF_Avg'!$AK$8</c:f>
              <c:numCache>
                <c:formatCode>General</c:formatCode>
                <c:ptCount val="1"/>
                <c:pt idx="0">
                  <c:v>1.2682350574951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5B8-481C-B281-6DD4028A1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4"/>
                <c:tx>
                  <c:v>Ideal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noFill/>
                    <a:ln w="9525">
                      <a:noFill/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4"/>
                      </a:solidFill>
                      <a:prstDash val="sysDot"/>
                    </a:ln>
                    <a:effectLst/>
                  </c:spPr>
                  <c:trendlineType val="linear"/>
                  <c:forward val="1.0000000000000005E-9"/>
                  <c:intercept val="0"/>
                  <c:dispRSqr val="0"/>
                  <c:dispEq val="0"/>
                </c:trendline>
                <c:x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2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2</c:v>
                    </c:pt>
                  </c:numLit>
                </c:yVal>
                <c:smooth val="0"/>
                <c:extLst>
                  <c:ext xmlns:c16="http://schemas.microsoft.com/office/drawing/2014/chart" uri="{C3380CC4-5D6E-409C-BE32-E72D297353CC}">
                    <c16:uniqueId val="{0000000B-15B8-481C-B281-6DD4028A16BC}"/>
                  </c:ext>
                </c:extLst>
              </c15:ser>
            </c15:filteredScatterSeries>
          </c:ext>
        </c:extLst>
      </c:scatterChart>
      <c:valAx>
        <c:axId val="75714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1/3*cp*vs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ayout>
        <c:manualLayout>
          <c:xMode val="edge"/>
          <c:yMode val="edge"/>
          <c:x val="0.67247133581986451"/>
          <c:y val="0.32258347914843982"/>
          <c:w val="0.24063406547865726"/>
          <c:h val="0.303353371560249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PDF-avg_peak</a:t>
            </a:r>
          </a:p>
        </c:rich>
      </c:tx>
      <c:layout>
        <c:manualLayout>
          <c:xMode val="edge"/>
          <c:yMode val="edge"/>
          <c:x val="0.21481719390339363"/>
          <c:y val="3.33333333333333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66593759113446"/>
          <c:y val="5.9523809523809521E-2"/>
          <c:w val="0.56891659375911341"/>
          <c:h val="0.77617745698454343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'MFP-PDF_Avg'!$BR$5:$BR$7</c:f>
              <c:numCache>
                <c:formatCode>0.00E+00</c:formatCode>
                <c:ptCount val="3"/>
                <c:pt idx="0" formatCode="General">
                  <c:v>2.0876175485837878E-7</c:v>
                </c:pt>
                <c:pt idx="1">
                  <c:v>1.9797804922458501E-7</c:v>
                </c:pt>
                <c:pt idx="2" formatCode="General">
                  <c:v>1.9709839536224268E-7</c:v>
                </c:pt>
              </c:numCache>
            </c:numRef>
          </c:xVal>
          <c:yVal>
            <c:numRef>
              <c:f>'MFP-PDF_Avg'!$AK$5:$AK$7</c:f>
              <c:numCache>
                <c:formatCode>General</c:formatCode>
                <c:ptCount val="3"/>
                <c:pt idx="0">
                  <c:v>0.62171538406412596</c:v>
                </c:pt>
                <c:pt idx="1">
                  <c:v>0.47705461868503202</c:v>
                </c:pt>
                <c:pt idx="2">
                  <c:v>0.36559719352224501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90-449F-8409-CC559279C1A3}"/>
            </c:ext>
          </c:extLst>
        </c:ser>
        <c:ser>
          <c:idx val="5"/>
          <c:order val="1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'MFP-PDF_Avg'!$BR$18:$BR$20</c:f>
              <c:numCache>
                <c:formatCode>General</c:formatCode>
                <c:ptCount val="3"/>
                <c:pt idx="0">
                  <c:v>2.6515208606205915E-7</c:v>
                </c:pt>
                <c:pt idx="1">
                  <c:v>2.1033914784311533E-7</c:v>
                </c:pt>
                <c:pt idx="2">
                  <c:v>2.0984042115629121E-7</c:v>
                </c:pt>
              </c:numCache>
            </c:numRef>
          </c:xVal>
          <c:yVal>
            <c:numRef>
              <c:f>('MFP-PDF_Avg'!$AK$18,'MFP-PDF_Avg'!$AK$19,'MFP-PDF_Avg'!$AK$20)</c:f>
              <c:numCache>
                <c:formatCode>General</c:formatCode>
                <c:ptCount val="3"/>
                <c:pt idx="0">
                  <c:v>1.18</c:v>
                </c:pt>
                <c:pt idx="1">
                  <c:v>0.78633287605038305</c:v>
                </c:pt>
                <c:pt idx="2">
                  <c:v>0.86544945017474995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90-449F-8409-CC559279C1A3}"/>
            </c:ext>
          </c:extLst>
        </c:ser>
        <c:ser>
          <c:idx val="6"/>
          <c:order val="2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9.3845873432487625E-2"/>
                  <c:y val="9.8049462567179099E-2"/>
                </c:manualLayout>
              </c:layout>
              <c:tx>
                <c:rich>
                  <a:bodyPr/>
                  <a:lstStyle/>
                  <a:p>
                    <a:fld id="{4E0BA487-CCDC-4FE7-BE25-673E4F54B5AB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328813065033539"/>
                      <c:h val="9.793182102237219E-2"/>
                    </c:manualLayout>
                  </c15:layout>
                  <c15:dlblFieldTable>
                    <c15:dlblFTEntry>
                      <c15:txfldGUID>{4E0BA487-CCDC-4FE7-BE25-673E4F54B5AB}</c15:txfldGUID>
                      <c15:f>'MFP-PDF_Avg'!$A$21</c15:f>
                      <c15:dlblFieldTableCache>
                        <c:ptCount val="1"/>
                        <c:pt idx="0">
                          <c:v>0.63NaCl-0.37UCl3 (ORNL)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F890-449F-8409-CC559279C1A3}"/>
                </c:ext>
              </c:extLst>
            </c:dLbl>
            <c:dLbl>
              <c:idx val="1"/>
              <c:layout>
                <c:manualLayout>
                  <c:x val="3.1089929548280139E-2"/>
                  <c:y val="1.568788276465432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48043BA-4F93-455A-BDFD-BB5447868CFE}" type="CELLREF">
                      <a:rPr lang="en-US"/>
                      <a:pPr>
                        <a:defRPr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342772942855827"/>
                      <c:h val="9.7931758530183724E-2"/>
                    </c:manualLayout>
                  </c15:layout>
                  <c15:dlblFieldTable>
                    <c15:dlblFTEntry>
                      <c15:txfldGUID>{F48043BA-4F93-455A-BDFD-BB5447868CFE}</c15:txfldGUID>
                      <c15:f>'MFP-PDF_Avg'!$A$22</c15:f>
                      <c15:dlblFieldTableCache>
                        <c:ptCount val="1"/>
                        <c:pt idx="0">
                          <c:v>0.658NaCl-0.342UCl3 (ANL)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F890-449F-8409-CC559279C1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'MFP-PDF_Avg'!$BR$21:$BR$22</c:f>
              <c:numCache>
                <c:formatCode>General</c:formatCode>
                <c:ptCount val="2"/>
                <c:pt idx="0">
                  <c:v>1.4322455696325306E-7</c:v>
                </c:pt>
                <c:pt idx="1">
                  <c:v>1.4953082757272077E-7</c:v>
                </c:pt>
              </c:numCache>
            </c:numRef>
          </c:xVal>
          <c:yVal>
            <c:numRef>
              <c:f>'MFP-PDF_Avg'!$AK$21:$AK$22</c:f>
              <c:numCache>
                <c:formatCode>General</c:formatCode>
                <c:ptCount val="2"/>
                <c:pt idx="0">
                  <c:v>0.239262577144952</c:v>
                </c:pt>
                <c:pt idx="1">
                  <c:v>0.27567442291687039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890-449F-8409-CC559279C1A3}"/>
            </c:ext>
          </c:extLst>
        </c:ser>
        <c:ser>
          <c:idx val="2"/>
          <c:order val="3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'MFP-PDF_Avg'!$BR$23</c:f>
              <c:numCache>
                <c:formatCode>General</c:formatCode>
                <c:ptCount val="1"/>
                <c:pt idx="0">
                  <c:v>1.32970728E-7</c:v>
                </c:pt>
              </c:numCache>
            </c:numRef>
          </c:xVal>
          <c:yVal>
            <c:numRef>
              <c:f>'MFP-PDF_Avg'!$AK$23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890-449F-8409-CC559279C1A3}"/>
            </c:ext>
          </c:extLst>
        </c:ser>
        <c:ser>
          <c:idx val="3"/>
          <c:order val="4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1"/>
            <c:dispEq val="0"/>
            <c:trendlineLbl>
              <c:layout>
                <c:manualLayout>
                  <c:x val="-0.12863286825988857"/>
                  <c:y val="0.1167629046369203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'MFP-PDF_Avg'!$BR$5:$BR$23</c:f>
              <c:numCache>
                <c:formatCode>0.00E+00</c:formatCode>
                <c:ptCount val="19"/>
                <c:pt idx="0" formatCode="General">
                  <c:v>2.0876175485837878E-7</c:v>
                </c:pt>
                <c:pt idx="1">
                  <c:v>1.9797804922458501E-7</c:v>
                </c:pt>
                <c:pt idx="2" formatCode="General">
                  <c:v>1.9709839536224268E-7</c:v>
                </c:pt>
                <c:pt idx="3" formatCode="General">
                  <c:v>2.002201897716116E-7</c:v>
                </c:pt>
                <c:pt idx="4">
                  <c:v>1.8800978584811899E-7</c:v>
                </c:pt>
                <c:pt idx="5">
                  <c:v>1.9262165958693599E-7</c:v>
                </c:pt>
                <c:pt idx="8">
                  <c:v>2.16234650684838E-7</c:v>
                </c:pt>
                <c:pt idx="9">
                  <c:v>2.2860586008176599E-7</c:v>
                </c:pt>
                <c:pt idx="10">
                  <c:v>2.68448414278508E-7</c:v>
                </c:pt>
                <c:pt idx="13" formatCode="General">
                  <c:v>2.6515208606205915E-7</c:v>
                </c:pt>
                <c:pt idx="14" formatCode="General">
                  <c:v>2.1033914784311533E-7</c:v>
                </c:pt>
                <c:pt idx="15" formatCode="General">
                  <c:v>2.0984042115629121E-7</c:v>
                </c:pt>
                <c:pt idx="16" formatCode="General">
                  <c:v>1.4322455696325306E-7</c:v>
                </c:pt>
                <c:pt idx="17" formatCode="General">
                  <c:v>1.4953082757272077E-7</c:v>
                </c:pt>
                <c:pt idx="18" formatCode="General">
                  <c:v>1.32970728E-7</c:v>
                </c:pt>
              </c:numCache>
            </c:numRef>
          </c:xVal>
          <c:yVal>
            <c:numRef>
              <c:f>'MFP-PDF_Avg'!$AK$5:$AK$23</c:f>
              <c:numCache>
                <c:formatCode>General</c:formatCode>
                <c:ptCount val="19"/>
                <c:pt idx="0">
                  <c:v>0.62171538406412596</c:v>
                </c:pt>
                <c:pt idx="1">
                  <c:v>0.47705461868503202</c:v>
                </c:pt>
                <c:pt idx="2">
                  <c:v>0.36559719352224501</c:v>
                </c:pt>
                <c:pt idx="3">
                  <c:v>1.2682350574951</c:v>
                </c:pt>
                <c:pt idx="4">
                  <c:v>0.90547800000000001</c:v>
                </c:pt>
                <c:pt idx="5">
                  <c:v>0.56768789999999902</c:v>
                </c:pt>
                <c:pt idx="8">
                  <c:v>0.46200000000000002</c:v>
                </c:pt>
                <c:pt idx="9">
                  <c:v>0.44782499999999897</c:v>
                </c:pt>
                <c:pt idx="10">
                  <c:v>0.380772</c:v>
                </c:pt>
                <c:pt idx="11">
                  <c:v>0.59593560000000001</c:v>
                </c:pt>
                <c:pt idx="12">
                  <c:v>0.14599400000000001</c:v>
                </c:pt>
                <c:pt idx="13">
                  <c:v>1.18</c:v>
                </c:pt>
                <c:pt idx="14">
                  <c:v>0.78633287605038305</c:v>
                </c:pt>
                <c:pt idx="15">
                  <c:v>0.86544945017474995</c:v>
                </c:pt>
                <c:pt idx="16">
                  <c:v>0.239262577144952</c:v>
                </c:pt>
                <c:pt idx="17">
                  <c:v>0.27567442291687039</c:v>
                </c:pt>
                <c:pt idx="18" formatCode="0.00000">
                  <c:v>0.56100000000000005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F890-449F-8409-CC559279C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  <c:extLst/>
      </c:scatterChart>
      <c:valAx>
        <c:axId val="75714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1/3*vs*MFP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ayout>
        <c:manualLayout>
          <c:xMode val="edge"/>
          <c:yMode val="edge"/>
          <c:x val="0.67247133581986451"/>
          <c:y val="0.32258347914843982"/>
          <c:w val="0.32205682200056962"/>
          <c:h val="0.370895304753572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PDF-avg_peak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703066721922917"/>
          <c:y val="4.3650793650793648E-2"/>
          <c:w val="0.53801468895335458"/>
          <c:h val="0.82313502478856815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'MFP-PDF_Avg'!$CE$5:$CE$7</c:f>
              <c:numCache>
                <c:formatCode>0.00E+00</c:formatCode>
                <c:ptCount val="3"/>
                <c:pt idx="0">
                  <c:v>5.0986492855295244E-10</c:v>
                </c:pt>
                <c:pt idx="1">
                  <c:v>3.7944326183477726E-10</c:v>
                </c:pt>
                <c:pt idx="2">
                  <c:v>4.5335791979318428E-10</c:v>
                </c:pt>
              </c:numCache>
            </c:numRef>
          </c:xVal>
          <c:yVal>
            <c:numRef>
              <c:f>'MFP-PDF_Avg'!$BB$5:$BB$7</c:f>
              <c:numCache>
                <c:formatCode>0.00E+00</c:formatCode>
                <c:ptCount val="3"/>
                <c:pt idx="0">
                  <c:v>3.0056447474785299E-10</c:v>
                </c:pt>
                <c:pt idx="1">
                  <c:v>3.3400223720324102E-10</c:v>
                </c:pt>
                <c:pt idx="2">
                  <c:v>3.6182029353950698E-10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48-4AC3-8E3F-A42E0CDCB672}"/>
            </c:ext>
          </c:extLst>
        </c:ser>
        <c:ser>
          <c:idx val="5"/>
          <c:order val="1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'MFP-PDF_Avg'!$CE$18:$CE$20</c:f>
              <c:numCache>
                <c:formatCode>0.00E+00</c:formatCode>
                <c:ptCount val="3"/>
                <c:pt idx="0">
                  <c:v>3.8338347353322035E-9</c:v>
                </c:pt>
                <c:pt idx="1">
                  <c:v>2.8369914793196441E-9</c:v>
                </c:pt>
                <c:pt idx="2">
                  <c:v>8.4406168446792717E-10</c:v>
                </c:pt>
              </c:numCache>
            </c:numRef>
          </c:xVal>
          <c:yVal>
            <c:numRef>
              <c:f>'MFP-PDF_Avg'!$BB$18:$BB$20</c:f>
              <c:numCache>
                <c:formatCode>0.00E+00</c:formatCode>
                <c:ptCount val="3"/>
                <c:pt idx="0">
                  <c:v>2.06003844994128E-10</c:v>
                </c:pt>
                <c:pt idx="1">
                  <c:v>2.5955250470707202E-10</c:v>
                </c:pt>
                <c:pt idx="2">
                  <c:v>2.4173581555363199E-10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48-4AC3-8E3F-A42E0CDCB672}"/>
            </c:ext>
          </c:extLst>
        </c:ser>
        <c:ser>
          <c:idx val="6"/>
          <c:order val="2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'MFP-PDF_Avg'!$CE$21:$CE$22</c:f>
              <c:numCache>
                <c:formatCode>0.00E+00</c:formatCode>
                <c:ptCount val="2"/>
                <c:pt idx="0">
                  <c:v>1.8511567318115176E-9</c:v>
                </c:pt>
                <c:pt idx="1">
                  <c:v>1.3749528367298905E-9</c:v>
                </c:pt>
              </c:numCache>
            </c:numRef>
          </c:xVal>
          <c:yVal>
            <c:numRef>
              <c:f>'MFP-PDF_Avg'!$BB$21:$BB$22</c:f>
              <c:numCache>
                <c:formatCode>0.00E+00</c:formatCode>
                <c:ptCount val="2"/>
                <c:pt idx="0">
                  <c:v>3.1692440673072701E-10</c:v>
                </c:pt>
                <c:pt idx="1">
                  <c:v>3.1692440673072701E-10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548-4AC3-8E3F-A42E0CDCB672}"/>
            </c:ext>
          </c:extLst>
        </c:ser>
        <c:ser>
          <c:idx val="2"/>
          <c:order val="3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'MFP-PDF_Avg'!$CE$23</c:f>
              <c:numCache>
                <c:formatCode>0.00E+00</c:formatCode>
                <c:ptCount val="1"/>
                <c:pt idx="0">
                  <c:v>1.2781802750592626E-9</c:v>
                </c:pt>
              </c:numCache>
            </c:numRef>
          </c:xVal>
          <c:yVal>
            <c:numRef>
              <c:f>'MFP-PDF_Avg'!$BB$23</c:f>
              <c:numCache>
                <c:formatCode>0.00E+00</c:formatCode>
                <c:ptCount val="1"/>
                <c:pt idx="0">
                  <c:v>2.8432800000000002E-10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548-4AC3-8E3F-A42E0CDCB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4"/>
                <c:tx>
                  <c:v>Ideal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noFill/>
                    <a:ln w="9525">
                      <a:noFill/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4"/>
                      </a:solidFill>
                      <a:prstDash val="sysDot"/>
                    </a:ln>
                    <a:effectLst/>
                  </c:spPr>
                  <c:trendlineType val="linear"/>
                  <c:forward val="1.0000000000000005E-9"/>
                  <c:intercept val="0"/>
                  <c:dispRSqr val="0"/>
                  <c:dispEq val="0"/>
                </c:trendline>
                <c:x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9.9999999999999994E-12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9.9999999999999994E-12</c:v>
                    </c:pt>
                  </c:numLit>
                </c:yVal>
                <c:smooth val="0"/>
                <c:extLst>
                  <c:ext xmlns:c16="http://schemas.microsoft.com/office/drawing/2014/chart" uri="{C3380CC4-5D6E-409C-BE32-E72D297353CC}">
                    <c16:uniqueId val="{00000008-3548-4AC3-8E3F-A42E0CDCB672}"/>
                  </c:ext>
                </c:extLst>
              </c15:ser>
            </c15:filteredScatterSeries>
          </c:ext>
        </c:extLst>
      </c:scatterChart>
      <c:valAx>
        <c:axId val="75714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Visc/(Dens*vsound)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6.0000000000000031E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PDF-avg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00991542723829"/>
          <c:y val="4.3650793650793648E-2"/>
          <c:w val="0.51074058688893342"/>
          <c:h val="0.80527777777777776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'MFP-PDF_Avg'!$BN$5:$BN$7</c:f>
              <c:numCache>
                <c:formatCode>0.00E+00</c:formatCode>
                <c:ptCount val="3"/>
                <c:pt idx="0">
                  <c:v>2693.7162538043849</c:v>
                </c:pt>
                <c:pt idx="1">
                  <c:v>2311.230914287702</c:v>
                </c:pt>
                <c:pt idx="2">
                  <c:v>2009.61655027342</c:v>
                </c:pt>
              </c:numCache>
            </c:numRef>
          </c:xVal>
          <c:yVal>
            <c:numRef>
              <c:f>'MFP-PDF_Avg'!$BL$5:$BL$7</c:f>
              <c:numCache>
                <c:formatCode>0.000E+00</c:formatCode>
                <c:ptCount val="3"/>
                <c:pt idx="0">
                  <c:v>3500</c:v>
                </c:pt>
                <c:pt idx="1">
                  <c:v>2720</c:v>
                </c:pt>
                <c:pt idx="2">
                  <c:v>2360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A1-495E-A160-6BBEAE231B29}"/>
            </c:ext>
          </c:extLst>
        </c:ser>
        <c:ser>
          <c:idx val="0"/>
          <c:order val="1"/>
          <c:tx>
            <c:v>Pure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'MFP-PDF_Avg'!$BN$8:$BN$10</c:f>
              <c:numCache>
                <c:formatCode>0.00E+00</c:formatCode>
                <c:ptCount val="3"/>
                <c:pt idx="0">
                  <c:v>3603.0260160657886</c:v>
                </c:pt>
                <c:pt idx="1">
                  <c:v>3073.8186935965673</c:v>
                </c:pt>
                <c:pt idx="2">
                  <c:v>2457.1247028936327</c:v>
                </c:pt>
              </c:numCache>
            </c:numRef>
          </c:xVal>
          <c:yVal>
            <c:numRef>
              <c:f>'MFP-PDF_Avg'!$BL$8:$BL$10</c:f>
              <c:numCache>
                <c:formatCode>0.000E+00</c:formatCode>
                <c:ptCount val="3"/>
                <c:pt idx="0">
                  <c:v>3500</c:v>
                </c:pt>
                <c:pt idx="1">
                  <c:v>2720</c:v>
                </c:pt>
                <c:pt idx="2">
                  <c:v>2360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A1-495E-A160-6BBEAE231B29}"/>
            </c:ext>
          </c:extLst>
        </c:ser>
        <c:ser>
          <c:idx val="1"/>
          <c:order val="2"/>
          <c:tx>
            <c:v>Alkaline Earth Chlorides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'MFP-PDF_Avg'!$BN$13:$BN$15</c:f>
              <c:numCache>
                <c:formatCode>0.00E+00</c:formatCode>
                <c:ptCount val="3"/>
                <c:pt idx="0">
                  <c:v>2755.8515087811993</c:v>
                </c:pt>
                <c:pt idx="1">
                  <c:v>2097.1081849574707</c:v>
                </c:pt>
                <c:pt idx="2">
                  <c:v>1476.2445463845206</c:v>
                </c:pt>
              </c:numCache>
            </c:numRef>
          </c:xVal>
          <c:yVal>
            <c:numRef>
              <c:f>'MFP-PDF_Avg'!$BL$13:$BL$15</c:f>
              <c:numCache>
                <c:formatCode>0.000E+00</c:formatCode>
                <c:ptCount val="3"/>
                <c:pt idx="0">
                  <c:v>3400</c:v>
                </c:pt>
                <c:pt idx="1">
                  <c:v>2200</c:v>
                </c:pt>
                <c:pt idx="2" formatCode="0.00E+00">
                  <c:v>1873.13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C66-4986-A9A3-0561748A9B62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'MFP-PDF_Avg'!$BN$18:$BN$20</c:f>
              <c:numCache>
                <c:formatCode>0.00E+00</c:formatCode>
                <c:ptCount val="3"/>
                <c:pt idx="0">
                  <c:v>3234.0537196156542</c:v>
                </c:pt>
                <c:pt idx="1">
                  <c:v>2200.9716645044032</c:v>
                </c:pt>
                <c:pt idx="2">
                  <c:v>2561.8335184383373</c:v>
                </c:pt>
              </c:numCache>
            </c:numRef>
          </c:xVal>
          <c:yVal>
            <c:numRef>
              <c:f>'MFP-PDF_Avg'!$BJ$18:$BJ$20</c:f>
              <c:numCache>
                <c:formatCode>0.00E+00</c:formatCode>
                <c:ptCount val="3"/>
                <c:pt idx="0">
                  <c:v>2547.6863757231322</c:v>
                </c:pt>
                <c:pt idx="1">
                  <c:v>2012.468707779205</c:v>
                </c:pt>
                <c:pt idx="2">
                  <c:v>2298.228366828082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A1-495E-A160-6BBEAE231B29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'MFP-PDF_Avg'!$BN$21:$BN$22</c:f>
              <c:numCache>
                <c:formatCode>0.00E+00</c:formatCode>
                <c:ptCount val="2"/>
                <c:pt idx="0">
                  <c:v>1127.8431507727448</c:v>
                </c:pt>
                <c:pt idx="1">
                  <c:v>1264.7830699883316</c:v>
                </c:pt>
              </c:numCache>
            </c:numRef>
          </c:xVal>
          <c:yVal>
            <c:numRef>
              <c:f>'MFP-PDF_Avg'!$BJ$21:$BJ$22</c:f>
              <c:numCache>
                <c:formatCode>0.00E+00</c:formatCode>
                <c:ptCount val="2"/>
                <c:pt idx="0">
                  <c:v>1451.7494609289899</c:v>
                </c:pt>
                <c:pt idx="1">
                  <c:v>1470.4555590061771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A1-495E-A160-6BBEAE231B29}"/>
            </c:ext>
          </c:extLst>
        </c:ser>
        <c:ser>
          <c:idx val="2"/>
          <c:order val="5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'MFP-PDF_Avg'!$BN$23</c:f>
              <c:numCache>
                <c:formatCode>0.00E+00</c:formatCode>
                <c:ptCount val="1"/>
                <c:pt idx="0">
                  <c:v>1415.0218281228406</c:v>
                </c:pt>
              </c:numCache>
            </c:numRef>
          </c:xVal>
          <c:yVal>
            <c:numRef>
              <c:f>'MFP-PDF_Avg'!$BJ$23</c:f>
              <c:numCache>
                <c:formatCode>0.00E+00</c:formatCode>
                <c:ptCount val="1"/>
                <c:pt idx="0">
                  <c:v>1403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EA1-495E-A160-6BBEAE231B29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6000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6000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9-CEA1-495E-A160-6BBEAE231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vs_calc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v_sound_metal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978933554358339"/>
          <c:y val="4.3650793650793648E-2"/>
          <c:w val="0.47553368328958878"/>
          <c:h val="0.82379640044994373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'MFP-PDF_Avg'!$BY$5:$BY$7</c:f>
              <c:numCache>
                <c:formatCode>General</c:formatCode>
                <c:ptCount val="3"/>
                <c:pt idx="0" formatCode="0.00E+00">
                  <c:v>1772993.6349711616</c:v>
                </c:pt>
                <c:pt idx="1">
                  <c:v>1575328.317495747</c:v>
                </c:pt>
                <c:pt idx="2">
                  <c:v>1284455.8568262046</c:v>
                </c:pt>
              </c:numCache>
            </c:numRef>
          </c:xVal>
          <c:yVal>
            <c:numRef>
              <c:f>'MFP-PDF_Avg'!$BQ$5:$BQ$7</c:f>
              <c:numCache>
                <c:formatCode>0.00E+00</c:formatCode>
                <c:ptCount val="3"/>
                <c:pt idx="0">
                  <c:v>2299027.692598009</c:v>
                </c:pt>
                <c:pt idx="1">
                  <c:v>1849136.7861885792</c:v>
                </c:pt>
                <c:pt idx="2">
                  <c:v>1506961.5069615068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55-4FA2-994D-7DCA035704DB}"/>
            </c:ext>
          </c:extLst>
        </c:ser>
        <c:ser>
          <c:idx val="0"/>
          <c:order val="1"/>
          <c:tx>
            <c:v>Pure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'MFP-PDF_Avg'!$BY$8:$BY$10</c:f>
              <c:numCache>
                <c:formatCode>General</c:formatCode>
                <c:ptCount val="3"/>
                <c:pt idx="0">
                  <c:v>4607832.9534331998</c:v>
                </c:pt>
                <c:pt idx="1">
                  <c:v>3683794.7896879399</c:v>
                </c:pt>
                <c:pt idx="2" formatCode="0.00E+00">
                  <c:v>2289271.0176084023</c:v>
                </c:pt>
              </c:numCache>
            </c:numRef>
          </c:xVal>
          <c:yVal>
            <c:numRef>
              <c:f>'MFP-PDF_Avg'!$BQ$8:$BQ$10</c:f>
              <c:numCache>
                <c:formatCode>0.00E+00</c:formatCode>
                <c:ptCount val="3"/>
                <c:pt idx="0">
                  <c:v>4521126.760563381</c:v>
                </c:pt>
                <c:pt idx="1">
                  <c:v>3250000</c:v>
                </c:pt>
                <c:pt idx="2">
                  <c:v>2200657.8947368423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55-4FA2-994D-7DCA035704DB}"/>
            </c:ext>
          </c:extLst>
        </c:ser>
        <c:ser>
          <c:idx val="1"/>
          <c:order val="2"/>
          <c:tx>
            <c:v>Alkaline Earth Chlorides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'MFP-PDF_Avg'!$BY$13:$BY$15</c:f>
              <c:numCache>
                <c:formatCode>0.00E+00</c:formatCode>
                <c:ptCount val="3"/>
                <c:pt idx="0">
                  <c:v>1320273.2430960452</c:v>
                </c:pt>
                <c:pt idx="1">
                  <c:v>1838758.3594735984</c:v>
                </c:pt>
              </c:numCache>
            </c:numRef>
          </c:xVal>
          <c:yVal>
            <c:numRef>
              <c:f>'MFP-PDF_Avg'!$BQ$13:$BQ$15</c:f>
              <c:numCache>
                <c:formatCode>0.00E+00</c:formatCode>
                <c:ptCount val="3"/>
                <c:pt idx="0">
                  <c:v>1628871.8794256966</c:v>
                </c:pt>
                <c:pt idx="1">
                  <c:v>1928974.5850302745</c:v>
                </c:pt>
                <c:pt idx="2">
                  <c:v>1799756.6027023955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180-46D3-BF08-69A5611A5FE7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'MFP-PDF_Avg'!$BX$18:$BX$20</c:f>
              <c:numCache>
                <c:formatCode>General</c:formatCode>
                <c:ptCount val="3"/>
                <c:pt idx="0">
                  <c:v>4450276.1321810596</c:v>
                </c:pt>
                <c:pt idx="1">
                  <c:v>3738404.7815810372</c:v>
                </c:pt>
                <c:pt idx="2">
                  <c:v>4124321.9271379304</c:v>
                </c:pt>
              </c:numCache>
            </c:numRef>
          </c:xVal>
          <c:yVal>
            <c:numRef>
              <c:f>'MFP-PDF_Avg'!$BQ$18:$BQ$20</c:f>
              <c:numCache>
                <c:formatCode>0.00E+00</c:formatCode>
                <c:ptCount val="3"/>
                <c:pt idx="0">
                  <c:v>4323157.1595853949</c:v>
                </c:pt>
                <c:pt idx="1">
                  <c:v>3402318.9027080508</c:v>
                </c:pt>
                <c:pt idx="2">
                  <c:v>4192480.558023226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A55-4FA2-994D-7DCA035704DB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'MFP-PDF_Avg'!$BX$21:$BX$22</c:f>
              <c:numCache>
                <c:formatCode>General</c:formatCode>
                <c:ptCount val="2"/>
                <c:pt idx="0">
                  <c:v>1670541.5762349977</c:v>
                </c:pt>
                <c:pt idx="1">
                  <c:v>1843595.9152489989</c:v>
                </c:pt>
              </c:numCache>
            </c:numRef>
          </c:xVal>
          <c:yVal>
            <c:numRef>
              <c:f>'MFP-PDF_Avg'!$BQ$21:$BQ$22</c:f>
              <c:numCache>
                <c:formatCode>0.00E+00</c:formatCode>
                <c:ptCount val="2"/>
                <c:pt idx="0">
                  <c:v>2156336.4385642763</c:v>
                </c:pt>
                <c:pt idx="1">
                  <c:v>2149770.3220167966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A55-4FA2-994D-7DCA035704DB}"/>
            </c:ext>
          </c:extLst>
        </c:ser>
        <c:ser>
          <c:idx val="2"/>
          <c:order val="5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'MFP-PDF_Avg'!$BX$23</c:f>
              <c:numCache>
                <c:formatCode>General</c:formatCode>
                <c:ptCount val="1"/>
                <c:pt idx="0">
                  <c:v>4218973.6676481161</c:v>
                </c:pt>
              </c:numCache>
            </c:numRef>
          </c:xVal>
          <c:yVal>
            <c:numRef>
              <c:f>'MFP-PDF_Avg'!$BQ$23</c:f>
              <c:numCache>
                <c:formatCode>0.00E+00</c:formatCode>
                <c:ptCount val="1"/>
                <c:pt idx="0">
                  <c:v>4183129.8557158709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A55-4FA2-994D-7DCA035704DB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.000000000000001E-2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7000000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7000000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9-4A55-4FA2-994D-7DCA035704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70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C_p,calc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E+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  <c:majorUnit val="1000000"/>
      </c:valAx>
      <c:valAx>
        <c:axId val="689706896"/>
        <c:scaling>
          <c:orientation val="minMax"/>
          <c:max val="7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C_p,measured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635608048993876E-2"/>
              <c:y val="0.305791776027996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67928926647326981"/>
          <c:y val="0.28199183435403907"/>
          <c:w val="0.30383133029423953"/>
          <c:h val="0.575234762321376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66593759113446"/>
          <c:y val="5.9523809523809521E-2"/>
          <c:w val="0.56891659375911341"/>
          <c:h val="0.77617745698454343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'MFP-PDF_Avg'!$AT$5:$AT$7</c:f>
              <c:numCache>
                <c:formatCode>0.000000</c:formatCode>
                <c:ptCount val="3"/>
                <c:pt idx="0">
                  <c:v>0.82534176315739483</c:v>
                </c:pt>
                <c:pt idx="1">
                  <c:v>0.57106848894692408</c:v>
                </c:pt>
                <c:pt idx="2">
                  <c:v>0.43875542878122487</c:v>
                </c:pt>
              </c:numCache>
            </c:numRef>
          </c:xVal>
          <c:yVal>
            <c:numRef>
              <c:f>'MFP-PDF_Avg'!$AK$5:$AK$7</c:f>
              <c:numCache>
                <c:formatCode>General</c:formatCode>
                <c:ptCount val="3"/>
                <c:pt idx="0">
                  <c:v>0.62171538406412596</c:v>
                </c:pt>
                <c:pt idx="1">
                  <c:v>0.47705461868503202</c:v>
                </c:pt>
                <c:pt idx="2">
                  <c:v>0.36559719352224501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BA-414D-AF32-A77E583B13FF}"/>
            </c:ext>
          </c:extLst>
        </c:ser>
        <c:ser>
          <c:idx val="1"/>
          <c:order val="1"/>
          <c:tx>
            <c:v>Pure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'MFP-PDF_Avg'!$AT$8:$AT$10</c:f>
              <c:numCache>
                <c:formatCode>0.000000</c:formatCode>
                <c:ptCount val="3"/>
                <c:pt idx="0">
                  <c:v>1.2437138082745092</c:v>
                </c:pt>
                <c:pt idx="1">
                  <c:v>0.79932841253490206</c:v>
                </c:pt>
                <c:pt idx="2">
                  <c:v>0.55028496232740676</c:v>
                </c:pt>
              </c:numCache>
            </c:numRef>
          </c:xVal>
          <c:yVal>
            <c:numRef>
              <c:f>'MFP-PDF_Avg'!$AK$8:$AK$10</c:f>
              <c:numCache>
                <c:formatCode>General</c:formatCode>
                <c:ptCount val="3"/>
                <c:pt idx="0">
                  <c:v>1.2682350574951</c:v>
                </c:pt>
                <c:pt idx="1">
                  <c:v>0.90547800000000001</c:v>
                </c:pt>
                <c:pt idx="2">
                  <c:v>0.56768789999999902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BA-414D-AF32-A77E583B13FF}"/>
            </c:ext>
          </c:extLst>
        </c:ser>
        <c:ser>
          <c:idx val="7"/>
          <c:order val="2"/>
          <c:tx>
            <c:v>Alkaline Earth Chlorides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'MFP-PDF_Avg'!$AT$13:$AT$15</c:f>
              <c:numCache>
                <c:formatCode>0.000000</c:formatCode>
                <c:ptCount val="3"/>
                <c:pt idx="0">
                  <c:v>0.56998716911808733</c:v>
                </c:pt>
                <c:pt idx="1">
                  <c:v>0.46979693611752404</c:v>
                </c:pt>
              </c:numCache>
            </c:numRef>
          </c:xVal>
          <c:yVal>
            <c:numRef>
              <c:f>'MFP-PDF_Avg'!$AK$13:$AK$15</c:f>
              <c:numCache>
                <c:formatCode>General</c:formatCode>
                <c:ptCount val="3"/>
                <c:pt idx="0">
                  <c:v>0.46200000000000002</c:v>
                </c:pt>
                <c:pt idx="1">
                  <c:v>0.44782499999999897</c:v>
                </c:pt>
                <c:pt idx="2">
                  <c:v>0.380772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F83-40D3-B771-7D105C3FB6B5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'MFP-PDF_Avg'!$AS$18:$AS$20</c:f>
              <c:numCache>
                <c:formatCode>0.000000</c:formatCode>
                <c:ptCount val="3"/>
                <c:pt idx="0">
                  <c:v>1.2641169574941</c:v>
                </c:pt>
                <c:pt idx="1">
                  <c:v>0.84284465559077204</c:v>
                </c:pt>
                <c:pt idx="2">
                  <c:v>0.93676902087574598</c:v>
                </c:pt>
              </c:numCache>
            </c:numRef>
          </c:xVal>
          <c:yVal>
            <c:numRef>
              <c:f>('MFP-PDF_Avg'!$AK$18,'MFP-PDF_Avg'!$AK$19,'MFP-PDF_Avg'!$AK$20)</c:f>
              <c:numCache>
                <c:formatCode>General</c:formatCode>
                <c:ptCount val="3"/>
                <c:pt idx="0">
                  <c:v>1.18</c:v>
                </c:pt>
                <c:pt idx="1">
                  <c:v>0.78633287605038305</c:v>
                </c:pt>
                <c:pt idx="2">
                  <c:v>0.86544945017474995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CBA-414D-AF32-A77E583B13FF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9.3845873432487625E-2"/>
                  <c:y val="9.8049462567179099E-2"/>
                </c:manualLayout>
              </c:layout>
              <c:tx>
                <c:rich>
                  <a:bodyPr/>
                  <a:lstStyle/>
                  <a:p>
                    <a:fld id="{4E0BA487-CCDC-4FE7-BE25-673E4F54B5AB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328813065033539"/>
                      <c:h val="9.793182102237219E-2"/>
                    </c:manualLayout>
                  </c15:layout>
                  <c15:dlblFieldTable>
                    <c15:dlblFTEntry>
                      <c15:txfldGUID>{4E0BA487-CCDC-4FE7-BE25-673E4F54B5AB}</c15:txfldGUID>
                      <c15:f>'MFP-PDF_Avg'!$A$21</c15:f>
                      <c15:dlblFieldTableCache>
                        <c:ptCount val="1"/>
                        <c:pt idx="0">
                          <c:v>0.63NaCl-0.37UCl3 (ORNL)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3CBA-414D-AF32-A77E583B13FF}"/>
                </c:ext>
              </c:extLst>
            </c:dLbl>
            <c:dLbl>
              <c:idx val="1"/>
              <c:layout>
                <c:manualLayout>
                  <c:x val="3.1089929548280139E-2"/>
                  <c:y val="1.568788276465432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48043BA-4F93-455A-BDFD-BB5447868CFE}" type="CELLREF">
                      <a:rPr lang="en-US"/>
                      <a:pPr>
                        <a:defRPr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342772942855827"/>
                      <c:h val="9.7931758530183724E-2"/>
                    </c:manualLayout>
                  </c15:layout>
                  <c15:dlblFieldTable>
                    <c15:dlblFTEntry>
                      <c15:txfldGUID>{F48043BA-4F93-455A-BDFD-BB5447868CFE}</c15:txfldGUID>
                      <c15:f>'MFP-PDF_Avg'!$A$22</c15:f>
                      <c15:dlblFieldTableCache>
                        <c:ptCount val="1"/>
                        <c:pt idx="0">
                          <c:v>0.658NaCl-0.342UCl3 (ANL)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3CBA-414D-AF32-A77E583B13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'MFP-PDF_Avg'!$AS$21:$AS$22</c:f>
              <c:numCache>
                <c:formatCode>0.000000</c:formatCode>
                <c:ptCount val="2"/>
                <c:pt idx="0">
                  <c:v>0.30884033107708703</c:v>
                </c:pt>
                <c:pt idx="1">
                  <c:v>0.32145693534244602</c:v>
                </c:pt>
              </c:numCache>
            </c:numRef>
          </c:xVal>
          <c:yVal>
            <c:numRef>
              <c:f>'MFP-PDF_Avg'!$AK$21:$AK$22</c:f>
              <c:numCache>
                <c:formatCode>General</c:formatCode>
                <c:ptCount val="2"/>
                <c:pt idx="0">
                  <c:v>0.239262577144952</c:v>
                </c:pt>
                <c:pt idx="1">
                  <c:v>0.27567442291687039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CBA-414D-AF32-A77E583B13FF}"/>
            </c:ext>
          </c:extLst>
        </c:ser>
        <c:ser>
          <c:idx val="2"/>
          <c:order val="5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'MFP-PDF_Avg'!$AS$23</c:f>
              <c:numCache>
                <c:formatCode>0.000000</c:formatCode>
                <c:ptCount val="1"/>
                <c:pt idx="0">
                  <c:v>0.55623382223307438</c:v>
                </c:pt>
              </c:numCache>
            </c:numRef>
          </c:xVal>
          <c:yVal>
            <c:numRef>
              <c:f>'MFP-PDF_Avg'!$AK$23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CBA-414D-AF32-A77E583B13FF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B-3CBA-414D-AF32-A77E583B13FF}"/>
            </c:ext>
          </c:extLst>
        </c:ser>
        <c:ser>
          <c:idx val="0"/>
          <c:order val="7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4.6447745485439403E-2"/>
                  <c:y val="0.1753346456692913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'MFP-PDF_Avg'!$AT$5:$AT$23</c:f>
              <c:numCache>
                <c:formatCode>0.000000</c:formatCode>
                <c:ptCount val="19"/>
                <c:pt idx="0">
                  <c:v>0.82534176315739483</c:v>
                </c:pt>
                <c:pt idx="1">
                  <c:v>0.57106848894692408</c:v>
                </c:pt>
                <c:pt idx="2">
                  <c:v>0.43875542878122487</c:v>
                </c:pt>
                <c:pt idx="3">
                  <c:v>1.2437138082745092</c:v>
                </c:pt>
                <c:pt idx="4">
                  <c:v>0.79932841253490206</c:v>
                </c:pt>
                <c:pt idx="5">
                  <c:v>0.55028496232740676</c:v>
                </c:pt>
                <c:pt idx="8">
                  <c:v>0.56998716911808733</c:v>
                </c:pt>
                <c:pt idx="9">
                  <c:v>0.46979693611752404</c:v>
                </c:pt>
                <c:pt idx="13">
                  <c:v>1.2641169574941</c:v>
                </c:pt>
                <c:pt idx="14">
                  <c:v>0.84284465559077204</c:v>
                </c:pt>
                <c:pt idx="15">
                  <c:v>0.93676902087574598</c:v>
                </c:pt>
                <c:pt idx="16">
                  <c:v>0.30884033107708703</c:v>
                </c:pt>
                <c:pt idx="17">
                  <c:v>0.32145693534244602</c:v>
                </c:pt>
                <c:pt idx="18">
                  <c:v>0.55623382223307438</c:v>
                </c:pt>
              </c:numCache>
            </c:numRef>
          </c:xVal>
          <c:yVal>
            <c:numRef>
              <c:f>'MFP-PDF_Avg'!$AK$5:$AK$23</c:f>
              <c:numCache>
                <c:formatCode>General</c:formatCode>
                <c:ptCount val="19"/>
                <c:pt idx="0">
                  <c:v>0.62171538406412596</c:v>
                </c:pt>
                <c:pt idx="1">
                  <c:v>0.47705461868503202</c:v>
                </c:pt>
                <c:pt idx="2">
                  <c:v>0.36559719352224501</c:v>
                </c:pt>
                <c:pt idx="3">
                  <c:v>1.2682350574951</c:v>
                </c:pt>
                <c:pt idx="4">
                  <c:v>0.90547800000000001</c:v>
                </c:pt>
                <c:pt idx="5">
                  <c:v>0.56768789999999902</c:v>
                </c:pt>
                <c:pt idx="8">
                  <c:v>0.46200000000000002</c:v>
                </c:pt>
                <c:pt idx="9">
                  <c:v>0.44782499999999897</c:v>
                </c:pt>
                <c:pt idx="10">
                  <c:v>0.380772</c:v>
                </c:pt>
                <c:pt idx="11">
                  <c:v>0.59593560000000001</c:v>
                </c:pt>
                <c:pt idx="12">
                  <c:v>0.14599400000000001</c:v>
                </c:pt>
                <c:pt idx="13">
                  <c:v>1.18</c:v>
                </c:pt>
                <c:pt idx="14">
                  <c:v>0.78633287605038305</c:v>
                </c:pt>
                <c:pt idx="15">
                  <c:v>0.86544945017474995</c:v>
                </c:pt>
                <c:pt idx="16">
                  <c:v>0.239262577144952</c:v>
                </c:pt>
                <c:pt idx="17">
                  <c:v>0.27567442291687039</c:v>
                </c:pt>
                <c:pt idx="18" formatCode="0.0000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CBA-414D-AF32-A77E583B1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.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_predicted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  <c:majorUnit val="0.2"/>
      </c:valAx>
      <c:valAx>
        <c:axId val="689706896"/>
        <c:scaling>
          <c:orientation val="minMax"/>
          <c:max val="1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  <c:minorUnit val="4.0000000000000008E-2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0.71900440254285614"/>
          <c:y val="0.24387977544473607"/>
          <c:w val="0.26583486641377069"/>
          <c:h val="0.756120224555263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PDF-avg_peaks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978933554358339"/>
          <c:y val="4.3650793650793648E-2"/>
          <c:w val="0.47553368328958878"/>
          <c:h val="0.82379640044994373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'MFP-PDF_Avg'!$CJ$25:$CJ$27</c:f>
              <c:numCache>
                <c:formatCode>0.00E+00</c:formatCode>
                <c:ptCount val="3"/>
                <c:pt idx="0">
                  <c:v>1603121.0302430908</c:v>
                </c:pt>
                <c:pt idx="1">
                  <c:v>1794791.1954647019</c:v>
                </c:pt>
                <c:pt idx="2">
                  <c:v>1231842.9587715073</c:v>
                </c:pt>
              </c:numCache>
            </c:numRef>
          </c:xVal>
          <c:yVal>
            <c:numRef>
              <c:f>'MFP-PDF_Avg'!$BQ$5:$BQ$7</c:f>
              <c:numCache>
                <c:formatCode>0.00E+00</c:formatCode>
                <c:ptCount val="3"/>
                <c:pt idx="0">
                  <c:v>2299027.692598009</c:v>
                </c:pt>
                <c:pt idx="1">
                  <c:v>1849136.7861885792</c:v>
                </c:pt>
                <c:pt idx="2">
                  <c:v>1506961.5069615068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9E-4C42-974D-3110218C49F3}"/>
            </c:ext>
          </c:extLst>
        </c:ser>
        <c:ser>
          <c:idx val="0"/>
          <c:order val="1"/>
          <c:tx>
            <c:v>Pure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'MFP-PDF_Avg'!$CJ$28:$CJ$30</c:f>
              <c:numCache>
                <c:formatCode>0.00E+00</c:formatCode>
                <c:ptCount val="3"/>
                <c:pt idx="0">
                  <c:v>4493611.8121882575</c:v>
                </c:pt>
                <c:pt idx="1">
                  <c:v>3325153.1639604135</c:v>
                </c:pt>
                <c:pt idx="2">
                  <c:v>2174841.1071736389</c:v>
                </c:pt>
              </c:numCache>
            </c:numRef>
          </c:xVal>
          <c:yVal>
            <c:numRef>
              <c:f>'MFP-PDF_Avg'!$BQ$8:$BQ$10</c:f>
              <c:numCache>
                <c:formatCode>0.00E+00</c:formatCode>
                <c:ptCount val="3"/>
                <c:pt idx="0">
                  <c:v>4521126.760563381</c:v>
                </c:pt>
                <c:pt idx="1">
                  <c:v>3250000</c:v>
                </c:pt>
                <c:pt idx="2">
                  <c:v>2200657.8947368423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9E-4C42-974D-3110218C49F3}"/>
            </c:ext>
          </c:extLst>
        </c:ser>
        <c:ser>
          <c:idx val="5"/>
          <c:order val="2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'MFP-PDF_Avg'!$BX$18:$BX$20</c:f>
              <c:numCache>
                <c:formatCode>General</c:formatCode>
                <c:ptCount val="3"/>
                <c:pt idx="0">
                  <c:v>4450276.1321810596</c:v>
                </c:pt>
                <c:pt idx="1">
                  <c:v>3738404.7815810372</c:v>
                </c:pt>
                <c:pt idx="2">
                  <c:v>4124321.9271379304</c:v>
                </c:pt>
              </c:numCache>
            </c:numRef>
          </c:xVal>
          <c:yVal>
            <c:numRef>
              <c:f>'MFP-PDF_Avg'!$BQ$18:$BQ$20</c:f>
              <c:numCache>
                <c:formatCode>0.00E+00</c:formatCode>
                <c:ptCount val="3"/>
                <c:pt idx="0">
                  <c:v>4323157.1595853949</c:v>
                </c:pt>
                <c:pt idx="1">
                  <c:v>3402318.9027080508</c:v>
                </c:pt>
                <c:pt idx="2">
                  <c:v>4192480.558023226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09E-4C42-974D-3110218C49F3}"/>
            </c:ext>
          </c:extLst>
        </c:ser>
        <c:ser>
          <c:idx val="6"/>
          <c:order val="3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'MFP-PDF_Avg'!$BX$21:$BX$22</c:f>
              <c:numCache>
                <c:formatCode>General</c:formatCode>
                <c:ptCount val="2"/>
                <c:pt idx="0">
                  <c:v>1670541.5762349977</c:v>
                </c:pt>
                <c:pt idx="1">
                  <c:v>1843595.9152489989</c:v>
                </c:pt>
              </c:numCache>
            </c:numRef>
          </c:xVal>
          <c:yVal>
            <c:numRef>
              <c:f>'MFP-PDF_Avg'!$BQ$21:$BQ$22</c:f>
              <c:numCache>
                <c:formatCode>0.00E+00</c:formatCode>
                <c:ptCount val="2"/>
                <c:pt idx="0">
                  <c:v>2156336.4385642763</c:v>
                </c:pt>
                <c:pt idx="1">
                  <c:v>2149770.3220167966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09E-4C42-974D-3110218C49F3}"/>
            </c:ext>
          </c:extLst>
        </c:ser>
        <c:ser>
          <c:idx val="2"/>
          <c:order val="4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'MFP-PDF_Avg'!$BX$23</c:f>
              <c:numCache>
                <c:formatCode>General</c:formatCode>
                <c:ptCount val="1"/>
                <c:pt idx="0">
                  <c:v>4218973.6676481161</c:v>
                </c:pt>
              </c:numCache>
            </c:numRef>
          </c:xVal>
          <c:yVal>
            <c:numRef>
              <c:f>'MFP-PDF_Avg'!$BQ$23</c:f>
              <c:numCache>
                <c:formatCode>0.00E+00</c:formatCode>
                <c:ptCount val="1"/>
                <c:pt idx="0">
                  <c:v>4183129.8557158709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09E-4C42-974D-3110218C49F3}"/>
            </c:ext>
          </c:extLst>
        </c:ser>
        <c:ser>
          <c:idx val="3"/>
          <c:order val="5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.000000000000001E-2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7000000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7000000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9-F09E-4C42-974D-3110218C4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70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C_p,calc_VsoundMetal_secondpeak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E+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  <c:majorUnit val="1000000"/>
      </c:valAx>
      <c:valAx>
        <c:axId val="689706896"/>
        <c:scaling>
          <c:orientation val="minMax"/>
          <c:max val="7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C_p,measured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635608048993876E-2"/>
              <c:y val="0.305791776027996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0.67928926647326981"/>
          <c:y val="0.38847331583552058"/>
          <c:w val="0.30383133029423953"/>
          <c:h val="0.468753280839895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PDF-avg_peaks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978933554358339"/>
          <c:y val="4.3650793650793648E-2"/>
          <c:w val="0.47553368328958878"/>
          <c:h val="0.82379640044994373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'MFP-PDF_Avg'!$CK$25:$CK$27</c:f>
              <c:numCache>
                <c:formatCode>0.00E+00</c:formatCode>
                <c:ptCount val="3"/>
                <c:pt idx="0">
                  <c:v>2051930.1936925012</c:v>
                </c:pt>
                <c:pt idx="1">
                  <c:v>2435237.6039800714</c:v>
                </c:pt>
                <c:pt idx="2">
                  <c:v>1526007.4127224127</c:v>
                </c:pt>
              </c:numCache>
            </c:numRef>
          </c:xVal>
          <c:yVal>
            <c:numRef>
              <c:f>'MFP-PDF_Avg'!$BQ$5:$BQ$7</c:f>
              <c:numCache>
                <c:formatCode>0.00E+00</c:formatCode>
                <c:ptCount val="3"/>
                <c:pt idx="0">
                  <c:v>2299027.692598009</c:v>
                </c:pt>
                <c:pt idx="1">
                  <c:v>1849136.7861885792</c:v>
                </c:pt>
                <c:pt idx="2">
                  <c:v>1506961.5069615068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6C-4515-A464-83940D15AB1F}"/>
            </c:ext>
          </c:extLst>
        </c:ser>
        <c:ser>
          <c:idx val="0"/>
          <c:order val="1"/>
          <c:tx>
            <c:v>Pure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'MFP-PDF_Avg'!$CK$28:$CK$30</c:f>
              <c:numCache>
                <c:formatCode>0.00E+00</c:formatCode>
                <c:ptCount val="3"/>
                <c:pt idx="0">
                  <c:v>5333320.0246785739</c:v>
                </c:pt>
                <c:pt idx="1">
                  <c:v>3830981.4263753933</c:v>
                </c:pt>
                <c:pt idx="2">
                  <c:v>2500277.0314908568</c:v>
                </c:pt>
              </c:numCache>
            </c:numRef>
          </c:xVal>
          <c:yVal>
            <c:numRef>
              <c:f>'MFP-PDF_Avg'!$BQ$8:$BQ$10</c:f>
              <c:numCache>
                <c:formatCode>0.00E+00</c:formatCode>
                <c:ptCount val="3"/>
                <c:pt idx="0">
                  <c:v>4521126.760563381</c:v>
                </c:pt>
                <c:pt idx="1">
                  <c:v>3250000</c:v>
                </c:pt>
                <c:pt idx="2">
                  <c:v>2200657.8947368423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6C-4515-A464-83940D15AB1F}"/>
            </c:ext>
          </c:extLst>
        </c:ser>
        <c:ser>
          <c:idx val="5"/>
          <c:order val="2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'MFP-PDF_Avg'!$BX$18:$BX$20</c:f>
              <c:numCache>
                <c:formatCode>General</c:formatCode>
                <c:ptCount val="3"/>
                <c:pt idx="0">
                  <c:v>4450276.1321810596</c:v>
                </c:pt>
                <c:pt idx="1">
                  <c:v>3738404.7815810372</c:v>
                </c:pt>
                <c:pt idx="2">
                  <c:v>4124321.9271379304</c:v>
                </c:pt>
              </c:numCache>
            </c:numRef>
          </c:xVal>
          <c:yVal>
            <c:numRef>
              <c:f>'MFP-PDF_Avg'!$BQ$18:$BQ$20</c:f>
              <c:numCache>
                <c:formatCode>0.00E+00</c:formatCode>
                <c:ptCount val="3"/>
                <c:pt idx="0">
                  <c:v>4323157.1595853949</c:v>
                </c:pt>
                <c:pt idx="1">
                  <c:v>3402318.9027080508</c:v>
                </c:pt>
                <c:pt idx="2">
                  <c:v>4192480.558023226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6C-4515-A464-83940D15AB1F}"/>
            </c:ext>
          </c:extLst>
        </c:ser>
        <c:ser>
          <c:idx val="6"/>
          <c:order val="3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'MFP-PDF_Avg'!$BX$21:$BX$22</c:f>
              <c:numCache>
                <c:formatCode>General</c:formatCode>
                <c:ptCount val="2"/>
                <c:pt idx="0">
                  <c:v>1670541.5762349977</c:v>
                </c:pt>
                <c:pt idx="1">
                  <c:v>1843595.9152489989</c:v>
                </c:pt>
              </c:numCache>
            </c:numRef>
          </c:xVal>
          <c:yVal>
            <c:numRef>
              <c:f>'MFP-PDF_Avg'!$BQ$21:$BQ$22</c:f>
              <c:numCache>
                <c:formatCode>0.00E+00</c:formatCode>
                <c:ptCount val="2"/>
                <c:pt idx="0">
                  <c:v>2156336.4385642763</c:v>
                </c:pt>
                <c:pt idx="1">
                  <c:v>2149770.3220167966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6C-4515-A464-83940D15AB1F}"/>
            </c:ext>
          </c:extLst>
        </c:ser>
        <c:ser>
          <c:idx val="2"/>
          <c:order val="4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'MFP-PDF_Avg'!$BX$23</c:f>
              <c:numCache>
                <c:formatCode>General</c:formatCode>
                <c:ptCount val="1"/>
                <c:pt idx="0">
                  <c:v>4218973.6676481161</c:v>
                </c:pt>
              </c:numCache>
            </c:numRef>
          </c:xVal>
          <c:yVal>
            <c:numRef>
              <c:f>'MFP-PDF_Avg'!$BQ$23</c:f>
              <c:numCache>
                <c:formatCode>0.00E+00</c:formatCode>
                <c:ptCount val="1"/>
                <c:pt idx="0">
                  <c:v>4183129.8557158709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76C-4515-A464-83940D15AB1F}"/>
            </c:ext>
          </c:extLst>
        </c:ser>
        <c:ser>
          <c:idx val="3"/>
          <c:order val="5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.000000000000001E-2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7000000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7000000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9-F76C-4515-A464-83940D15AB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70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C_p,calc_secondpeak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E+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  <c:majorUnit val="1000000"/>
      </c:valAx>
      <c:valAx>
        <c:axId val="689706896"/>
        <c:scaling>
          <c:orientation val="minMax"/>
          <c:max val="7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C_p,measured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635608048993876E-2"/>
              <c:y val="0.305791776027996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0.67928926647326981"/>
          <c:y val="0.38847331583552058"/>
          <c:w val="0.30383133029423953"/>
          <c:h val="0.468753280839895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00991542723829"/>
          <c:y val="4.3650793650793648E-2"/>
          <c:w val="0.51074058688893342"/>
          <c:h val="0.80527777777777776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'MFP-PDF_Avg'!$BO$5:$BO$7</c:f>
              <c:numCache>
                <c:formatCode>0.00E+00</c:formatCode>
                <c:ptCount val="3"/>
                <c:pt idx="0">
                  <c:v>2315.7128787236516</c:v>
                </c:pt>
                <c:pt idx="1">
                  <c:v>1956.4949401532424</c:v>
                </c:pt>
                <c:pt idx="2">
                  <c:v>1623.6959849275681</c:v>
                </c:pt>
              </c:numCache>
            </c:numRef>
          </c:xVal>
          <c:yVal>
            <c:numRef>
              <c:f>'MFP-PDF_Avg'!$BJ$5:$BJ$7</c:f>
              <c:numCache>
                <c:formatCode>0.00E+00</c:formatCode>
                <c:ptCount val="3"/>
                <c:pt idx="0">
                  <c:v>2042.3974499999999</c:v>
                </c:pt>
                <c:pt idx="1">
                  <c:v>1743.6799999999998</c:v>
                </c:pt>
                <c:pt idx="2">
                  <c:v>1597.1839999999997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44-4C41-BFA3-8DE9CCF0690F}"/>
            </c:ext>
          </c:extLst>
        </c:ser>
        <c:ser>
          <c:idx val="0"/>
          <c:order val="1"/>
          <c:tx>
            <c:v>Pure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'MFP-PDF_Avg'!$BO$8:$BO$10</c:f>
              <c:numCache>
                <c:formatCode>0.00E+00</c:formatCode>
                <c:ptCount val="3"/>
                <c:pt idx="0">
                  <c:v>3016.3419621048133</c:v>
                </c:pt>
                <c:pt idx="1">
                  <c:v>2554.0281298443947</c:v>
                </c:pt>
                <c:pt idx="2">
                  <c:v>2052.1409413110459</c:v>
                </c:pt>
              </c:numCache>
            </c:numRef>
          </c:xVal>
          <c:yVal>
            <c:numRef>
              <c:f>'MFP-PDF_Avg'!$BJ$8:$BJ$10</c:f>
              <c:numCache>
                <c:formatCode>0.00E+00</c:formatCode>
                <c:ptCount val="3"/>
                <c:pt idx="0">
                  <c:v>2547.8000000000002</c:v>
                </c:pt>
                <c:pt idx="1">
                  <c:v>2085.5</c:v>
                </c:pt>
                <c:pt idx="2">
                  <c:v>1816.4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44-4C41-BFA3-8DE9CCF0690F}"/>
            </c:ext>
          </c:extLst>
        </c:ser>
        <c:ser>
          <c:idx val="1"/>
          <c:order val="2"/>
          <c:tx>
            <c:v>Alkaline Earth Chlorides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'MFP-PDF_Avg'!$BO$13:$BO$15</c:f>
              <c:numCache>
                <c:formatCode>0.00E+00</c:formatCode>
                <c:ptCount val="3"/>
                <c:pt idx="0">
                  <c:v>2359.0624673719785</c:v>
                </c:pt>
                <c:pt idx="1">
                  <c:v>1930.1433014857096</c:v>
                </c:pt>
                <c:pt idx="2">
                  <c:v>1284.5980029294915</c:v>
                </c:pt>
              </c:numCache>
            </c:numRef>
          </c:xVal>
          <c:yVal>
            <c:numRef>
              <c:f>'MFP-PDF_Avg'!$BJ$13:$BJ$15</c:f>
              <c:numCache>
                <c:formatCode>0.00E+00</c:formatCode>
                <c:ptCount val="3"/>
                <c:pt idx="0">
                  <c:v>2101</c:v>
                </c:pt>
                <c:pt idx="1">
                  <c:v>2065.0300000000002</c:v>
                </c:pt>
                <c:pt idx="2">
                  <c:v>1873.13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1BD-4EFA-9654-A7D892C7B722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'MFP-PDF_Avg'!$BN$18:$BN$20</c:f>
              <c:numCache>
                <c:formatCode>0.00E+00</c:formatCode>
                <c:ptCount val="3"/>
                <c:pt idx="0">
                  <c:v>3234.0537196156542</c:v>
                </c:pt>
                <c:pt idx="1">
                  <c:v>2200.9716645044032</c:v>
                </c:pt>
                <c:pt idx="2">
                  <c:v>2561.8335184383373</c:v>
                </c:pt>
              </c:numCache>
            </c:numRef>
          </c:xVal>
          <c:yVal>
            <c:numRef>
              <c:f>'MFP-PDF_Avg'!$BJ$18:$BJ$20</c:f>
              <c:numCache>
                <c:formatCode>0.00E+00</c:formatCode>
                <c:ptCount val="3"/>
                <c:pt idx="0">
                  <c:v>2547.6863757231322</c:v>
                </c:pt>
                <c:pt idx="1">
                  <c:v>2012.468707779205</c:v>
                </c:pt>
                <c:pt idx="2">
                  <c:v>2298.228366828082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F44-4C41-BFA3-8DE9CCF0690F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'MFP-PDF_Avg'!$BN$21:$BN$22</c:f>
              <c:numCache>
                <c:formatCode>0.00E+00</c:formatCode>
                <c:ptCount val="2"/>
                <c:pt idx="0">
                  <c:v>1127.8431507727448</c:v>
                </c:pt>
                <c:pt idx="1">
                  <c:v>1264.7830699883316</c:v>
                </c:pt>
              </c:numCache>
            </c:numRef>
          </c:xVal>
          <c:yVal>
            <c:numRef>
              <c:f>'MFP-PDF_Avg'!$BJ$21:$BJ$22</c:f>
              <c:numCache>
                <c:formatCode>0.00E+00</c:formatCode>
                <c:ptCount val="2"/>
                <c:pt idx="0">
                  <c:v>1451.7494609289899</c:v>
                </c:pt>
                <c:pt idx="1">
                  <c:v>1470.4555590061771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F44-4C41-BFA3-8DE9CCF0690F}"/>
            </c:ext>
          </c:extLst>
        </c:ser>
        <c:ser>
          <c:idx val="2"/>
          <c:order val="5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'MFP-PDF_Avg'!$BN$23</c:f>
              <c:numCache>
                <c:formatCode>0.00E+00</c:formatCode>
                <c:ptCount val="1"/>
                <c:pt idx="0">
                  <c:v>1415.0218281228406</c:v>
                </c:pt>
              </c:numCache>
            </c:numRef>
          </c:xVal>
          <c:yVal>
            <c:numRef>
              <c:f>'MFP-PDF_Avg'!$BJ$23</c:f>
              <c:numCache>
                <c:formatCode>0.00E+00</c:formatCode>
                <c:ptCount val="1"/>
                <c:pt idx="0">
                  <c:v>1403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F44-4C41-BFA3-8DE9CCF0690F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6000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6000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9-7F44-4C41-BFA3-8DE9CCF06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vs_calc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v_sound_metal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66593759113446"/>
          <c:y val="5.9523809523809521E-2"/>
          <c:w val="0.56891659375911341"/>
          <c:h val="0.77617745698454343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'MFP-PDF_Avg'!$AW$5:$AW$7</c:f>
              <c:numCache>
                <c:formatCode>0.000000</c:formatCode>
                <c:ptCount val="3"/>
                <c:pt idx="0">
                  <c:v>0.56023878629164503</c:v>
                </c:pt>
                <c:pt idx="1">
                  <c:v>0.43246472382378331</c:v>
                </c:pt>
                <c:pt idx="2">
                  <c:v>0.36751403839236602</c:v>
                </c:pt>
              </c:numCache>
            </c:numRef>
          </c:xVal>
          <c:yVal>
            <c:numRef>
              <c:f>'MFP-PDF_Avg'!$AK$5:$AK$7</c:f>
              <c:numCache>
                <c:formatCode>General</c:formatCode>
                <c:ptCount val="3"/>
                <c:pt idx="0">
                  <c:v>0.62171538406412596</c:v>
                </c:pt>
                <c:pt idx="1">
                  <c:v>0.47705461868503202</c:v>
                </c:pt>
                <c:pt idx="2">
                  <c:v>0.36559719352224501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FC-4A37-9F66-67A1528D32FD}"/>
            </c:ext>
          </c:extLst>
        </c:ser>
        <c:ser>
          <c:idx val="1"/>
          <c:order val="1"/>
          <c:tx>
            <c:v>Pure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'MFP-PDF_Avg'!$AW$8:$AW$10</c:f>
              <c:numCache>
                <c:formatCode>0.000000</c:formatCode>
                <c:ptCount val="3"/>
                <c:pt idx="0">
                  <c:v>1.0814453239955075</c:v>
                </c:pt>
                <c:pt idx="1">
                  <c:v>0.73759694933460851</c:v>
                </c:pt>
                <c:pt idx="2">
                  <c:v>0.50711580774920906</c:v>
                </c:pt>
              </c:numCache>
            </c:numRef>
          </c:xVal>
          <c:yVal>
            <c:numRef>
              <c:f>'MFP-PDF_Avg'!$AK$8:$AK$10</c:f>
              <c:numCache>
                <c:formatCode>General</c:formatCode>
                <c:ptCount val="3"/>
                <c:pt idx="0">
                  <c:v>1.2682350574951</c:v>
                </c:pt>
                <c:pt idx="1">
                  <c:v>0.90547800000000001</c:v>
                </c:pt>
                <c:pt idx="2">
                  <c:v>0.56768789999999902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FC-4A37-9F66-67A1528D32FD}"/>
            </c:ext>
          </c:extLst>
        </c:ser>
        <c:ser>
          <c:idx val="7"/>
          <c:order val="2"/>
          <c:tx>
            <c:v>Alkaline Earth Chlorides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'MFP-PDF_Avg'!$AW$13:$AW$15</c:f>
              <c:numCache>
                <c:formatCode>0.000000</c:formatCode>
                <c:ptCount val="3"/>
                <c:pt idx="0">
                  <c:v>0.41146091442052046</c:v>
                </c:pt>
                <c:pt idx="1">
                  <c:v>0.47912093316499721</c:v>
                </c:pt>
                <c:pt idx="2">
                  <c:v>0.55522074200137805</c:v>
                </c:pt>
              </c:numCache>
            </c:numRef>
          </c:xVal>
          <c:yVal>
            <c:numRef>
              <c:f>'MFP-PDF_Avg'!$AK$13:$AK$15</c:f>
              <c:numCache>
                <c:formatCode>General</c:formatCode>
                <c:ptCount val="3"/>
                <c:pt idx="0">
                  <c:v>0.46200000000000002</c:v>
                </c:pt>
                <c:pt idx="1">
                  <c:v>0.44782499999999897</c:v>
                </c:pt>
                <c:pt idx="2">
                  <c:v>0.380772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20E-42BB-8184-0EAB1C554529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'MFP-PDF_Avg'!$AS$18:$AS$20</c:f>
              <c:numCache>
                <c:formatCode>0.000000</c:formatCode>
                <c:ptCount val="3"/>
                <c:pt idx="0">
                  <c:v>1.2641169574941</c:v>
                </c:pt>
                <c:pt idx="1">
                  <c:v>0.84284465559077204</c:v>
                </c:pt>
                <c:pt idx="2">
                  <c:v>0.93676902087574598</c:v>
                </c:pt>
              </c:numCache>
            </c:numRef>
          </c:xVal>
          <c:yVal>
            <c:numRef>
              <c:f>('MFP-PDF_Avg'!$AK$18,'MFP-PDF_Avg'!$AK$19,'MFP-PDF_Avg'!$AK$20)</c:f>
              <c:numCache>
                <c:formatCode>General</c:formatCode>
                <c:ptCount val="3"/>
                <c:pt idx="0">
                  <c:v>1.18</c:v>
                </c:pt>
                <c:pt idx="1">
                  <c:v>0.78633287605038305</c:v>
                </c:pt>
                <c:pt idx="2">
                  <c:v>0.86544945017474995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9FC-4A37-9F66-67A1528D32FD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9.3845873432487625E-2"/>
                  <c:y val="9.8049462567179099E-2"/>
                </c:manualLayout>
              </c:layout>
              <c:tx>
                <c:rich>
                  <a:bodyPr/>
                  <a:lstStyle/>
                  <a:p>
                    <a:fld id="{4E0BA487-CCDC-4FE7-BE25-673E4F54B5AB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328813065033539"/>
                      <c:h val="9.793182102237219E-2"/>
                    </c:manualLayout>
                  </c15:layout>
                  <c15:dlblFieldTable>
                    <c15:dlblFTEntry>
                      <c15:txfldGUID>{4E0BA487-CCDC-4FE7-BE25-673E4F54B5AB}</c15:txfldGUID>
                      <c15:f>'MFP-PDF_Avg'!$A$21</c15:f>
                      <c15:dlblFieldTableCache>
                        <c:ptCount val="1"/>
                        <c:pt idx="0">
                          <c:v>0.63NaCl-0.37UCl3 (ORNL)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99FC-4A37-9F66-67A1528D32FD}"/>
                </c:ext>
              </c:extLst>
            </c:dLbl>
            <c:dLbl>
              <c:idx val="1"/>
              <c:layout>
                <c:manualLayout>
                  <c:x val="3.1089929548280139E-2"/>
                  <c:y val="1.568788276465432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48043BA-4F93-455A-BDFD-BB5447868CFE}" type="CELLREF">
                      <a:rPr lang="en-US"/>
                      <a:pPr>
                        <a:defRPr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342772942855827"/>
                      <c:h val="9.7931758530183724E-2"/>
                    </c:manualLayout>
                  </c15:layout>
                  <c15:dlblFieldTable>
                    <c15:dlblFTEntry>
                      <c15:txfldGUID>{F48043BA-4F93-455A-BDFD-BB5447868CFE}</c15:txfldGUID>
                      <c15:f>'MFP-PDF_Avg'!$A$22</c15:f>
                      <c15:dlblFieldTableCache>
                        <c:ptCount val="1"/>
                        <c:pt idx="0">
                          <c:v>0.658NaCl-0.342UCl3 (ANL)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99FC-4A37-9F66-67A1528D32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'MFP-PDF_Avg'!$AS$21:$AS$22</c:f>
              <c:numCache>
                <c:formatCode>0.000000</c:formatCode>
                <c:ptCount val="2"/>
                <c:pt idx="0">
                  <c:v>0.30884033107708703</c:v>
                </c:pt>
                <c:pt idx="1">
                  <c:v>0.32145693534244602</c:v>
                </c:pt>
              </c:numCache>
            </c:numRef>
          </c:xVal>
          <c:yVal>
            <c:numRef>
              <c:f>'MFP-PDF_Avg'!$AK$21:$AK$22</c:f>
              <c:numCache>
                <c:formatCode>General</c:formatCode>
                <c:ptCount val="2"/>
                <c:pt idx="0">
                  <c:v>0.239262577144952</c:v>
                </c:pt>
                <c:pt idx="1">
                  <c:v>0.27567442291687039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9FC-4A37-9F66-67A1528D32FD}"/>
            </c:ext>
          </c:extLst>
        </c:ser>
        <c:ser>
          <c:idx val="2"/>
          <c:order val="5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'MFP-PDF_Avg'!$AS$23</c:f>
              <c:numCache>
                <c:formatCode>0.000000</c:formatCode>
                <c:ptCount val="1"/>
                <c:pt idx="0">
                  <c:v>0.55623382223307438</c:v>
                </c:pt>
              </c:numCache>
            </c:numRef>
          </c:xVal>
          <c:yVal>
            <c:numRef>
              <c:f>'MFP-PDF_Avg'!$AK$23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9FC-4A37-9F66-67A1528D32FD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B-99FC-4A37-9F66-67A1528D32FD}"/>
            </c:ext>
          </c:extLst>
        </c:ser>
        <c:ser>
          <c:idx val="0"/>
          <c:order val="7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1.9494405304600084E-2"/>
                  <c:y val="1.644794400699912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'MFP-PDF_Avg'!$AW$5:$AW$23</c:f>
              <c:numCache>
                <c:formatCode>0.000000</c:formatCode>
                <c:ptCount val="19"/>
                <c:pt idx="0">
                  <c:v>0.56023878629164503</c:v>
                </c:pt>
                <c:pt idx="1">
                  <c:v>0.43246472382378331</c:v>
                </c:pt>
                <c:pt idx="2">
                  <c:v>0.36751403839236602</c:v>
                </c:pt>
                <c:pt idx="3">
                  <c:v>1.0814453239955075</c:v>
                </c:pt>
                <c:pt idx="4">
                  <c:v>0.73759694933460851</c:v>
                </c:pt>
                <c:pt idx="5">
                  <c:v>0.50711580774920906</c:v>
                </c:pt>
                <c:pt idx="8">
                  <c:v>0.41146091442052046</c:v>
                </c:pt>
                <c:pt idx="9">
                  <c:v>0.47912093316499721</c:v>
                </c:pt>
                <c:pt idx="10">
                  <c:v>0.55522074200137805</c:v>
                </c:pt>
                <c:pt idx="13">
                  <c:v>1.2641169574941</c:v>
                </c:pt>
                <c:pt idx="14">
                  <c:v>0.84284465559077204</c:v>
                </c:pt>
                <c:pt idx="15">
                  <c:v>0.93676902087574598</c:v>
                </c:pt>
                <c:pt idx="16">
                  <c:v>0.30884033107708703</c:v>
                </c:pt>
                <c:pt idx="17">
                  <c:v>0.32145693534244602</c:v>
                </c:pt>
                <c:pt idx="18">
                  <c:v>0.55623382223307438</c:v>
                </c:pt>
              </c:numCache>
            </c:numRef>
          </c:xVal>
          <c:yVal>
            <c:numRef>
              <c:f>'MFP-PDF_Avg'!$AK$5:$AK$23</c:f>
              <c:numCache>
                <c:formatCode>General</c:formatCode>
                <c:ptCount val="19"/>
                <c:pt idx="0">
                  <c:v>0.62171538406412596</c:v>
                </c:pt>
                <c:pt idx="1">
                  <c:v>0.47705461868503202</c:v>
                </c:pt>
                <c:pt idx="2">
                  <c:v>0.36559719352224501</c:v>
                </c:pt>
                <c:pt idx="3">
                  <c:v>1.2682350574951</c:v>
                </c:pt>
                <c:pt idx="4">
                  <c:v>0.90547800000000001</c:v>
                </c:pt>
                <c:pt idx="5">
                  <c:v>0.56768789999999902</c:v>
                </c:pt>
                <c:pt idx="8">
                  <c:v>0.46200000000000002</c:v>
                </c:pt>
                <c:pt idx="9">
                  <c:v>0.44782499999999897</c:v>
                </c:pt>
                <c:pt idx="10">
                  <c:v>0.380772</c:v>
                </c:pt>
                <c:pt idx="11">
                  <c:v>0.59593560000000001</c:v>
                </c:pt>
                <c:pt idx="12">
                  <c:v>0.14599400000000001</c:v>
                </c:pt>
                <c:pt idx="13">
                  <c:v>1.18</c:v>
                </c:pt>
                <c:pt idx="14">
                  <c:v>0.78633287605038305</c:v>
                </c:pt>
                <c:pt idx="15">
                  <c:v>0.86544945017474995</c:v>
                </c:pt>
                <c:pt idx="16">
                  <c:v>0.239262577144952</c:v>
                </c:pt>
                <c:pt idx="17">
                  <c:v>0.27567442291687039</c:v>
                </c:pt>
                <c:pt idx="18" formatCode="0.0000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9FC-4A37-9F66-67A1528D32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.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_predicted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  <c:majorUnit val="0.2"/>
      </c:valAx>
      <c:valAx>
        <c:axId val="689706896"/>
        <c:scaling>
          <c:orientation val="minMax"/>
          <c:max val="1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  <c:minorUnit val="4.0000000000000008E-2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0.67247133581986451"/>
          <c:y val="0.30869459025955087"/>
          <c:w val="0.30652010312870182"/>
          <c:h val="0.691305409740449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66593759113446"/>
          <c:y val="5.9523809523809521E-2"/>
          <c:w val="0.56891659375911341"/>
          <c:h val="0.77617745698454343"/>
        </c:manualLayout>
      </c:layout>
      <c:scatterChart>
        <c:scatterStyle val="lineMarker"/>
        <c:varyColors val="0"/>
        <c:ser>
          <c:idx val="4"/>
          <c:order val="0"/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'MFP-PDF_Avg'!$AX$5:$AX$7</c:f>
              <c:numCache>
                <c:formatCode>0.000000</c:formatCode>
                <c:ptCount val="3"/>
                <c:pt idx="0">
                  <c:v>0.9600657071035601</c:v>
                </c:pt>
                <c:pt idx="1">
                  <c:v>0.67461004817437287</c:v>
                </c:pt>
                <c:pt idx="2">
                  <c:v>0.54303895518987422</c:v>
                </c:pt>
              </c:numCache>
            </c:numRef>
          </c:xVal>
          <c:yVal>
            <c:numRef>
              <c:f>'MFP-PDF_Avg'!$AK$5:$AK$7</c:f>
              <c:numCache>
                <c:formatCode>General</c:formatCode>
                <c:ptCount val="3"/>
                <c:pt idx="0">
                  <c:v>0.62171538406412596</c:v>
                </c:pt>
                <c:pt idx="1">
                  <c:v>0.47705461868503202</c:v>
                </c:pt>
                <c:pt idx="2">
                  <c:v>0.36559719352224501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51-4C43-ADCA-DE7A4FFB20F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'MFP-PDF_Avg'!$AX$8:$AX$10</c:f>
              <c:numCache>
                <c:formatCode>0.000000</c:formatCode>
                <c:ptCount val="3"/>
                <c:pt idx="0">
                  <c:v>1.4856184292268921</c:v>
                </c:pt>
                <c:pt idx="1">
                  <c:v>0.96200609071691934</c:v>
                </c:pt>
                <c:pt idx="2">
                  <c:v>0.65888202284085728</c:v>
                </c:pt>
              </c:numCache>
            </c:numRef>
          </c:xVal>
          <c:yVal>
            <c:numRef>
              <c:f>'MFP-PDF_Avg'!$AK$8:$AK$10</c:f>
              <c:numCache>
                <c:formatCode>General</c:formatCode>
                <c:ptCount val="3"/>
                <c:pt idx="0">
                  <c:v>1.2682350574951</c:v>
                </c:pt>
                <c:pt idx="1">
                  <c:v>0.90547800000000001</c:v>
                </c:pt>
                <c:pt idx="2">
                  <c:v>0.56768789999999902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51-4C43-ADCA-DE7A4FFB20FF}"/>
            </c:ext>
          </c:extLst>
        </c:ser>
        <c:ser>
          <c:idx val="7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'MFP-PDF_Avg'!$AX$13:$AX$15</c:f>
              <c:numCache>
                <c:formatCode>0.000000</c:formatCode>
                <c:ptCount val="3"/>
                <c:pt idx="0">
                  <c:v>0.66585773871002829</c:v>
                </c:pt>
                <c:pt idx="1">
                  <c:v>0.5104361936451256</c:v>
                </c:pt>
              </c:numCache>
            </c:numRef>
          </c:xVal>
          <c:yVal>
            <c:numRef>
              <c:f>'MFP-PDF_Avg'!$AK$13:$AK$15</c:f>
              <c:numCache>
                <c:formatCode>General</c:formatCode>
                <c:ptCount val="3"/>
                <c:pt idx="0">
                  <c:v>0.46200000000000002</c:v>
                </c:pt>
                <c:pt idx="1">
                  <c:v>0.44782499999999897</c:v>
                </c:pt>
                <c:pt idx="2">
                  <c:v>0.380772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551-4C43-ADCA-DE7A4FFB20FF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'MFP-PDF_Avg'!$AS$18:$AS$20</c:f>
              <c:numCache>
                <c:formatCode>0.000000</c:formatCode>
                <c:ptCount val="3"/>
                <c:pt idx="0">
                  <c:v>1.2641169574941</c:v>
                </c:pt>
                <c:pt idx="1">
                  <c:v>0.84284465559077204</c:v>
                </c:pt>
                <c:pt idx="2">
                  <c:v>0.93676902087574598</c:v>
                </c:pt>
              </c:numCache>
            </c:numRef>
          </c:xVal>
          <c:yVal>
            <c:numRef>
              <c:f>('MFP-PDF_Avg'!$AK$18,'MFP-PDF_Avg'!$AK$19,'MFP-PDF_Avg'!$AK$20)</c:f>
              <c:numCache>
                <c:formatCode>General</c:formatCode>
                <c:ptCount val="3"/>
                <c:pt idx="0">
                  <c:v>1.18</c:v>
                </c:pt>
                <c:pt idx="1">
                  <c:v>0.78633287605038305</c:v>
                </c:pt>
                <c:pt idx="2">
                  <c:v>0.86544945017474995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551-4C43-ADCA-DE7A4FFB20FF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9.3845873432487625E-2"/>
                  <c:y val="9.8049462567179099E-2"/>
                </c:manualLayout>
              </c:layout>
              <c:tx>
                <c:rich>
                  <a:bodyPr/>
                  <a:lstStyle/>
                  <a:p>
                    <a:fld id="{4E0BA487-CCDC-4FE7-BE25-673E4F54B5AB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328813065033539"/>
                      <c:h val="9.793182102237219E-2"/>
                    </c:manualLayout>
                  </c15:layout>
                  <c15:dlblFieldTable>
                    <c15:dlblFTEntry>
                      <c15:txfldGUID>{4E0BA487-CCDC-4FE7-BE25-673E4F54B5AB}</c15:txfldGUID>
                      <c15:f>'MFP-PDF_Avg'!$A$21</c15:f>
                      <c15:dlblFieldTableCache>
                        <c:ptCount val="1"/>
                        <c:pt idx="0">
                          <c:v>0.63NaCl-0.37UCl3 (ORNL)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0551-4C43-ADCA-DE7A4FFB20FF}"/>
                </c:ext>
              </c:extLst>
            </c:dLbl>
            <c:dLbl>
              <c:idx val="1"/>
              <c:layout>
                <c:manualLayout>
                  <c:x val="3.1089929548280139E-2"/>
                  <c:y val="1.568788276465432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48043BA-4F93-455A-BDFD-BB5447868CFE}" type="CELLREF">
                      <a:rPr lang="en-US"/>
                      <a:pPr>
                        <a:defRPr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342772942855827"/>
                      <c:h val="9.7931758530183724E-2"/>
                    </c:manualLayout>
                  </c15:layout>
                  <c15:dlblFieldTable>
                    <c15:dlblFTEntry>
                      <c15:txfldGUID>{F48043BA-4F93-455A-BDFD-BB5447868CFE}</c15:txfldGUID>
                      <c15:f>'MFP-PDF_Avg'!$A$22</c15:f>
                      <c15:dlblFieldTableCache>
                        <c:ptCount val="1"/>
                        <c:pt idx="0">
                          <c:v>0.658NaCl-0.342UCl3 (ANL)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0551-4C43-ADCA-DE7A4FFB20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'MFP-PDF_Avg'!$AS$21:$AS$22</c:f>
              <c:numCache>
                <c:formatCode>0.000000</c:formatCode>
                <c:ptCount val="2"/>
                <c:pt idx="0">
                  <c:v>0.30884033107708703</c:v>
                </c:pt>
                <c:pt idx="1">
                  <c:v>0.32145693534244602</c:v>
                </c:pt>
              </c:numCache>
            </c:numRef>
          </c:xVal>
          <c:yVal>
            <c:numRef>
              <c:f>'MFP-PDF_Avg'!$AK$21:$AK$22</c:f>
              <c:numCache>
                <c:formatCode>General</c:formatCode>
                <c:ptCount val="2"/>
                <c:pt idx="0">
                  <c:v>0.239262577144952</c:v>
                </c:pt>
                <c:pt idx="1">
                  <c:v>0.27567442291687039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551-4C43-ADCA-DE7A4FFB20FF}"/>
            </c:ext>
          </c:extLst>
        </c:ser>
        <c:ser>
          <c:idx val="2"/>
          <c:order val="5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'MFP-PDF_Avg'!$AS$23</c:f>
              <c:numCache>
                <c:formatCode>0.000000</c:formatCode>
                <c:ptCount val="1"/>
                <c:pt idx="0">
                  <c:v>0.55623382223307438</c:v>
                </c:pt>
              </c:numCache>
            </c:numRef>
          </c:xVal>
          <c:yVal>
            <c:numRef>
              <c:f>'MFP-PDF_Avg'!$AK$23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551-4C43-ADCA-DE7A4FFB20FF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C-0551-4C43-ADCA-DE7A4FFB20FF}"/>
            </c:ext>
          </c:extLst>
        </c:ser>
        <c:ser>
          <c:idx val="0"/>
          <c:order val="7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1.9494405304600084E-2"/>
                  <c:y val="1.644794400699912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'MFP-PDF_Avg'!$AX$5:$AX$23</c:f>
              <c:numCache>
                <c:formatCode>0.000000</c:formatCode>
                <c:ptCount val="19"/>
                <c:pt idx="0">
                  <c:v>0.9600657071035601</c:v>
                </c:pt>
                <c:pt idx="1">
                  <c:v>0.67461004817437287</c:v>
                </c:pt>
                <c:pt idx="2">
                  <c:v>0.54303895518987422</c:v>
                </c:pt>
                <c:pt idx="3">
                  <c:v>1.4856184292268921</c:v>
                </c:pt>
                <c:pt idx="4">
                  <c:v>0.96200609071691934</c:v>
                </c:pt>
                <c:pt idx="5">
                  <c:v>0.65888202284085728</c:v>
                </c:pt>
                <c:pt idx="8">
                  <c:v>0.66585773871002829</c:v>
                </c:pt>
                <c:pt idx="9">
                  <c:v>0.5104361936451256</c:v>
                </c:pt>
                <c:pt idx="13">
                  <c:v>1.2641169574941</c:v>
                </c:pt>
                <c:pt idx="14">
                  <c:v>0.84284465559077204</c:v>
                </c:pt>
                <c:pt idx="15">
                  <c:v>0.93676902087574598</c:v>
                </c:pt>
                <c:pt idx="16">
                  <c:v>0.30884033107708703</c:v>
                </c:pt>
                <c:pt idx="17">
                  <c:v>0.32145693534244602</c:v>
                </c:pt>
                <c:pt idx="18">
                  <c:v>0.55623382223307438</c:v>
                </c:pt>
              </c:numCache>
            </c:numRef>
          </c:xVal>
          <c:yVal>
            <c:numRef>
              <c:f>'MFP-PDF_Avg'!$AK$5:$AK$23</c:f>
              <c:numCache>
                <c:formatCode>General</c:formatCode>
                <c:ptCount val="19"/>
                <c:pt idx="0">
                  <c:v>0.62171538406412596</c:v>
                </c:pt>
                <c:pt idx="1">
                  <c:v>0.47705461868503202</c:v>
                </c:pt>
                <c:pt idx="2">
                  <c:v>0.36559719352224501</c:v>
                </c:pt>
                <c:pt idx="3">
                  <c:v>1.2682350574951</c:v>
                </c:pt>
                <c:pt idx="4">
                  <c:v>0.90547800000000001</c:v>
                </c:pt>
                <c:pt idx="5">
                  <c:v>0.56768789999999902</c:v>
                </c:pt>
                <c:pt idx="8">
                  <c:v>0.46200000000000002</c:v>
                </c:pt>
                <c:pt idx="9">
                  <c:v>0.44782499999999897</c:v>
                </c:pt>
                <c:pt idx="10">
                  <c:v>0.380772</c:v>
                </c:pt>
                <c:pt idx="11">
                  <c:v>0.59593560000000001</c:v>
                </c:pt>
                <c:pt idx="12">
                  <c:v>0.14599400000000001</c:v>
                </c:pt>
                <c:pt idx="13">
                  <c:v>1.18</c:v>
                </c:pt>
                <c:pt idx="14">
                  <c:v>0.78633287605038305</c:v>
                </c:pt>
                <c:pt idx="15">
                  <c:v>0.86544945017474995</c:v>
                </c:pt>
                <c:pt idx="16">
                  <c:v>0.239262577144952</c:v>
                </c:pt>
                <c:pt idx="17">
                  <c:v>0.27567442291687039</c:v>
                </c:pt>
                <c:pt idx="18" formatCode="0.0000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0551-4C43-ADCA-DE7A4FFB2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.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_predicted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  <c:majorUnit val="0.2"/>
      </c:valAx>
      <c:valAx>
        <c:axId val="689706896"/>
        <c:scaling>
          <c:orientation val="minMax"/>
          <c:max val="1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  <c:minorUnit val="4.0000000000000008E-2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0.67247133581986451"/>
          <c:y val="0.32258347914843982"/>
          <c:w val="0.30383133029423953"/>
          <c:h val="0.677416520851560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00991542723829"/>
          <c:y val="4.3650793650793648E-2"/>
          <c:w val="0.51074058688893342"/>
          <c:h val="0.80527777777777776"/>
        </c:manualLayout>
      </c:layout>
      <c:scatterChart>
        <c:scatterStyle val="lineMarker"/>
        <c:varyColors val="0"/>
        <c:ser>
          <c:idx val="4"/>
          <c:order val="0"/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'MFP-PDF_Avg'!$BO$5:$BO$7</c:f>
              <c:numCache>
                <c:formatCode>0.00E+00</c:formatCode>
                <c:ptCount val="3"/>
                <c:pt idx="0">
                  <c:v>2315.7128787236516</c:v>
                </c:pt>
                <c:pt idx="1">
                  <c:v>1956.4949401532424</c:v>
                </c:pt>
                <c:pt idx="2">
                  <c:v>1623.6959849275681</c:v>
                </c:pt>
              </c:numCache>
            </c:numRef>
          </c:xVal>
          <c:yVal>
            <c:numRef>
              <c:f>'MFP-PDF_Avg'!$BL$5:$BL$7</c:f>
              <c:numCache>
                <c:formatCode>0.000E+00</c:formatCode>
                <c:ptCount val="3"/>
                <c:pt idx="0">
                  <c:v>3500</c:v>
                </c:pt>
                <c:pt idx="1">
                  <c:v>2720</c:v>
                </c:pt>
                <c:pt idx="2">
                  <c:v>2360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A2-4D20-8C44-E7C6A836DF1D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'MFP-PDF_Avg'!$BO$8:$BO$10</c:f>
              <c:numCache>
                <c:formatCode>0.00E+00</c:formatCode>
                <c:ptCount val="3"/>
                <c:pt idx="0">
                  <c:v>3016.3419621048133</c:v>
                </c:pt>
                <c:pt idx="1">
                  <c:v>2554.0281298443947</c:v>
                </c:pt>
                <c:pt idx="2">
                  <c:v>2052.1409413110459</c:v>
                </c:pt>
              </c:numCache>
            </c:numRef>
          </c:xVal>
          <c:yVal>
            <c:numRef>
              <c:f>'MFP-PDF_Avg'!$BL$8:$BL$10</c:f>
              <c:numCache>
                <c:formatCode>0.000E+00</c:formatCode>
                <c:ptCount val="3"/>
                <c:pt idx="0">
                  <c:v>3500</c:v>
                </c:pt>
                <c:pt idx="1">
                  <c:v>2720</c:v>
                </c:pt>
                <c:pt idx="2">
                  <c:v>2360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A2-4D20-8C44-E7C6A836DF1D}"/>
            </c:ext>
          </c:extLst>
        </c:ser>
        <c:ser>
          <c:idx val="1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'MFP-PDF_Avg'!$BO$13:$BO$15</c:f>
              <c:numCache>
                <c:formatCode>0.00E+00</c:formatCode>
                <c:ptCount val="3"/>
                <c:pt idx="0">
                  <c:v>2359.0624673719785</c:v>
                </c:pt>
                <c:pt idx="1">
                  <c:v>1930.1433014857096</c:v>
                </c:pt>
                <c:pt idx="2">
                  <c:v>1284.5980029294915</c:v>
                </c:pt>
              </c:numCache>
            </c:numRef>
          </c:xVal>
          <c:yVal>
            <c:numRef>
              <c:f>'MFP-PDF_Avg'!$BL$13:$BL$15</c:f>
              <c:numCache>
                <c:formatCode>0.000E+00</c:formatCode>
                <c:ptCount val="3"/>
                <c:pt idx="0">
                  <c:v>3400</c:v>
                </c:pt>
                <c:pt idx="1">
                  <c:v>2200</c:v>
                </c:pt>
                <c:pt idx="2" formatCode="0.00E+00">
                  <c:v>1873.13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4A2-4D20-8C44-E7C6A836DF1D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'MFP-PDF_Avg'!$BN$18:$BN$20</c:f>
              <c:numCache>
                <c:formatCode>0.00E+00</c:formatCode>
                <c:ptCount val="3"/>
                <c:pt idx="0">
                  <c:v>3234.0537196156542</c:v>
                </c:pt>
                <c:pt idx="1">
                  <c:v>2200.9716645044032</c:v>
                </c:pt>
                <c:pt idx="2">
                  <c:v>2561.8335184383373</c:v>
                </c:pt>
              </c:numCache>
            </c:numRef>
          </c:xVal>
          <c:yVal>
            <c:numRef>
              <c:f>'MFP-PDF_Avg'!$BJ$18:$BJ$20</c:f>
              <c:numCache>
                <c:formatCode>0.00E+00</c:formatCode>
                <c:ptCount val="3"/>
                <c:pt idx="0">
                  <c:v>2547.6863757231322</c:v>
                </c:pt>
                <c:pt idx="1">
                  <c:v>2012.468707779205</c:v>
                </c:pt>
                <c:pt idx="2">
                  <c:v>2298.228366828082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4A2-4D20-8C44-E7C6A836DF1D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'MFP-PDF_Avg'!$BN$21:$BN$22</c:f>
              <c:numCache>
                <c:formatCode>0.00E+00</c:formatCode>
                <c:ptCount val="2"/>
                <c:pt idx="0">
                  <c:v>1127.8431507727448</c:v>
                </c:pt>
                <c:pt idx="1">
                  <c:v>1264.7830699883316</c:v>
                </c:pt>
              </c:numCache>
            </c:numRef>
          </c:xVal>
          <c:yVal>
            <c:numRef>
              <c:f>'MFP-PDF_Avg'!$BJ$21:$BJ$22</c:f>
              <c:numCache>
                <c:formatCode>0.00E+00</c:formatCode>
                <c:ptCount val="2"/>
                <c:pt idx="0">
                  <c:v>1451.7494609289899</c:v>
                </c:pt>
                <c:pt idx="1">
                  <c:v>1470.4555590061771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4A2-4D20-8C44-E7C6A836DF1D}"/>
            </c:ext>
          </c:extLst>
        </c:ser>
        <c:ser>
          <c:idx val="2"/>
          <c:order val="5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'MFP-PDF_Avg'!$BN$23</c:f>
              <c:numCache>
                <c:formatCode>0.00E+00</c:formatCode>
                <c:ptCount val="1"/>
                <c:pt idx="0">
                  <c:v>1415.0218281228406</c:v>
                </c:pt>
              </c:numCache>
            </c:numRef>
          </c:xVal>
          <c:yVal>
            <c:numRef>
              <c:f>'MFP-PDF_Avg'!$BJ$23</c:f>
              <c:numCache>
                <c:formatCode>0.00E+00</c:formatCode>
                <c:ptCount val="1"/>
                <c:pt idx="0">
                  <c:v>1403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4A2-4D20-8C44-E7C6A836DF1D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6000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6000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34A2-4D20-8C44-E7C6A836D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vs_calc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v_sound_metal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95460239568026"/>
          <c:y val="2.9761956838728492E-2"/>
          <c:w val="0.48245913339779894"/>
          <c:h val="0.82313502478856815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'MFP-PDF_Avg'!$BF$5:$BF$7</c:f>
              <c:numCache>
                <c:formatCode>0.00E+00</c:formatCode>
                <c:ptCount val="3"/>
                <c:pt idx="0">
                  <c:v>2.2719895813975902E-10</c:v>
                </c:pt>
                <c:pt idx="1">
                  <c:v>3.6362421180691646E-10</c:v>
                </c:pt>
                <c:pt idx="2">
                  <c:v>5.1255707886820646E-10</c:v>
                </c:pt>
              </c:numCache>
            </c:numRef>
          </c:xVal>
          <c:yVal>
            <c:numRef>
              <c:f>'MFP-PDF_Avg'!$BB$5:$BB$7</c:f>
              <c:numCache>
                <c:formatCode>0.00E+00</c:formatCode>
                <c:ptCount val="3"/>
                <c:pt idx="0">
                  <c:v>3.0056447474785299E-10</c:v>
                </c:pt>
                <c:pt idx="1">
                  <c:v>3.3400223720324102E-10</c:v>
                </c:pt>
                <c:pt idx="2">
                  <c:v>3.6182029353950698E-10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A8-49E8-B8D5-26250447B2B6}"/>
            </c:ext>
          </c:extLst>
        </c:ser>
        <c:ser>
          <c:idx val="0"/>
          <c:order val="1"/>
          <c:tx>
            <c:v>Pure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'MFP-PDF_Avg'!$BF$8:$BF$10</c:f>
              <c:numCache>
                <c:formatCode>0.00E+00</c:formatCode>
                <c:ptCount val="3"/>
                <c:pt idx="0">
                  <c:v>1.1794800204151748E-10</c:v>
                </c:pt>
                <c:pt idx="1">
                  <c:v>2.1086339169094671E-10</c:v>
                </c:pt>
                <c:pt idx="2">
                  <c:v>3.5614401312163482E-10</c:v>
                </c:pt>
              </c:numCache>
            </c:numRef>
          </c:xVal>
          <c:yVal>
            <c:numRef>
              <c:f>'MFP-PDF_Avg'!$BB$8:$BB$10</c:f>
              <c:numCache>
                <c:formatCode>0.00E+00</c:formatCode>
                <c:ptCount val="3"/>
                <c:pt idx="0">
                  <c:v>2.3591537099888599E-10</c:v>
                </c:pt>
                <c:pt idx="1">
                  <c:v>2.7110331264484899E-10</c:v>
                </c:pt>
                <c:pt idx="2">
                  <c:v>3.1522574455637898E-10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A8-49E8-B8D5-26250447B2B6}"/>
            </c:ext>
          </c:extLst>
        </c:ser>
        <c:ser>
          <c:idx val="1"/>
          <c:order val="2"/>
          <c:tx>
            <c:v>Alkaline Earth Chlorides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'MFP-PDF_Avg'!$BF$13:$BF$15</c:f>
              <c:numCache>
                <c:formatCode>0.00E+00</c:formatCode>
                <c:ptCount val="3"/>
                <c:pt idx="0">
                  <c:v>3.3678056858410461E-10</c:v>
                </c:pt>
                <c:pt idx="1">
                  <c:v>4.395048603134841E-10</c:v>
                </c:pt>
              </c:numCache>
            </c:numRef>
          </c:xVal>
          <c:yVal>
            <c:numRef>
              <c:f>'MFP-PDF_Avg'!$BB$13:$BB$15</c:f>
              <c:numCache>
                <c:formatCode>0.00E+00</c:formatCode>
                <c:ptCount val="3"/>
                <c:pt idx="0">
                  <c:v>3.08759615447175E-10</c:v>
                </c:pt>
                <c:pt idx="1">
                  <c:v>3.3211022612034601E-10</c:v>
                </c:pt>
                <c:pt idx="2">
                  <c:v>4.2994626258483001E-10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FA8-49E8-B8D5-26250447B2B6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'MFP-PDF_Avg'!$BE$18:$BE$20</c:f>
              <c:numCache>
                <c:formatCode>General</c:formatCode>
                <c:ptCount val="3"/>
                <c:pt idx="0" formatCode="0.00E+00">
                  <c:v>1.9229592297768383E-10</c:v>
                </c:pt>
                <c:pt idx="1">
                  <c:v>2.4214980323905345E-10</c:v>
                </c:pt>
                <c:pt idx="2">
                  <c:v>2.3780583138410686E-10</c:v>
                </c:pt>
              </c:numCache>
            </c:numRef>
          </c:xVal>
          <c:yVal>
            <c:numRef>
              <c:f>'MFP-PDF_Avg'!$BB$18:$BB$20</c:f>
              <c:numCache>
                <c:formatCode>0.00E+00</c:formatCode>
                <c:ptCount val="3"/>
                <c:pt idx="0">
                  <c:v>2.06003844994128E-10</c:v>
                </c:pt>
                <c:pt idx="1">
                  <c:v>2.5955250470707202E-10</c:v>
                </c:pt>
                <c:pt idx="2">
                  <c:v>2.4173581555363199E-10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FA8-49E8-B8D5-26250447B2B6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'MFP-PDF_Avg'!$BE$21:$BE$22</c:f>
              <c:numCache>
                <c:formatCode>General</c:formatCode>
                <c:ptCount val="2"/>
                <c:pt idx="0">
                  <c:v>2.4552541454050528E-10</c:v>
                </c:pt>
                <c:pt idx="1">
                  <c:v>2.7178742571129298E-10</c:v>
                </c:pt>
              </c:numCache>
            </c:numRef>
          </c:xVal>
          <c:yVal>
            <c:numRef>
              <c:f>'MFP-PDF_Avg'!$BB$21:$BB$22</c:f>
              <c:numCache>
                <c:formatCode>0.00E+00</c:formatCode>
                <c:ptCount val="2"/>
                <c:pt idx="0">
                  <c:v>3.1692440673072701E-10</c:v>
                </c:pt>
                <c:pt idx="1">
                  <c:v>3.1692440673072701E-10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FA8-49E8-B8D5-26250447B2B6}"/>
            </c:ext>
          </c:extLst>
        </c:ser>
        <c:ser>
          <c:idx val="2"/>
          <c:order val="5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'MFP-PDF_Avg'!$BE$23</c:f>
              <c:numCache>
                <c:formatCode>0.00E+00</c:formatCode>
                <c:ptCount val="1"/>
                <c:pt idx="0">
                  <c:v>2.8676430958411341E-10</c:v>
                </c:pt>
              </c:numCache>
            </c:numRef>
          </c:xVal>
          <c:yVal>
            <c:numRef>
              <c:f>'MFP-PDF_Avg'!$BB$23</c:f>
              <c:numCache>
                <c:formatCode>0.00E+00</c:formatCode>
                <c:ptCount val="1"/>
                <c:pt idx="0">
                  <c:v>2.8432800000000002E-10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FA8-49E8-B8D5-26250447B2B6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9.9999999999999994E-12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9.9999999999999994E-12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EFA8-49E8-B8D5-26250447B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6.0000000000000031E-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MFP_calc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6.0000000000000031E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PDF-MFP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95460239568026"/>
          <c:y val="2.9761956838728492E-2"/>
          <c:w val="0.48245913339779894"/>
          <c:h val="0.82313502478856815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'MFP-PDF_Avg'!$BE$5:$BE$7</c:f>
              <c:numCache>
                <c:formatCode>General</c:formatCode>
                <c:ptCount val="3"/>
                <c:pt idx="0" formatCode="0.00E+00">
                  <c:v>3.8934456831071569E-10</c:v>
                </c:pt>
                <c:pt idx="1">
                  <c:v>4.3524260570898789E-10</c:v>
                </c:pt>
                <c:pt idx="2">
                  <c:v>4.4535930159210294E-10</c:v>
                </c:pt>
              </c:numCache>
            </c:numRef>
          </c:xVal>
          <c:yVal>
            <c:numRef>
              <c:f>'MFP-PDF_Avg'!$BC$5:$BC$7</c:f>
              <c:numCache>
                <c:formatCode>0.00E+00</c:formatCode>
                <c:ptCount val="3"/>
                <c:pt idx="0">
                  <c:v>3.4962685503166299E-10</c:v>
                </c:pt>
                <c:pt idx="1">
                  <c:v>3.94560844611702E-10</c:v>
                </c:pt>
                <c:pt idx="2">
                  <c:v>4.4781785313967899E-10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9A-4E1C-B585-63D6D098A482}"/>
            </c:ext>
          </c:extLst>
        </c:ser>
        <c:ser>
          <c:idx val="0"/>
          <c:order val="1"/>
          <c:tx>
            <c:v>Pure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'MFP-PDF_Avg'!$BE$8:$BE$10</c:f>
              <c:numCache>
                <c:formatCode>0.00E+00</c:formatCode>
                <c:ptCount val="3"/>
                <c:pt idx="0">
                  <c:v>3.3052281270883056E-10</c:v>
                </c:pt>
                <c:pt idx="1">
                  <c:v>4.005402703507692E-10</c:v>
                </c:pt>
                <c:pt idx="2">
                  <c:v>4.2251699415347138E-10</c:v>
                </c:pt>
              </c:numCache>
            </c:numRef>
          </c:xVal>
          <c:yVal>
            <c:numRef>
              <c:f>'MFP-PDF_Avg'!$BC$8:$BC$10</c:f>
              <c:numCache>
                <c:formatCode>0.00E+00</c:formatCode>
                <c:ptCount val="3"/>
                <c:pt idx="0">
                  <c:v>2.8180134413727398E-10</c:v>
                </c:pt>
                <c:pt idx="1">
                  <c:v>3.2627770249126501E-10</c:v>
                </c:pt>
                <c:pt idx="2">
                  <c:v>3.77434584703857E-10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9A-4E1C-B585-63D6D098A482}"/>
            </c:ext>
          </c:extLst>
        </c:ser>
        <c:ser>
          <c:idx val="1"/>
          <c:order val="2"/>
          <c:tx>
            <c:v>Alkaline Earth Chlorides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'MFP-PDF_Avg'!$BE$13:$BE$15</c:f>
              <c:numCache>
                <c:formatCode>0.00E+00</c:formatCode>
                <c:ptCount val="3"/>
                <c:pt idx="0">
                  <c:v>4.0499555072860697E-10</c:v>
                </c:pt>
                <c:pt idx="1">
                  <c:v>3.3726922781027543E-10</c:v>
                </c:pt>
                <c:pt idx="2">
                  <c:v>3.3884771765935365E-10</c:v>
                </c:pt>
              </c:numCache>
            </c:numRef>
          </c:xVal>
          <c:yVal>
            <c:numRef>
              <c:f>'MFP-PDF_Avg'!$BC$13:$BC$15</c:f>
              <c:numCache>
                <c:formatCode>0.00E+00</c:formatCode>
                <c:ptCount val="3"/>
                <c:pt idx="0">
                  <c:v>3.60692293590982E-10</c:v>
                </c:pt>
                <c:pt idx="1">
                  <c:v>3.6083904908456901E-10</c:v>
                </c:pt>
                <c:pt idx="2">
                  <c:v>4.9408906438577101E-10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19A-4E1C-B585-63D6D098A482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'MFP-PDF_Avg'!$BE$18:$BE$20</c:f>
              <c:numCache>
                <c:formatCode>General</c:formatCode>
                <c:ptCount val="3"/>
                <c:pt idx="0" formatCode="0.00E+00">
                  <c:v>1.9229592297768383E-10</c:v>
                </c:pt>
                <c:pt idx="1">
                  <c:v>2.4214980323905345E-10</c:v>
                </c:pt>
                <c:pt idx="2">
                  <c:v>2.3780583138410686E-10</c:v>
                </c:pt>
              </c:numCache>
            </c:numRef>
          </c:xVal>
          <c:yVal>
            <c:numRef>
              <c:f>'MFP-PDF_Avg'!$BB$18:$BB$20</c:f>
              <c:numCache>
                <c:formatCode>0.00E+00</c:formatCode>
                <c:ptCount val="3"/>
                <c:pt idx="0">
                  <c:v>2.06003844994128E-10</c:v>
                </c:pt>
                <c:pt idx="1">
                  <c:v>2.5955250470707202E-10</c:v>
                </c:pt>
                <c:pt idx="2">
                  <c:v>2.4173581555363199E-10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19A-4E1C-B585-63D6D098A482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'MFP-PDF_Avg'!$BE$21:$BE$22</c:f>
              <c:numCache>
                <c:formatCode>General</c:formatCode>
                <c:ptCount val="2"/>
                <c:pt idx="0">
                  <c:v>2.4552541454050528E-10</c:v>
                </c:pt>
                <c:pt idx="1">
                  <c:v>2.7178742571129298E-10</c:v>
                </c:pt>
              </c:numCache>
            </c:numRef>
          </c:xVal>
          <c:yVal>
            <c:numRef>
              <c:f>'MFP-PDF_Avg'!$BB$21:$BB$22</c:f>
              <c:numCache>
                <c:formatCode>0.00E+00</c:formatCode>
                <c:ptCount val="2"/>
                <c:pt idx="0">
                  <c:v>3.1692440673072701E-10</c:v>
                </c:pt>
                <c:pt idx="1">
                  <c:v>3.1692440673072701E-10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19A-4E1C-B585-63D6D098A482}"/>
            </c:ext>
          </c:extLst>
        </c:ser>
        <c:ser>
          <c:idx val="2"/>
          <c:order val="5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'MFP-PDF_Avg'!$BE$23</c:f>
              <c:numCache>
                <c:formatCode>0.00E+00</c:formatCode>
                <c:ptCount val="1"/>
                <c:pt idx="0">
                  <c:v>2.8676430958411341E-10</c:v>
                </c:pt>
              </c:numCache>
            </c:numRef>
          </c:xVal>
          <c:yVal>
            <c:numRef>
              <c:f>'MFP-PDF_Avg'!$BB$23</c:f>
              <c:numCache>
                <c:formatCode>0.00E+00</c:formatCode>
                <c:ptCount val="1"/>
                <c:pt idx="0">
                  <c:v>2.8432800000000002E-10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19A-4E1C-B585-63D6D098A482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9.9999999999999994E-12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9.9999999999999994E-12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519A-4E1C-B585-63D6D098A4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6.0000000000000031E-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MFP_calc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6.0000000000000031E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PDF-MFP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95460239568026"/>
          <c:y val="2.9761956838728492E-2"/>
          <c:w val="0.48245913339779894"/>
          <c:h val="0.82313502478856815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'MFP-PDF_Avg'!$BF$5:$BF$7</c:f>
              <c:numCache>
                <c:formatCode>0.00E+00</c:formatCode>
                <c:ptCount val="3"/>
                <c:pt idx="0">
                  <c:v>2.2719895813975902E-10</c:v>
                </c:pt>
                <c:pt idx="1">
                  <c:v>3.6362421180691646E-10</c:v>
                </c:pt>
                <c:pt idx="2">
                  <c:v>5.1255707886820646E-10</c:v>
                </c:pt>
              </c:numCache>
            </c:numRef>
          </c:xVal>
          <c:yVal>
            <c:numRef>
              <c:f>'MFP-PDF_Avg'!$BC$5:$BC$7</c:f>
              <c:numCache>
                <c:formatCode>0.00E+00</c:formatCode>
                <c:ptCount val="3"/>
                <c:pt idx="0">
                  <c:v>3.4962685503166299E-10</c:v>
                </c:pt>
                <c:pt idx="1">
                  <c:v>3.94560844611702E-10</c:v>
                </c:pt>
                <c:pt idx="2">
                  <c:v>4.4781785313967899E-10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54-430C-B729-D8D001A6E7B9}"/>
            </c:ext>
          </c:extLst>
        </c:ser>
        <c:ser>
          <c:idx val="0"/>
          <c:order val="1"/>
          <c:tx>
            <c:v>Pure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'MFP-PDF_Avg'!$BF$8:$BF$10</c:f>
              <c:numCache>
                <c:formatCode>0.00E+00</c:formatCode>
                <c:ptCount val="3"/>
                <c:pt idx="0">
                  <c:v>1.1794800204151748E-10</c:v>
                </c:pt>
                <c:pt idx="1">
                  <c:v>2.1086339169094671E-10</c:v>
                </c:pt>
                <c:pt idx="2">
                  <c:v>3.5614401312163482E-10</c:v>
                </c:pt>
              </c:numCache>
            </c:numRef>
          </c:xVal>
          <c:yVal>
            <c:numRef>
              <c:f>'MFP-PDF_Avg'!$BC$8:$BC$10</c:f>
              <c:numCache>
                <c:formatCode>0.00E+00</c:formatCode>
                <c:ptCount val="3"/>
                <c:pt idx="0">
                  <c:v>2.8180134413727398E-10</c:v>
                </c:pt>
                <c:pt idx="1">
                  <c:v>3.2627770249126501E-10</c:v>
                </c:pt>
                <c:pt idx="2">
                  <c:v>3.77434584703857E-10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54-430C-B729-D8D001A6E7B9}"/>
            </c:ext>
          </c:extLst>
        </c:ser>
        <c:ser>
          <c:idx val="1"/>
          <c:order val="2"/>
          <c:tx>
            <c:v>Alkaline Earth Chlorides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'MFP-PDF_Avg'!$BF$13:$BF$15</c:f>
              <c:numCache>
                <c:formatCode>0.00E+00</c:formatCode>
                <c:ptCount val="3"/>
                <c:pt idx="0">
                  <c:v>3.3678056858410461E-10</c:v>
                </c:pt>
                <c:pt idx="1">
                  <c:v>4.395048603134841E-10</c:v>
                </c:pt>
              </c:numCache>
            </c:numRef>
          </c:xVal>
          <c:yVal>
            <c:numRef>
              <c:f>'MFP-PDF_Avg'!$BC$13:$BC$15</c:f>
              <c:numCache>
                <c:formatCode>0.00E+00</c:formatCode>
                <c:ptCount val="3"/>
                <c:pt idx="0">
                  <c:v>3.60692293590982E-10</c:v>
                </c:pt>
                <c:pt idx="1">
                  <c:v>3.6083904908456901E-10</c:v>
                </c:pt>
                <c:pt idx="2">
                  <c:v>4.9408906438577101E-10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C54-430C-B729-D8D001A6E7B9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'MFP-PDF_Avg'!$BE$18:$BE$20</c:f>
              <c:numCache>
                <c:formatCode>General</c:formatCode>
                <c:ptCount val="3"/>
                <c:pt idx="0" formatCode="0.00E+00">
                  <c:v>1.9229592297768383E-10</c:v>
                </c:pt>
                <c:pt idx="1">
                  <c:v>2.4214980323905345E-10</c:v>
                </c:pt>
                <c:pt idx="2">
                  <c:v>2.3780583138410686E-10</c:v>
                </c:pt>
              </c:numCache>
            </c:numRef>
          </c:xVal>
          <c:yVal>
            <c:numRef>
              <c:f>'MFP-PDF_Avg'!$BB$18:$BB$20</c:f>
              <c:numCache>
                <c:formatCode>0.00E+00</c:formatCode>
                <c:ptCount val="3"/>
                <c:pt idx="0">
                  <c:v>2.06003844994128E-10</c:v>
                </c:pt>
                <c:pt idx="1">
                  <c:v>2.5955250470707202E-10</c:v>
                </c:pt>
                <c:pt idx="2">
                  <c:v>2.4173581555363199E-10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C54-430C-B729-D8D001A6E7B9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'MFP-PDF_Avg'!$BE$21:$BE$22</c:f>
              <c:numCache>
                <c:formatCode>General</c:formatCode>
                <c:ptCount val="2"/>
                <c:pt idx="0">
                  <c:v>2.4552541454050528E-10</c:v>
                </c:pt>
                <c:pt idx="1">
                  <c:v>2.7178742571129298E-10</c:v>
                </c:pt>
              </c:numCache>
            </c:numRef>
          </c:xVal>
          <c:yVal>
            <c:numRef>
              <c:f>'MFP-PDF_Avg'!$BB$21:$BB$22</c:f>
              <c:numCache>
                <c:formatCode>0.00E+00</c:formatCode>
                <c:ptCount val="2"/>
                <c:pt idx="0">
                  <c:v>3.1692440673072701E-10</c:v>
                </c:pt>
                <c:pt idx="1">
                  <c:v>3.1692440673072701E-10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C54-430C-B729-D8D001A6E7B9}"/>
            </c:ext>
          </c:extLst>
        </c:ser>
        <c:ser>
          <c:idx val="2"/>
          <c:order val="5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'MFP-PDF_Avg'!$BE$23</c:f>
              <c:numCache>
                <c:formatCode>0.00E+00</c:formatCode>
                <c:ptCount val="1"/>
                <c:pt idx="0">
                  <c:v>2.8676430958411341E-10</c:v>
                </c:pt>
              </c:numCache>
            </c:numRef>
          </c:xVal>
          <c:yVal>
            <c:numRef>
              <c:f>'MFP-PDF_Avg'!$BB$23</c:f>
              <c:numCache>
                <c:formatCode>0.00E+00</c:formatCode>
                <c:ptCount val="1"/>
                <c:pt idx="0">
                  <c:v>2.8432800000000002E-10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C54-430C-B729-D8D001A6E7B9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9.9999999999999994E-12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9.9999999999999994E-12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8C54-430C-B729-D8D001A6E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6.0000000000000031E-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MFP_calc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6.0000000000000031E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PDF-MFP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978933554358339"/>
          <c:y val="4.3650793650793648E-2"/>
          <c:w val="0.47553368328958878"/>
          <c:h val="0.82379640044994373"/>
        </c:manualLayout>
      </c:layout>
      <c:scatterChart>
        <c:scatterStyle val="lineMarker"/>
        <c:varyColors val="0"/>
        <c:ser>
          <c:idx val="4"/>
          <c:order val="0"/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'MFP-PDF_Avg'!$CB$5:$CB$7</c:f>
              <c:numCache>
                <c:formatCode>General</c:formatCode>
                <c:ptCount val="3"/>
                <c:pt idx="0">
                  <c:v>2611967.840427544</c:v>
                </c:pt>
                <c:pt idx="1">
                  <c:v>2080216.7490409357</c:v>
                </c:pt>
                <c:pt idx="2">
                  <c:v>1533443.4098832048</c:v>
                </c:pt>
              </c:numCache>
            </c:numRef>
          </c:xVal>
          <c:yVal>
            <c:numRef>
              <c:f>'MFP-PDF_Avg'!$BQ$5:$BQ$7</c:f>
              <c:numCache>
                <c:formatCode>0.00E+00</c:formatCode>
                <c:ptCount val="3"/>
                <c:pt idx="0">
                  <c:v>2299027.692598009</c:v>
                </c:pt>
                <c:pt idx="1">
                  <c:v>1849136.7861885792</c:v>
                </c:pt>
                <c:pt idx="2">
                  <c:v>1506961.5069615068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07-4CE0-8632-6987FA7356BB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'MFP-PDF_Avg'!$CB$8:$CB$10</c:f>
              <c:numCache>
                <c:formatCode>General</c:formatCode>
                <c:ptCount val="3"/>
                <c:pt idx="0">
                  <c:v>5299228.1193043375</c:v>
                </c:pt>
                <c:pt idx="1">
                  <c:v>3992101.4369730176</c:v>
                </c:pt>
                <c:pt idx="2">
                  <c:v>2484149.3726515141</c:v>
                </c:pt>
              </c:numCache>
            </c:numRef>
          </c:xVal>
          <c:yVal>
            <c:numRef>
              <c:f>'MFP-PDF_Avg'!$BQ$8:$BQ$10</c:f>
              <c:numCache>
                <c:formatCode>0.00E+00</c:formatCode>
                <c:ptCount val="3"/>
                <c:pt idx="0">
                  <c:v>4521126.760563381</c:v>
                </c:pt>
                <c:pt idx="1">
                  <c:v>3250000</c:v>
                </c:pt>
                <c:pt idx="2">
                  <c:v>2200657.8947368423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07-4CE0-8632-6987FA7356BB}"/>
            </c:ext>
          </c:extLst>
        </c:ser>
        <c:ser>
          <c:idx val="1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'MFP-PDF_Avg'!$CB$13:$CB$15</c:f>
              <c:numCache>
                <c:formatCode>General</c:formatCode>
                <c:ptCount val="3"/>
                <c:pt idx="0" formatCode="0.00E+00">
                  <c:v>1828943.605383531</c:v>
                </c:pt>
                <c:pt idx="1">
                  <c:v>1802974.956311699</c:v>
                </c:pt>
                <c:pt idx="2">
                  <c:v>1234278.3136198027</c:v>
                </c:pt>
              </c:numCache>
            </c:numRef>
          </c:xVal>
          <c:yVal>
            <c:numRef>
              <c:f>'MFP-PDF_Avg'!$BQ$13:$BQ$15</c:f>
              <c:numCache>
                <c:formatCode>0.00E+00</c:formatCode>
                <c:ptCount val="3"/>
                <c:pt idx="0">
                  <c:v>1628871.8794256966</c:v>
                </c:pt>
                <c:pt idx="1">
                  <c:v>1928974.5850302745</c:v>
                </c:pt>
                <c:pt idx="2">
                  <c:v>1799756.6027023955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907-4CE0-8632-6987FA7356BB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'MFP-PDF_Avg'!$BX$18:$BX$20</c:f>
              <c:numCache>
                <c:formatCode>General</c:formatCode>
                <c:ptCount val="3"/>
                <c:pt idx="0">
                  <c:v>4450276.1321810596</c:v>
                </c:pt>
                <c:pt idx="1">
                  <c:v>3738404.7815810372</c:v>
                </c:pt>
                <c:pt idx="2">
                  <c:v>4124321.9271379304</c:v>
                </c:pt>
              </c:numCache>
            </c:numRef>
          </c:xVal>
          <c:yVal>
            <c:numRef>
              <c:f>'MFP-PDF_Avg'!$BQ$18:$BQ$20</c:f>
              <c:numCache>
                <c:formatCode>0.00E+00</c:formatCode>
                <c:ptCount val="3"/>
                <c:pt idx="0">
                  <c:v>4323157.1595853949</c:v>
                </c:pt>
                <c:pt idx="1">
                  <c:v>3402318.9027080508</c:v>
                </c:pt>
                <c:pt idx="2">
                  <c:v>4192480.558023226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907-4CE0-8632-6987FA7356BB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'MFP-PDF_Avg'!$BX$21:$BX$22</c:f>
              <c:numCache>
                <c:formatCode>General</c:formatCode>
                <c:ptCount val="2"/>
                <c:pt idx="0">
                  <c:v>1670541.5762349977</c:v>
                </c:pt>
                <c:pt idx="1">
                  <c:v>1843595.9152489989</c:v>
                </c:pt>
              </c:numCache>
            </c:numRef>
          </c:xVal>
          <c:yVal>
            <c:numRef>
              <c:f>'MFP-PDF_Avg'!$BQ$21:$BQ$22</c:f>
              <c:numCache>
                <c:formatCode>0.00E+00</c:formatCode>
                <c:ptCount val="2"/>
                <c:pt idx="0">
                  <c:v>2156336.4385642763</c:v>
                </c:pt>
                <c:pt idx="1">
                  <c:v>2149770.3220167966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907-4CE0-8632-6987FA7356BB}"/>
            </c:ext>
          </c:extLst>
        </c:ser>
        <c:ser>
          <c:idx val="2"/>
          <c:order val="5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'MFP-PDF_Avg'!$BX$23</c:f>
              <c:numCache>
                <c:formatCode>General</c:formatCode>
                <c:ptCount val="1"/>
                <c:pt idx="0">
                  <c:v>4218973.6676481161</c:v>
                </c:pt>
              </c:numCache>
            </c:numRef>
          </c:xVal>
          <c:yVal>
            <c:numRef>
              <c:f>'MFP-PDF_Avg'!$BQ$23</c:f>
              <c:numCache>
                <c:formatCode>0.00E+00</c:formatCode>
                <c:ptCount val="1"/>
                <c:pt idx="0">
                  <c:v>4183129.8557158709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907-4CE0-8632-6987FA7356BB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.000000000000001E-2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7000000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7000000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A907-4CE0-8632-6987FA735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70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C_p,calc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E+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  <c:majorUnit val="1000000"/>
      </c:valAx>
      <c:valAx>
        <c:axId val="689706896"/>
        <c:scaling>
          <c:orientation val="minMax"/>
          <c:max val="7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C_p,measured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635608048993876E-2"/>
              <c:y val="0.305791776027996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67928926647326981"/>
          <c:y val="0.28199183435403907"/>
          <c:w val="0.30383133029423953"/>
          <c:h val="0.575234762321376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978933554358339"/>
          <c:y val="4.3650793650793648E-2"/>
          <c:w val="0.47553368328958878"/>
          <c:h val="0.82379640044994373"/>
        </c:manualLayout>
      </c:layout>
      <c:scatterChart>
        <c:scatterStyle val="lineMarker"/>
        <c:varyColors val="0"/>
        <c:ser>
          <c:idx val="4"/>
          <c:order val="0"/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'MFP-PDF_Avg'!$CC$5:$CC$7</c:f>
              <c:numCache>
                <c:formatCode>General</c:formatCode>
                <c:ptCount val="3"/>
                <c:pt idx="0">
                  <c:v>1524193.2733632068</c:v>
                </c:pt>
                <c:pt idx="1">
                  <c:v>1333541.3018263597</c:v>
                </c:pt>
                <c:pt idx="2">
                  <c:v>1037792.9149029222</c:v>
                </c:pt>
              </c:numCache>
            </c:numRef>
          </c:xVal>
          <c:yVal>
            <c:numRef>
              <c:f>'MFP-PDF_Avg'!$BQ$5:$BQ$7</c:f>
              <c:numCache>
                <c:formatCode>0.00E+00</c:formatCode>
                <c:ptCount val="3"/>
                <c:pt idx="0">
                  <c:v>2299027.692598009</c:v>
                </c:pt>
                <c:pt idx="1">
                  <c:v>1849136.7861885792</c:v>
                </c:pt>
                <c:pt idx="2">
                  <c:v>1506961.5069615068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A9-45BD-BF0A-61F5AE144D9E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'MFP-PDF_Avg'!$CC$8:$CC$10</c:f>
              <c:numCache>
                <c:formatCode>General</c:formatCode>
                <c:ptCount val="3"/>
                <c:pt idx="0">
                  <c:v>3857535.2578181694</c:v>
                </c:pt>
                <c:pt idx="1">
                  <c:v>3060855.7157379515</c:v>
                </c:pt>
                <c:pt idx="2">
                  <c:v>1911952.932408564</c:v>
                </c:pt>
              </c:numCache>
            </c:numRef>
          </c:xVal>
          <c:yVal>
            <c:numRef>
              <c:f>'MFP-PDF_Avg'!$BQ$8:$BQ$10</c:f>
              <c:numCache>
                <c:formatCode>0.00E+00</c:formatCode>
                <c:ptCount val="3"/>
                <c:pt idx="0">
                  <c:v>4521126.760563381</c:v>
                </c:pt>
                <c:pt idx="1">
                  <c:v>3250000</c:v>
                </c:pt>
                <c:pt idx="2">
                  <c:v>2200657.8947368423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A9-45BD-BF0A-61F5AE144D9E}"/>
            </c:ext>
          </c:extLst>
        </c:ser>
        <c:ser>
          <c:idx val="1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'MFP-PDF_Avg'!$CC$13:$CC$15</c:f>
              <c:numCache>
                <c:formatCode>General</c:formatCode>
                <c:ptCount val="3"/>
                <c:pt idx="0">
                  <c:v>1130179.5632090583</c:v>
                </c:pt>
                <c:pt idx="1">
                  <c:v>1692362.4427419766</c:v>
                </c:pt>
              </c:numCache>
            </c:numRef>
          </c:xVal>
          <c:yVal>
            <c:numRef>
              <c:f>'MFP-PDF_Avg'!$BQ$13:$BQ$15</c:f>
              <c:numCache>
                <c:formatCode>0.00E+00</c:formatCode>
                <c:ptCount val="3"/>
                <c:pt idx="0">
                  <c:v>1628871.8794256966</c:v>
                </c:pt>
                <c:pt idx="1">
                  <c:v>1928974.5850302745</c:v>
                </c:pt>
                <c:pt idx="2">
                  <c:v>1799756.6027023955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DA9-45BD-BF0A-61F5AE144D9E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'MFP-PDF_Avg'!$BX$18:$BX$20</c:f>
              <c:numCache>
                <c:formatCode>General</c:formatCode>
                <c:ptCount val="3"/>
                <c:pt idx="0">
                  <c:v>4450276.1321810596</c:v>
                </c:pt>
                <c:pt idx="1">
                  <c:v>3738404.7815810372</c:v>
                </c:pt>
                <c:pt idx="2">
                  <c:v>4124321.9271379304</c:v>
                </c:pt>
              </c:numCache>
            </c:numRef>
          </c:xVal>
          <c:yVal>
            <c:numRef>
              <c:f>'MFP-PDF_Avg'!$BQ$18:$BQ$20</c:f>
              <c:numCache>
                <c:formatCode>0.00E+00</c:formatCode>
                <c:ptCount val="3"/>
                <c:pt idx="0">
                  <c:v>4323157.1595853949</c:v>
                </c:pt>
                <c:pt idx="1">
                  <c:v>3402318.9027080508</c:v>
                </c:pt>
                <c:pt idx="2">
                  <c:v>4192480.558023226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DA9-45BD-BF0A-61F5AE144D9E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'MFP-PDF_Avg'!$BX$21:$BX$22</c:f>
              <c:numCache>
                <c:formatCode>General</c:formatCode>
                <c:ptCount val="2"/>
                <c:pt idx="0">
                  <c:v>1670541.5762349977</c:v>
                </c:pt>
                <c:pt idx="1">
                  <c:v>1843595.9152489989</c:v>
                </c:pt>
              </c:numCache>
            </c:numRef>
          </c:xVal>
          <c:yVal>
            <c:numRef>
              <c:f>'MFP-PDF_Avg'!$BQ$21:$BQ$22</c:f>
              <c:numCache>
                <c:formatCode>0.00E+00</c:formatCode>
                <c:ptCount val="2"/>
                <c:pt idx="0">
                  <c:v>2156336.4385642763</c:v>
                </c:pt>
                <c:pt idx="1">
                  <c:v>2149770.3220167966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DA9-45BD-BF0A-61F5AE144D9E}"/>
            </c:ext>
          </c:extLst>
        </c:ser>
        <c:ser>
          <c:idx val="2"/>
          <c:order val="5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'MFP-PDF_Avg'!$BX$23</c:f>
              <c:numCache>
                <c:formatCode>General</c:formatCode>
                <c:ptCount val="1"/>
                <c:pt idx="0">
                  <c:v>4218973.6676481161</c:v>
                </c:pt>
              </c:numCache>
            </c:numRef>
          </c:xVal>
          <c:yVal>
            <c:numRef>
              <c:f>'MFP-PDF_Avg'!$BQ$23</c:f>
              <c:numCache>
                <c:formatCode>0.00E+00</c:formatCode>
                <c:ptCount val="1"/>
                <c:pt idx="0">
                  <c:v>4183129.8557158709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DA9-45BD-BF0A-61F5AE144D9E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.000000000000001E-2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7000000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7000000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6DA9-45BD-BF0A-61F5AE144D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70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C_p,calc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E+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  <c:majorUnit val="1000000"/>
      </c:valAx>
      <c:valAx>
        <c:axId val="689706896"/>
        <c:scaling>
          <c:orientation val="minMax"/>
          <c:max val="7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C_p,measured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635608048993876E-2"/>
              <c:y val="0.305791776027996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67928926647326981"/>
          <c:y val="0.28199183435403907"/>
          <c:w val="0.30383133029423953"/>
          <c:h val="0.575234762321376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00991542723829"/>
          <c:y val="4.3650793650793648E-2"/>
          <c:w val="0.51074058688893342"/>
          <c:h val="0.80527777777777776"/>
        </c:manualLayout>
      </c:layout>
      <c:scatterChart>
        <c:scatterStyle val="lineMarker"/>
        <c:varyColors val="0"/>
        <c:ser>
          <c:idx val="4"/>
          <c:order val="0"/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'MFP-PDF_Avg'!$BN$5:$BN$7</c:f>
              <c:numCache>
                <c:formatCode>0.00E+00</c:formatCode>
                <c:ptCount val="3"/>
                <c:pt idx="0">
                  <c:v>2693.7162538043849</c:v>
                </c:pt>
                <c:pt idx="1">
                  <c:v>2311.230914287702</c:v>
                </c:pt>
                <c:pt idx="2">
                  <c:v>2009.61655027342</c:v>
                </c:pt>
              </c:numCache>
            </c:numRef>
          </c:xVal>
          <c:yVal>
            <c:numRef>
              <c:f>'MFP-PDF_Avg'!$BK$5:$BK$7</c:f>
              <c:numCache>
                <c:formatCode>0.00E+00</c:formatCode>
                <c:ptCount val="3"/>
                <c:pt idx="0">
                  <c:v>2771.1987250000002</c:v>
                </c:pt>
                <c:pt idx="1">
                  <c:v>2231.84</c:v>
                </c:pt>
                <c:pt idx="2">
                  <c:v>1978.5919999999999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C7-4350-91AA-EEBBD8A092CD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'MFP-PDF_Avg'!$BN$8:$BN$10</c:f>
              <c:numCache>
                <c:formatCode>0.00E+00</c:formatCode>
                <c:ptCount val="3"/>
                <c:pt idx="0">
                  <c:v>3603.0260160657886</c:v>
                </c:pt>
                <c:pt idx="1">
                  <c:v>3073.8186935965673</c:v>
                </c:pt>
                <c:pt idx="2">
                  <c:v>2457.1247028936327</c:v>
                </c:pt>
              </c:numCache>
            </c:numRef>
          </c:xVal>
          <c:yVal>
            <c:numRef>
              <c:f>'MFP-PDF_Avg'!$BK$8:$BK$10</c:f>
              <c:numCache>
                <c:formatCode>0.00E+00</c:formatCode>
                <c:ptCount val="3"/>
                <c:pt idx="0">
                  <c:v>3023.9</c:v>
                </c:pt>
                <c:pt idx="1">
                  <c:v>2402.75</c:v>
                </c:pt>
                <c:pt idx="2">
                  <c:v>2088.1999999999998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C7-4350-91AA-EEBBD8A092CD}"/>
            </c:ext>
          </c:extLst>
        </c:ser>
        <c:ser>
          <c:idx val="1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'MFP-PDF_Avg'!$BN$13:$BN$15</c:f>
              <c:numCache>
                <c:formatCode>0.00E+00</c:formatCode>
                <c:ptCount val="3"/>
                <c:pt idx="0">
                  <c:v>2755.8515087811993</c:v>
                </c:pt>
                <c:pt idx="1">
                  <c:v>2097.1081849574707</c:v>
                </c:pt>
                <c:pt idx="2">
                  <c:v>1476.2445463845206</c:v>
                </c:pt>
              </c:numCache>
            </c:numRef>
          </c:xVal>
          <c:yVal>
            <c:numRef>
              <c:f>'MFP-PDF_Avg'!$BK$13:$BK$15</c:f>
              <c:numCache>
                <c:formatCode>0.00E+00</c:formatCode>
                <c:ptCount val="3"/>
                <c:pt idx="0">
                  <c:v>2750.5</c:v>
                </c:pt>
                <c:pt idx="1">
                  <c:v>2132.5150000000003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4C7-4350-91AA-EEBBD8A092CD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'MFP-PDF_Avg'!$BN$18:$BN$20</c:f>
              <c:numCache>
                <c:formatCode>0.00E+00</c:formatCode>
                <c:ptCount val="3"/>
                <c:pt idx="0">
                  <c:v>3234.0537196156542</c:v>
                </c:pt>
                <c:pt idx="1">
                  <c:v>2200.9716645044032</c:v>
                </c:pt>
                <c:pt idx="2">
                  <c:v>2561.8335184383373</c:v>
                </c:pt>
              </c:numCache>
            </c:numRef>
          </c:xVal>
          <c:yVal>
            <c:numRef>
              <c:f>'MFP-PDF_Avg'!$BJ$18:$BJ$20</c:f>
              <c:numCache>
                <c:formatCode>0.00E+00</c:formatCode>
                <c:ptCount val="3"/>
                <c:pt idx="0">
                  <c:v>2547.6863757231322</c:v>
                </c:pt>
                <c:pt idx="1">
                  <c:v>2012.468707779205</c:v>
                </c:pt>
                <c:pt idx="2">
                  <c:v>2298.228366828082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4C7-4350-91AA-EEBBD8A092CD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'MFP-PDF_Avg'!$BN$21:$BN$22</c:f>
              <c:numCache>
                <c:formatCode>0.00E+00</c:formatCode>
                <c:ptCount val="2"/>
                <c:pt idx="0">
                  <c:v>1127.8431507727448</c:v>
                </c:pt>
                <c:pt idx="1">
                  <c:v>1264.7830699883316</c:v>
                </c:pt>
              </c:numCache>
            </c:numRef>
          </c:xVal>
          <c:yVal>
            <c:numRef>
              <c:f>'MFP-PDF_Avg'!$BJ$21:$BJ$22</c:f>
              <c:numCache>
                <c:formatCode>0.00E+00</c:formatCode>
                <c:ptCount val="2"/>
                <c:pt idx="0">
                  <c:v>1451.7494609289899</c:v>
                </c:pt>
                <c:pt idx="1">
                  <c:v>1470.4555590061771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4C7-4350-91AA-EEBBD8A092CD}"/>
            </c:ext>
          </c:extLst>
        </c:ser>
        <c:ser>
          <c:idx val="2"/>
          <c:order val="5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'MFP-PDF_Avg'!$BN$23</c:f>
              <c:numCache>
                <c:formatCode>0.00E+00</c:formatCode>
                <c:ptCount val="1"/>
                <c:pt idx="0">
                  <c:v>1415.0218281228406</c:v>
                </c:pt>
              </c:numCache>
            </c:numRef>
          </c:xVal>
          <c:yVal>
            <c:numRef>
              <c:f>'MFP-PDF_Avg'!$BJ$23</c:f>
              <c:numCache>
                <c:formatCode>0.00E+00</c:formatCode>
                <c:ptCount val="1"/>
                <c:pt idx="0">
                  <c:v>1403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4C7-4350-91AA-EEBBD8A092CD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6000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6000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E4C7-4350-91AA-EEBBD8A09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vs_calc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v_sound_metal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66593759113446"/>
          <c:y val="5.9523809523809521E-2"/>
          <c:w val="0.56891659375911341"/>
          <c:h val="0.77617745698454343"/>
        </c:manualLayout>
      </c:layout>
      <c:scatterChart>
        <c:scatterStyle val="lineMarker"/>
        <c:varyColors val="0"/>
        <c:ser>
          <c:idx val="4"/>
          <c:order val="0"/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'MFP-PDF_Avg'!$AU$5:$AU$7</c:f>
              <c:numCache>
                <c:formatCode>0.000000</c:formatCode>
                <c:ptCount val="3"/>
                <c:pt idx="0">
                  <c:v>0.65348172621457845</c:v>
                </c:pt>
                <c:pt idx="1">
                  <c:v>0.46857849131297907</c:v>
                </c:pt>
                <c:pt idx="2">
                  <c:v>0.36784660226402593</c:v>
                </c:pt>
              </c:numCache>
            </c:numRef>
          </c:xVal>
          <c:yVal>
            <c:numRef>
              <c:f>'MFP-PDF_Avg'!$AK$5:$AK$7</c:f>
              <c:numCache>
                <c:formatCode>General</c:formatCode>
                <c:ptCount val="3"/>
                <c:pt idx="0">
                  <c:v>0.62171538406412596</c:v>
                </c:pt>
                <c:pt idx="1">
                  <c:v>0.47705461868503202</c:v>
                </c:pt>
                <c:pt idx="2">
                  <c:v>0.36559719352224501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59-420C-8AD6-45F32FA35A7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'MFP-PDF_Avg'!$AU$8:$AU$10</c:f>
              <c:numCache>
                <c:formatCode>0.000000</c:formatCode>
                <c:ptCount val="3"/>
                <c:pt idx="0">
                  <c:v>1.0745331956689395</c:v>
                </c:pt>
                <c:pt idx="1">
                  <c:v>0.70609792030082197</c:v>
                </c:pt>
                <c:pt idx="2">
                  <c:v>0.48690892302207234</c:v>
                </c:pt>
              </c:numCache>
            </c:numRef>
          </c:xVal>
          <c:yVal>
            <c:numRef>
              <c:f>'MFP-PDF_Avg'!$AK$8:$AK$10</c:f>
              <c:numCache>
                <c:formatCode>General</c:formatCode>
                <c:ptCount val="3"/>
                <c:pt idx="0">
                  <c:v>1.2682350574951</c:v>
                </c:pt>
                <c:pt idx="1">
                  <c:v>0.90547800000000001</c:v>
                </c:pt>
                <c:pt idx="2">
                  <c:v>0.56768789999999902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59-420C-8AD6-45F32FA35A79}"/>
            </c:ext>
          </c:extLst>
        </c:ser>
        <c:ser>
          <c:idx val="7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'MFP-PDF_Avg'!$AU$13:$AU$15</c:f>
              <c:numCache>
                <c:formatCode>0.000000</c:formatCode>
                <c:ptCount val="3"/>
                <c:pt idx="0">
                  <c:v>0.46110285548802915</c:v>
                </c:pt>
                <c:pt idx="1">
                  <c:v>0.45538591510211907</c:v>
                </c:pt>
              </c:numCache>
            </c:numRef>
          </c:xVal>
          <c:yVal>
            <c:numRef>
              <c:f>'MFP-PDF_Avg'!$AK$13:$AK$15</c:f>
              <c:numCache>
                <c:formatCode>General</c:formatCode>
                <c:ptCount val="3"/>
                <c:pt idx="0">
                  <c:v>0.46200000000000002</c:v>
                </c:pt>
                <c:pt idx="1">
                  <c:v>0.44782499999999897</c:v>
                </c:pt>
                <c:pt idx="2">
                  <c:v>0.380772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A59-420C-8AD6-45F32FA35A79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'MFP-PDF_Avg'!$AS$18:$AS$20</c:f>
              <c:numCache>
                <c:formatCode>0.000000</c:formatCode>
                <c:ptCount val="3"/>
                <c:pt idx="0">
                  <c:v>1.2641169574941</c:v>
                </c:pt>
                <c:pt idx="1">
                  <c:v>0.84284465559077204</c:v>
                </c:pt>
                <c:pt idx="2">
                  <c:v>0.93676902087574598</c:v>
                </c:pt>
              </c:numCache>
            </c:numRef>
          </c:xVal>
          <c:yVal>
            <c:numRef>
              <c:f>('MFP-PDF_Avg'!$AK$18,'MFP-PDF_Avg'!$AK$19,'MFP-PDF_Avg'!$AK$20)</c:f>
              <c:numCache>
                <c:formatCode>General</c:formatCode>
                <c:ptCount val="3"/>
                <c:pt idx="0">
                  <c:v>1.18</c:v>
                </c:pt>
                <c:pt idx="1">
                  <c:v>0.78633287605038305</c:v>
                </c:pt>
                <c:pt idx="2">
                  <c:v>0.86544945017474995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A59-420C-8AD6-45F32FA35A79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9.3845873432487625E-2"/>
                  <c:y val="9.8049462567179099E-2"/>
                </c:manualLayout>
              </c:layout>
              <c:tx>
                <c:rich>
                  <a:bodyPr/>
                  <a:lstStyle/>
                  <a:p>
                    <a:fld id="{4E0BA487-CCDC-4FE7-BE25-673E4F54B5AB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328813065033539"/>
                      <c:h val="9.793182102237219E-2"/>
                    </c:manualLayout>
                  </c15:layout>
                  <c15:dlblFieldTable>
                    <c15:dlblFTEntry>
                      <c15:txfldGUID>{4E0BA487-CCDC-4FE7-BE25-673E4F54B5AB}</c15:txfldGUID>
                      <c15:f>'MFP-PDF_Avg'!$A$21</c15:f>
                      <c15:dlblFieldTableCache>
                        <c:ptCount val="1"/>
                        <c:pt idx="0">
                          <c:v>0.63NaCl-0.37UCl3 (ORNL)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1A59-420C-8AD6-45F32FA35A79}"/>
                </c:ext>
              </c:extLst>
            </c:dLbl>
            <c:dLbl>
              <c:idx val="1"/>
              <c:layout>
                <c:manualLayout>
                  <c:x val="3.1089929548280139E-2"/>
                  <c:y val="1.568788276465432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48043BA-4F93-455A-BDFD-BB5447868CFE}" type="CELLREF">
                      <a:rPr lang="en-US"/>
                      <a:pPr>
                        <a:defRPr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342772942855827"/>
                      <c:h val="9.7931758530183724E-2"/>
                    </c:manualLayout>
                  </c15:layout>
                  <c15:dlblFieldTable>
                    <c15:dlblFTEntry>
                      <c15:txfldGUID>{F48043BA-4F93-455A-BDFD-BB5447868CFE}</c15:txfldGUID>
                      <c15:f>'MFP-PDF_Avg'!$A$22</c15:f>
                      <c15:dlblFieldTableCache>
                        <c:ptCount val="1"/>
                        <c:pt idx="0">
                          <c:v>0.658NaCl-0.342UCl3 (ANL)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1A59-420C-8AD6-45F32FA35A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'MFP-PDF_Avg'!$AS$21:$AS$22</c:f>
              <c:numCache>
                <c:formatCode>0.000000</c:formatCode>
                <c:ptCount val="2"/>
                <c:pt idx="0">
                  <c:v>0.30884033107708703</c:v>
                </c:pt>
                <c:pt idx="1">
                  <c:v>0.32145693534244602</c:v>
                </c:pt>
              </c:numCache>
            </c:numRef>
          </c:xVal>
          <c:yVal>
            <c:numRef>
              <c:f>'MFP-PDF_Avg'!$AK$21:$AK$22</c:f>
              <c:numCache>
                <c:formatCode>General</c:formatCode>
                <c:ptCount val="2"/>
                <c:pt idx="0">
                  <c:v>0.239262577144952</c:v>
                </c:pt>
                <c:pt idx="1">
                  <c:v>0.27567442291687039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A59-420C-8AD6-45F32FA35A79}"/>
            </c:ext>
          </c:extLst>
        </c:ser>
        <c:ser>
          <c:idx val="2"/>
          <c:order val="5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'MFP-PDF_Avg'!$AS$23</c:f>
              <c:numCache>
                <c:formatCode>0.000000</c:formatCode>
                <c:ptCount val="1"/>
                <c:pt idx="0">
                  <c:v>0.55623382223307438</c:v>
                </c:pt>
              </c:numCache>
            </c:numRef>
          </c:xVal>
          <c:yVal>
            <c:numRef>
              <c:f>'MFP-PDF_Avg'!$AK$23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1A59-420C-8AD6-45F32FA35A79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C-1A59-420C-8AD6-45F32FA35A79}"/>
            </c:ext>
          </c:extLst>
        </c:ser>
        <c:ser>
          <c:idx val="0"/>
          <c:order val="7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7319523535889766"/>
                  <c:y val="3.507217847769028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'MFP-PDF_Avg'!$AU$5:$AU$23</c:f>
              <c:numCache>
                <c:formatCode>0.000000</c:formatCode>
                <c:ptCount val="19"/>
                <c:pt idx="0">
                  <c:v>0.65348172621457845</c:v>
                </c:pt>
                <c:pt idx="1">
                  <c:v>0.46857849131297907</c:v>
                </c:pt>
                <c:pt idx="2">
                  <c:v>0.36784660226402593</c:v>
                </c:pt>
                <c:pt idx="3">
                  <c:v>1.0745331956689395</c:v>
                </c:pt>
                <c:pt idx="4">
                  <c:v>0.70609792030082197</c:v>
                </c:pt>
                <c:pt idx="5">
                  <c:v>0.48690892302207234</c:v>
                </c:pt>
                <c:pt idx="8">
                  <c:v>0.46110285548802915</c:v>
                </c:pt>
                <c:pt idx="9">
                  <c:v>0.45538591510211907</c:v>
                </c:pt>
                <c:pt idx="13">
                  <c:v>1.2641169574941</c:v>
                </c:pt>
                <c:pt idx="14">
                  <c:v>0.84284465559077204</c:v>
                </c:pt>
                <c:pt idx="15">
                  <c:v>0.93676902087574598</c:v>
                </c:pt>
                <c:pt idx="16">
                  <c:v>0.30884033107708703</c:v>
                </c:pt>
                <c:pt idx="17">
                  <c:v>0.32145693534244602</c:v>
                </c:pt>
                <c:pt idx="18">
                  <c:v>0.55623382223307438</c:v>
                </c:pt>
              </c:numCache>
            </c:numRef>
          </c:xVal>
          <c:yVal>
            <c:numRef>
              <c:f>'MFP-PDF_Avg'!$AK$5:$AK$23</c:f>
              <c:numCache>
                <c:formatCode>General</c:formatCode>
                <c:ptCount val="19"/>
                <c:pt idx="0">
                  <c:v>0.62171538406412596</c:v>
                </c:pt>
                <c:pt idx="1">
                  <c:v>0.47705461868503202</c:v>
                </c:pt>
                <c:pt idx="2">
                  <c:v>0.36559719352224501</c:v>
                </c:pt>
                <c:pt idx="3">
                  <c:v>1.2682350574951</c:v>
                </c:pt>
                <c:pt idx="4">
                  <c:v>0.90547800000000001</c:v>
                </c:pt>
                <c:pt idx="5">
                  <c:v>0.56768789999999902</c:v>
                </c:pt>
                <c:pt idx="8">
                  <c:v>0.46200000000000002</c:v>
                </c:pt>
                <c:pt idx="9">
                  <c:v>0.44782499999999897</c:v>
                </c:pt>
                <c:pt idx="10">
                  <c:v>0.380772</c:v>
                </c:pt>
                <c:pt idx="11">
                  <c:v>0.59593560000000001</c:v>
                </c:pt>
                <c:pt idx="12">
                  <c:v>0.14599400000000001</c:v>
                </c:pt>
                <c:pt idx="13">
                  <c:v>1.18</c:v>
                </c:pt>
                <c:pt idx="14">
                  <c:v>0.78633287605038305</c:v>
                </c:pt>
                <c:pt idx="15">
                  <c:v>0.86544945017474995</c:v>
                </c:pt>
                <c:pt idx="16">
                  <c:v>0.239262577144952</c:v>
                </c:pt>
                <c:pt idx="17">
                  <c:v>0.27567442291687039</c:v>
                </c:pt>
                <c:pt idx="18" formatCode="0.0000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1A59-420C-8AD6-45F32FA35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.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_predicted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  <c:majorUnit val="0.2"/>
      </c:valAx>
      <c:valAx>
        <c:axId val="689706896"/>
        <c:scaling>
          <c:orientation val="minMax"/>
          <c:max val="1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  <c:minorUnit val="4.0000000000000008E-2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0.67247133581986451"/>
          <c:y val="0.30869459025955087"/>
          <c:w val="0.30383133029423953"/>
          <c:h val="0.691305409740449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95460239568026"/>
          <c:y val="2.9761956838728492E-2"/>
          <c:w val="0.48245913339779894"/>
          <c:h val="0.82313502478856815"/>
        </c:manualLayout>
      </c:layout>
      <c:scatterChart>
        <c:scatterStyle val="lineMarker"/>
        <c:varyColors val="0"/>
        <c:ser>
          <c:idx val="4"/>
          <c:order val="0"/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'MFP-PDF_Avg'!$BG$5:$BG$7</c:f>
              <c:numCache>
                <c:formatCode>0.00E+00</c:formatCode>
                <c:ptCount val="3"/>
                <c:pt idx="0">
                  <c:v>2.8695031731770035E-10</c:v>
                </c:pt>
                <c:pt idx="1">
                  <c:v>4.4315804722328336E-10</c:v>
                </c:pt>
                <c:pt idx="2">
                  <c:v>6.1136136511669267E-10</c:v>
                </c:pt>
              </c:numCache>
            </c:numRef>
          </c:xVal>
          <c:yVal>
            <c:numRef>
              <c:f>'MFP-PDF_Avg'!$BB$5:$BB$7</c:f>
              <c:numCache>
                <c:formatCode>0.00E+00</c:formatCode>
                <c:ptCount val="3"/>
                <c:pt idx="0">
                  <c:v>3.0056447474785299E-10</c:v>
                </c:pt>
                <c:pt idx="1">
                  <c:v>3.3400223720324102E-10</c:v>
                </c:pt>
                <c:pt idx="2">
                  <c:v>3.6182029353950698E-10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A5-430F-A3C2-9D82AAD1E1B7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'MFP-PDF_Avg'!$BG$8:$BG$10</c:f>
              <c:numCache>
                <c:formatCode>0.00E+00</c:formatCode>
                <c:ptCount val="3"/>
                <c:pt idx="0">
                  <c:v>1.3651840574930095E-10</c:v>
                </c:pt>
                <c:pt idx="1">
                  <c:v>2.3870499444360635E-10</c:v>
                </c:pt>
                <c:pt idx="2">
                  <c:v>4.024996987678662E-10</c:v>
                </c:pt>
              </c:numCache>
            </c:numRef>
          </c:xVal>
          <c:yVal>
            <c:numRef>
              <c:f>'MFP-PDF_Avg'!$BB$8:$BB$10</c:f>
              <c:numCache>
                <c:formatCode>0.00E+00</c:formatCode>
                <c:ptCount val="3"/>
                <c:pt idx="0">
                  <c:v>2.3591537099888599E-10</c:v>
                </c:pt>
                <c:pt idx="1">
                  <c:v>2.7110331264484899E-10</c:v>
                </c:pt>
                <c:pt idx="2">
                  <c:v>3.1522574455637898E-10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A5-430F-A3C2-9D82AAD1E1B7}"/>
            </c:ext>
          </c:extLst>
        </c:ser>
        <c:ser>
          <c:idx val="1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'MFP-PDF_Avg'!$BG$13:$BG$15</c:f>
              <c:numCache>
                <c:formatCode>0.00E+00</c:formatCode>
                <c:ptCount val="3"/>
                <c:pt idx="0">
                  <c:v>4.1630755614832056E-10</c:v>
                </c:pt>
                <c:pt idx="1">
                  <c:v>4.5341331371158696E-10</c:v>
                </c:pt>
              </c:numCache>
            </c:numRef>
          </c:xVal>
          <c:yVal>
            <c:numRef>
              <c:f>'MFP-PDF_Avg'!$BB$13:$BB$15</c:f>
              <c:numCache>
                <c:formatCode>0.00E+00</c:formatCode>
                <c:ptCount val="3"/>
                <c:pt idx="0">
                  <c:v>3.08759615447175E-10</c:v>
                </c:pt>
                <c:pt idx="1">
                  <c:v>3.3211022612034601E-10</c:v>
                </c:pt>
                <c:pt idx="2">
                  <c:v>4.2994626258483001E-10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A5-430F-A3C2-9D82AAD1E1B7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'MFP-PDF_Avg'!$BE$18:$BE$20</c:f>
              <c:numCache>
                <c:formatCode>General</c:formatCode>
                <c:ptCount val="3"/>
                <c:pt idx="0" formatCode="0.00E+00">
                  <c:v>1.9229592297768383E-10</c:v>
                </c:pt>
                <c:pt idx="1">
                  <c:v>2.4214980323905345E-10</c:v>
                </c:pt>
                <c:pt idx="2">
                  <c:v>2.3780583138410686E-10</c:v>
                </c:pt>
              </c:numCache>
            </c:numRef>
          </c:xVal>
          <c:yVal>
            <c:numRef>
              <c:f>'MFP-PDF_Avg'!$BB$18:$BB$20</c:f>
              <c:numCache>
                <c:formatCode>0.00E+00</c:formatCode>
                <c:ptCount val="3"/>
                <c:pt idx="0">
                  <c:v>2.06003844994128E-10</c:v>
                </c:pt>
                <c:pt idx="1">
                  <c:v>2.5955250470707202E-10</c:v>
                </c:pt>
                <c:pt idx="2">
                  <c:v>2.4173581555363199E-10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A5-430F-A3C2-9D82AAD1E1B7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'MFP-PDF_Avg'!$BE$21:$BE$22</c:f>
              <c:numCache>
                <c:formatCode>General</c:formatCode>
                <c:ptCount val="2"/>
                <c:pt idx="0">
                  <c:v>2.4552541454050528E-10</c:v>
                </c:pt>
                <c:pt idx="1">
                  <c:v>2.7178742571129298E-10</c:v>
                </c:pt>
              </c:numCache>
            </c:numRef>
          </c:xVal>
          <c:yVal>
            <c:numRef>
              <c:f>'MFP-PDF_Avg'!$BB$21:$BB$22</c:f>
              <c:numCache>
                <c:formatCode>0.00E+00</c:formatCode>
                <c:ptCount val="2"/>
                <c:pt idx="0">
                  <c:v>3.1692440673072701E-10</c:v>
                </c:pt>
                <c:pt idx="1">
                  <c:v>3.1692440673072701E-10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A5-430F-A3C2-9D82AAD1E1B7}"/>
            </c:ext>
          </c:extLst>
        </c:ser>
        <c:ser>
          <c:idx val="2"/>
          <c:order val="5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'MFP-PDF_Avg'!$BE$23</c:f>
              <c:numCache>
                <c:formatCode>0.00E+00</c:formatCode>
                <c:ptCount val="1"/>
                <c:pt idx="0">
                  <c:v>2.8676430958411341E-10</c:v>
                </c:pt>
              </c:numCache>
            </c:numRef>
          </c:xVal>
          <c:yVal>
            <c:numRef>
              <c:f>'MFP-PDF_Avg'!$BB$23</c:f>
              <c:numCache>
                <c:formatCode>0.00E+00</c:formatCode>
                <c:ptCount val="1"/>
                <c:pt idx="0">
                  <c:v>2.8432800000000002E-10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A5-430F-A3C2-9D82AAD1E1B7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9.9999999999999994E-12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9.9999999999999994E-12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64A5-430F-A3C2-9D82AAD1E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6.0000000000000031E-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MFP_calc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6.0000000000000031E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PDF-MFP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978933554358339"/>
          <c:y val="4.3650793650793648E-2"/>
          <c:w val="0.47553368328958878"/>
          <c:h val="0.82379640044994373"/>
        </c:manualLayout>
      </c:layout>
      <c:scatterChart>
        <c:scatterStyle val="lineMarker"/>
        <c:varyColors val="0"/>
        <c:ser>
          <c:idx val="4"/>
          <c:order val="0"/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'MFP-PDF_Avg'!$BZ$5:$BZ$7</c:f>
              <c:numCache>
                <c:formatCode>0.00E+00</c:formatCode>
                <c:ptCount val="3"/>
                <c:pt idx="0">
                  <c:v>2239275.6125416677</c:v>
                </c:pt>
                <c:pt idx="1">
                  <c:v>1919892.5655909167</c:v>
                </c:pt>
                <c:pt idx="2">
                  <c:v>1532057.0497150715</c:v>
                </c:pt>
              </c:numCache>
            </c:numRef>
          </c:xVal>
          <c:yVal>
            <c:numRef>
              <c:f>'MFP-PDF_Avg'!$BQ$5:$BQ$7</c:f>
              <c:numCache>
                <c:formatCode>0.00E+00</c:formatCode>
                <c:ptCount val="3"/>
                <c:pt idx="0">
                  <c:v>2299027.692598009</c:v>
                </c:pt>
                <c:pt idx="1">
                  <c:v>1849136.7861885792</c:v>
                </c:pt>
                <c:pt idx="2">
                  <c:v>1506961.5069615068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71-46EA-8523-5646F95C0151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'MFP-PDF_Avg'!$BZ$8:$BZ$10</c:f>
              <c:numCache>
                <c:formatCode>0.00E+00</c:formatCode>
                <c:ptCount val="3"/>
                <c:pt idx="0">
                  <c:v>5333316.3586812383</c:v>
                </c:pt>
                <c:pt idx="1">
                  <c:v>4170189.0866512111</c:v>
                </c:pt>
                <c:pt idx="2">
                  <c:v>2587242.410475926</c:v>
                </c:pt>
              </c:numCache>
            </c:numRef>
          </c:xVal>
          <c:yVal>
            <c:numRef>
              <c:f>'MFP-PDF_Avg'!$BQ$8:$BQ$10</c:f>
              <c:numCache>
                <c:formatCode>0.00E+00</c:formatCode>
                <c:ptCount val="3"/>
                <c:pt idx="0">
                  <c:v>4521126.760563381</c:v>
                </c:pt>
                <c:pt idx="1">
                  <c:v>3250000</c:v>
                </c:pt>
                <c:pt idx="2">
                  <c:v>2200657.8947368423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771-46EA-8523-5646F95C0151}"/>
            </c:ext>
          </c:extLst>
        </c:ser>
        <c:ser>
          <c:idx val="1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'MFP-PDF_Avg'!$BZ$13:$BZ$15</c:f>
              <c:numCache>
                <c:formatCode>0.00E+00</c:formatCode>
                <c:ptCount val="3"/>
                <c:pt idx="0">
                  <c:v>1632041.0930836406</c:v>
                </c:pt>
                <c:pt idx="1">
                  <c:v>1896947.215303018</c:v>
                </c:pt>
              </c:numCache>
            </c:numRef>
          </c:xVal>
          <c:yVal>
            <c:numRef>
              <c:f>'MFP-PDF_Avg'!$BQ$13:$BQ$15</c:f>
              <c:numCache>
                <c:formatCode>0.00E+00</c:formatCode>
                <c:ptCount val="3"/>
                <c:pt idx="0">
                  <c:v>1628871.8794256966</c:v>
                </c:pt>
                <c:pt idx="1">
                  <c:v>1928974.5850302745</c:v>
                </c:pt>
                <c:pt idx="2">
                  <c:v>1799756.6027023955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771-46EA-8523-5646F95C0151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'MFP-PDF_Avg'!$BX$18:$BX$20</c:f>
              <c:numCache>
                <c:formatCode>General</c:formatCode>
                <c:ptCount val="3"/>
                <c:pt idx="0">
                  <c:v>4450276.1321810596</c:v>
                </c:pt>
                <c:pt idx="1">
                  <c:v>3738404.7815810372</c:v>
                </c:pt>
                <c:pt idx="2">
                  <c:v>4124321.9271379304</c:v>
                </c:pt>
              </c:numCache>
            </c:numRef>
          </c:xVal>
          <c:yVal>
            <c:numRef>
              <c:f>'MFP-PDF_Avg'!$BQ$18:$BQ$20</c:f>
              <c:numCache>
                <c:formatCode>0.00E+00</c:formatCode>
                <c:ptCount val="3"/>
                <c:pt idx="0">
                  <c:v>4323157.1595853949</c:v>
                </c:pt>
                <c:pt idx="1">
                  <c:v>3402318.9027080508</c:v>
                </c:pt>
                <c:pt idx="2">
                  <c:v>4192480.558023226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771-46EA-8523-5646F95C0151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'MFP-PDF_Avg'!$BX$21:$BX$22</c:f>
              <c:numCache>
                <c:formatCode>General</c:formatCode>
                <c:ptCount val="2"/>
                <c:pt idx="0">
                  <c:v>1670541.5762349977</c:v>
                </c:pt>
                <c:pt idx="1">
                  <c:v>1843595.9152489989</c:v>
                </c:pt>
              </c:numCache>
            </c:numRef>
          </c:xVal>
          <c:yVal>
            <c:numRef>
              <c:f>'MFP-PDF_Avg'!$BQ$21:$BQ$22</c:f>
              <c:numCache>
                <c:formatCode>0.00E+00</c:formatCode>
                <c:ptCount val="2"/>
                <c:pt idx="0">
                  <c:v>2156336.4385642763</c:v>
                </c:pt>
                <c:pt idx="1">
                  <c:v>2149770.3220167966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771-46EA-8523-5646F95C0151}"/>
            </c:ext>
          </c:extLst>
        </c:ser>
        <c:ser>
          <c:idx val="2"/>
          <c:order val="5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'MFP-PDF_Avg'!$BX$23</c:f>
              <c:numCache>
                <c:formatCode>General</c:formatCode>
                <c:ptCount val="1"/>
                <c:pt idx="0">
                  <c:v>4218973.6676481161</c:v>
                </c:pt>
              </c:numCache>
            </c:numRef>
          </c:xVal>
          <c:yVal>
            <c:numRef>
              <c:f>'MFP-PDF_Avg'!$BQ$23</c:f>
              <c:numCache>
                <c:formatCode>0.00E+00</c:formatCode>
                <c:ptCount val="1"/>
                <c:pt idx="0">
                  <c:v>4183129.8557158709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771-46EA-8523-5646F95C0151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.000000000000001E-2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7000000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7000000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5771-46EA-8523-5646F95C0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70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C_p,calc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E+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  <c:majorUnit val="1000000"/>
      </c:valAx>
      <c:valAx>
        <c:axId val="689706896"/>
        <c:scaling>
          <c:orientation val="minMax"/>
          <c:max val="7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C_p,measured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635608048993876E-2"/>
              <c:y val="0.305791776027996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67928926647326981"/>
          <c:y val="0.28199183435403907"/>
          <c:w val="0.30383133029423953"/>
          <c:h val="0.575234762321376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00991542723829"/>
          <c:y val="4.3650793650793648E-2"/>
          <c:w val="0.51074058688893342"/>
          <c:h val="0.80527777777777776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'MFP-PDF_Avg'!$BO$5:$BO$7</c:f>
              <c:numCache>
                <c:formatCode>0.00E+00</c:formatCode>
                <c:ptCount val="3"/>
                <c:pt idx="0">
                  <c:v>2315.7128787236516</c:v>
                </c:pt>
                <c:pt idx="1">
                  <c:v>1956.4949401532424</c:v>
                </c:pt>
                <c:pt idx="2">
                  <c:v>1623.6959849275681</c:v>
                </c:pt>
              </c:numCache>
            </c:numRef>
          </c:xVal>
          <c:yVal>
            <c:numRef>
              <c:f>'MFP-PDF_Avg'!$BK$5:$BK$7</c:f>
              <c:numCache>
                <c:formatCode>0.00E+00</c:formatCode>
                <c:ptCount val="3"/>
                <c:pt idx="0">
                  <c:v>2771.1987250000002</c:v>
                </c:pt>
                <c:pt idx="1">
                  <c:v>2231.84</c:v>
                </c:pt>
                <c:pt idx="2">
                  <c:v>1978.5919999999999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6F-44C4-B24C-2C30FEDF575B}"/>
            </c:ext>
          </c:extLst>
        </c:ser>
        <c:ser>
          <c:idx val="0"/>
          <c:order val="1"/>
          <c:tx>
            <c:v>Pure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'MFP-PDF_Avg'!$BO$8:$BO$10</c:f>
              <c:numCache>
                <c:formatCode>0.00E+00</c:formatCode>
                <c:ptCount val="3"/>
                <c:pt idx="0">
                  <c:v>3016.3419621048133</c:v>
                </c:pt>
                <c:pt idx="1">
                  <c:v>2554.0281298443947</c:v>
                </c:pt>
                <c:pt idx="2">
                  <c:v>2052.1409413110459</c:v>
                </c:pt>
              </c:numCache>
            </c:numRef>
          </c:xVal>
          <c:yVal>
            <c:numRef>
              <c:f>'MFP-PDF_Avg'!$BK$8:$BK$10</c:f>
              <c:numCache>
                <c:formatCode>0.00E+00</c:formatCode>
                <c:ptCount val="3"/>
                <c:pt idx="0">
                  <c:v>3023.9</c:v>
                </c:pt>
                <c:pt idx="1">
                  <c:v>2402.75</c:v>
                </c:pt>
                <c:pt idx="2">
                  <c:v>2088.1999999999998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6F-44C4-B24C-2C30FEDF575B}"/>
            </c:ext>
          </c:extLst>
        </c:ser>
        <c:ser>
          <c:idx val="1"/>
          <c:order val="2"/>
          <c:tx>
            <c:v>Alkaline Earth Chlorides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'MFP-PDF_Avg'!$BO$13:$BO$15</c:f>
              <c:numCache>
                <c:formatCode>0.00E+00</c:formatCode>
                <c:ptCount val="3"/>
                <c:pt idx="0">
                  <c:v>2359.0624673719785</c:v>
                </c:pt>
                <c:pt idx="1">
                  <c:v>1930.1433014857096</c:v>
                </c:pt>
                <c:pt idx="2">
                  <c:v>1284.5980029294915</c:v>
                </c:pt>
              </c:numCache>
            </c:numRef>
          </c:xVal>
          <c:yVal>
            <c:numRef>
              <c:f>'MFP-PDF_Avg'!$BK$13:$BK$15</c:f>
              <c:numCache>
                <c:formatCode>0.00E+00</c:formatCode>
                <c:ptCount val="3"/>
                <c:pt idx="0">
                  <c:v>2750.5</c:v>
                </c:pt>
                <c:pt idx="1">
                  <c:v>2132.5150000000003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96F-44C4-B24C-2C30FEDF575B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'MFP-PDF_Avg'!$BN$18:$BN$20</c:f>
              <c:numCache>
                <c:formatCode>0.00E+00</c:formatCode>
                <c:ptCount val="3"/>
                <c:pt idx="0">
                  <c:v>3234.0537196156542</c:v>
                </c:pt>
                <c:pt idx="1">
                  <c:v>2200.9716645044032</c:v>
                </c:pt>
                <c:pt idx="2">
                  <c:v>2561.8335184383373</c:v>
                </c:pt>
              </c:numCache>
            </c:numRef>
          </c:xVal>
          <c:yVal>
            <c:numRef>
              <c:f>'MFP-PDF_Avg'!$BJ$18:$BJ$20</c:f>
              <c:numCache>
                <c:formatCode>0.00E+00</c:formatCode>
                <c:ptCount val="3"/>
                <c:pt idx="0">
                  <c:v>2547.6863757231322</c:v>
                </c:pt>
                <c:pt idx="1">
                  <c:v>2012.468707779205</c:v>
                </c:pt>
                <c:pt idx="2">
                  <c:v>2298.228366828082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96F-44C4-B24C-2C30FEDF575B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'MFP-PDF_Avg'!$BN$21:$BN$22</c:f>
              <c:numCache>
                <c:formatCode>0.00E+00</c:formatCode>
                <c:ptCount val="2"/>
                <c:pt idx="0">
                  <c:v>1127.8431507727448</c:v>
                </c:pt>
                <c:pt idx="1">
                  <c:v>1264.7830699883316</c:v>
                </c:pt>
              </c:numCache>
            </c:numRef>
          </c:xVal>
          <c:yVal>
            <c:numRef>
              <c:f>'MFP-PDF_Avg'!$BJ$21:$BJ$22</c:f>
              <c:numCache>
                <c:formatCode>0.00E+00</c:formatCode>
                <c:ptCount val="2"/>
                <c:pt idx="0">
                  <c:v>1451.7494609289899</c:v>
                </c:pt>
                <c:pt idx="1">
                  <c:v>1470.4555590061771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96F-44C4-B24C-2C30FEDF575B}"/>
            </c:ext>
          </c:extLst>
        </c:ser>
        <c:ser>
          <c:idx val="2"/>
          <c:order val="5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'MFP-PDF_Avg'!$BN$23</c:f>
              <c:numCache>
                <c:formatCode>0.00E+00</c:formatCode>
                <c:ptCount val="1"/>
                <c:pt idx="0">
                  <c:v>1415.0218281228406</c:v>
                </c:pt>
              </c:numCache>
            </c:numRef>
          </c:xVal>
          <c:yVal>
            <c:numRef>
              <c:f>'MFP-PDF_Avg'!$BJ$23</c:f>
              <c:numCache>
                <c:formatCode>0.00E+00</c:formatCode>
                <c:ptCount val="1"/>
                <c:pt idx="0">
                  <c:v>1403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96F-44C4-B24C-2C30FEDF575B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6000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6000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296F-44C4-B24C-2C30FEDF57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vs_calc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v_sound_metal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66593759113446"/>
          <c:y val="5.9523809523809521E-2"/>
          <c:w val="0.56891659375911341"/>
          <c:h val="0.77617745698454343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'MFP-PDF_Avg'!$AV$5:$AV$7</c:f>
              <c:numCache>
                <c:formatCode>0.000000</c:formatCode>
                <c:ptCount val="3"/>
                <c:pt idx="0">
                  <c:v>0.76015224669760251</c:v>
                </c:pt>
                <c:pt idx="1">
                  <c:v>0.55353738599907809</c:v>
                </c:pt>
                <c:pt idx="2">
                  <c:v>0.45527649679112014</c:v>
                </c:pt>
              </c:numCache>
            </c:numRef>
          </c:xVal>
          <c:yVal>
            <c:numRef>
              <c:f>'MFP-PDF_Avg'!$AK$5:$AK$7</c:f>
              <c:numCache>
                <c:formatCode>General</c:formatCode>
                <c:ptCount val="3"/>
                <c:pt idx="0">
                  <c:v>0.62171538406412596</c:v>
                </c:pt>
                <c:pt idx="1">
                  <c:v>0.47705461868503202</c:v>
                </c:pt>
                <c:pt idx="2">
                  <c:v>0.36559719352224501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38-4617-A53E-25C252745FCB}"/>
            </c:ext>
          </c:extLst>
        </c:ser>
        <c:ser>
          <c:idx val="1"/>
          <c:order val="1"/>
          <c:tx>
            <c:v>Pure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'MFP-PDF_Avg'!$AV$8:$AV$10</c:f>
              <c:numCache>
                <c:formatCode>0.000000</c:formatCode>
                <c:ptCount val="3"/>
                <c:pt idx="0">
                  <c:v>1.2835318766111998</c:v>
                </c:pt>
                <c:pt idx="1">
                  <c:v>0.84980152002576392</c:v>
                </c:pt>
                <c:pt idx="2">
                  <c:v>0.58299891529503312</c:v>
                </c:pt>
              </c:numCache>
            </c:numRef>
          </c:xVal>
          <c:yVal>
            <c:numRef>
              <c:f>'MFP-PDF_Avg'!$AK$8:$AK$10</c:f>
              <c:numCache>
                <c:formatCode>General</c:formatCode>
                <c:ptCount val="3"/>
                <c:pt idx="0">
                  <c:v>1.2682350574951</c:v>
                </c:pt>
                <c:pt idx="1">
                  <c:v>0.90547800000000001</c:v>
                </c:pt>
                <c:pt idx="2">
                  <c:v>0.56768789999999902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38-4617-A53E-25C252745FCB}"/>
            </c:ext>
          </c:extLst>
        </c:ser>
        <c:ser>
          <c:idx val="7"/>
          <c:order val="2"/>
          <c:tx>
            <c:v>Alkaline Earth Chlorides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'MFP-PDF_Avg'!$AV$13:$AV$15</c:f>
              <c:numCache>
                <c:formatCode>0.000000</c:formatCode>
                <c:ptCount val="3"/>
                <c:pt idx="0">
                  <c:v>0.53865932656527438</c:v>
                </c:pt>
                <c:pt idx="1">
                  <c:v>0.49477856340506143</c:v>
                </c:pt>
              </c:numCache>
            </c:numRef>
          </c:xVal>
          <c:yVal>
            <c:numRef>
              <c:f>'MFP-PDF_Avg'!$AK$13:$AK$15</c:f>
              <c:numCache>
                <c:formatCode>General</c:formatCode>
                <c:ptCount val="3"/>
                <c:pt idx="0">
                  <c:v>0.46200000000000002</c:v>
                </c:pt>
                <c:pt idx="1">
                  <c:v>0.44782499999999897</c:v>
                </c:pt>
                <c:pt idx="2">
                  <c:v>0.380772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338-4617-A53E-25C252745FCB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'MFP-PDF_Avg'!$AS$18:$AS$20</c:f>
              <c:numCache>
                <c:formatCode>0.000000</c:formatCode>
                <c:ptCount val="3"/>
                <c:pt idx="0">
                  <c:v>1.2641169574941</c:v>
                </c:pt>
                <c:pt idx="1">
                  <c:v>0.84284465559077204</c:v>
                </c:pt>
                <c:pt idx="2">
                  <c:v>0.93676902087574598</c:v>
                </c:pt>
              </c:numCache>
            </c:numRef>
          </c:xVal>
          <c:yVal>
            <c:numRef>
              <c:f>('MFP-PDF_Avg'!$AK$18,'MFP-PDF_Avg'!$AK$19,'MFP-PDF_Avg'!$AK$20)</c:f>
              <c:numCache>
                <c:formatCode>General</c:formatCode>
                <c:ptCount val="3"/>
                <c:pt idx="0">
                  <c:v>1.18</c:v>
                </c:pt>
                <c:pt idx="1">
                  <c:v>0.78633287605038305</c:v>
                </c:pt>
                <c:pt idx="2">
                  <c:v>0.86544945017474995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338-4617-A53E-25C252745FCB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9.3845873432487625E-2"/>
                  <c:y val="9.8049462567179099E-2"/>
                </c:manualLayout>
              </c:layout>
              <c:tx>
                <c:rich>
                  <a:bodyPr/>
                  <a:lstStyle/>
                  <a:p>
                    <a:fld id="{4E0BA487-CCDC-4FE7-BE25-673E4F54B5AB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328813065033539"/>
                      <c:h val="9.793182102237219E-2"/>
                    </c:manualLayout>
                  </c15:layout>
                  <c15:dlblFieldTable>
                    <c15:dlblFTEntry>
                      <c15:txfldGUID>{4E0BA487-CCDC-4FE7-BE25-673E4F54B5AB}</c15:txfldGUID>
                      <c15:f>'MFP-PDF_Avg'!$A$21</c15:f>
                      <c15:dlblFieldTableCache>
                        <c:ptCount val="1"/>
                        <c:pt idx="0">
                          <c:v>0.63NaCl-0.37UCl3 (ORNL)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F338-4617-A53E-25C252745FCB}"/>
                </c:ext>
              </c:extLst>
            </c:dLbl>
            <c:dLbl>
              <c:idx val="1"/>
              <c:layout>
                <c:manualLayout>
                  <c:x val="3.1089929548280139E-2"/>
                  <c:y val="1.568788276465432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48043BA-4F93-455A-BDFD-BB5447868CFE}" type="CELLREF">
                      <a:rPr lang="en-US"/>
                      <a:pPr>
                        <a:defRPr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342772942855827"/>
                      <c:h val="9.7931758530183724E-2"/>
                    </c:manualLayout>
                  </c15:layout>
                  <c15:dlblFieldTable>
                    <c15:dlblFTEntry>
                      <c15:txfldGUID>{F48043BA-4F93-455A-BDFD-BB5447868CFE}</c15:txfldGUID>
                      <c15:f>'MFP-PDF_Avg'!$A$22</c15:f>
                      <c15:dlblFieldTableCache>
                        <c:ptCount val="1"/>
                        <c:pt idx="0">
                          <c:v>0.658NaCl-0.342UCl3 (ANL)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F338-4617-A53E-25C252745F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'MFP-PDF_Avg'!$AS$21:$AS$22</c:f>
              <c:numCache>
                <c:formatCode>0.000000</c:formatCode>
                <c:ptCount val="2"/>
                <c:pt idx="0">
                  <c:v>0.30884033107708703</c:v>
                </c:pt>
                <c:pt idx="1">
                  <c:v>0.32145693534244602</c:v>
                </c:pt>
              </c:numCache>
            </c:numRef>
          </c:xVal>
          <c:yVal>
            <c:numRef>
              <c:f>'MFP-PDF_Avg'!$AK$21:$AK$22</c:f>
              <c:numCache>
                <c:formatCode>General</c:formatCode>
                <c:ptCount val="2"/>
                <c:pt idx="0">
                  <c:v>0.239262577144952</c:v>
                </c:pt>
                <c:pt idx="1">
                  <c:v>0.27567442291687039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338-4617-A53E-25C252745FCB}"/>
            </c:ext>
          </c:extLst>
        </c:ser>
        <c:ser>
          <c:idx val="2"/>
          <c:order val="5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'MFP-PDF_Avg'!$AS$23</c:f>
              <c:numCache>
                <c:formatCode>0.000000</c:formatCode>
                <c:ptCount val="1"/>
                <c:pt idx="0">
                  <c:v>0.55623382223307438</c:v>
                </c:pt>
              </c:numCache>
            </c:numRef>
          </c:xVal>
          <c:yVal>
            <c:numRef>
              <c:f>'MFP-PDF_Avg'!$AK$23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338-4617-A53E-25C252745FCB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C-F338-4617-A53E-25C252745FCB}"/>
            </c:ext>
          </c:extLst>
        </c:ser>
        <c:ser>
          <c:idx val="0"/>
          <c:order val="7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1.9494405304600084E-2"/>
                  <c:y val="1.644794400699912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'MFP-PDF_Avg'!$AV$5:$AV$23</c:f>
              <c:numCache>
                <c:formatCode>0.000000</c:formatCode>
                <c:ptCount val="19"/>
                <c:pt idx="0">
                  <c:v>0.76015224669760251</c:v>
                </c:pt>
                <c:pt idx="1">
                  <c:v>0.55353738599907809</c:v>
                </c:pt>
                <c:pt idx="2">
                  <c:v>0.45527649679112014</c:v>
                </c:pt>
                <c:pt idx="3">
                  <c:v>1.2835318766111998</c:v>
                </c:pt>
                <c:pt idx="4">
                  <c:v>0.84980152002576392</c:v>
                </c:pt>
                <c:pt idx="5">
                  <c:v>0.58299891529503312</c:v>
                </c:pt>
                <c:pt idx="8">
                  <c:v>0.53865932656527438</c:v>
                </c:pt>
                <c:pt idx="9">
                  <c:v>0.49477856340506143</c:v>
                </c:pt>
                <c:pt idx="13">
                  <c:v>1.2641169574941</c:v>
                </c:pt>
                <c:pt idx="14">
                  <c:v>0.84284465559077204</c:v>
                </c:pt>
                <c:pt idx="15">
                  <c:v>0.93676902087574598</c:v>
                </c:pt>
                <c:pt idx="16">
                  <c:v>0.30884033107708703</c:v>
                </c:pt>
                <c:pt idx="17">
                  <c:v>0.32145693534244602</c:v>
                </c:pt>
                <c:pt idx="18">
                  <c:v>0.55623382223307438</c:v>
                </c:pt>
              </c:numCache>
            </c:numRef>
          </c:xVal>
          <c:yVal>
            <c:numRef>
              <c:f>'MFP-PDF_Avg'!$AK$5:$AK$23</c:f>
              <c:numCache>
                <c:formatCode>General</c:formatCode>
                <c:ptCount val="19"/>
                <c:pt idx="0">
                  <c:v>0.62171538406412596</c:v>
                </c:pt>
                <c:pt idx="1">
                  <c:v>0.47705461868503202</c:v>
                </c:pt>
                <c:pt idx="2">
                  <c:v>0.36559719352224501</c:v>
                </c:pt>
                <c:pt idx="3">
                  <c:v>1.2682350574951</c:v>
                </c:pt>
                <c:pt idx="4">
                  <c:v>0.90547800000000001</c:v>
                </c:pt>
                <c:pt idx="5">
                  <c:v>0.56768789999999902</c:v>
                </c:pt>
                <c:pt idx="8">
                  <c:v>0.46200000000000002</c:v>
                </c:pt>
                <c:pt idx="9">
                  <c:v>0.44782499999999897</c:v>
                </c:pt>
                <c:pt idx="10">
                  <c:v>0.380772</c:v>
                </c:pt>
                <c:pt idx="11">
                  <c:v>0.59593560000000001</c:v>
                </c:pt>
                <c:pt idx="12">
                  <c:v>0.14599400000000001</c:v>
                </c:pt>
                <c:pt idx="13">
                  <c:v>1.18</c:v>
                </c:pt>
                <c:pt idx="14">
                  <c:v>0.78633287605038305</c:v>
                </c:pt>
                <c:pt idx="15">
                  <c:v>0.86544945017474995</c:v>
                </c:pt>
                <c:pt idx="16">
                  <c:v>0.239262577144952</c:v>
                </c:pt>
                <c:pt idx="17">
                  <c:v>0.27567442291687039</c:v>
                </c:pt>
                <c:pt idx="18" formatCode="0.0000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F338-4617-A53E-25C252745F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.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_predicted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  <c:majorUnit val="0.2"/>
      </c:valAx>
      <c:valAx>
        <c:axId val="689706896"/>
        <c:scaling>
          <c:orientation val="minMax"/>
          <c:max val="1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  <c:minorUnit val="4.0000000000000008E-2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0.67247133581986451"/>
          <c:y val="0.30869459025955087"/>
          <c:w val="0.30383133029423953"/>
          <c:h val="0.691305409740449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95460239568026"/>
          <c:y val="2.9761956838728492E-2"/>
          <c:w val="0.48245913339779894"/>
          <c:h val="0.82313502478856815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'MFP-PDF_Avg'!$BG$5:$BG$7</c:f>
              <c:numCache>
                <c:formatCode>0.00E+00</c:formatCode>
                <c:ptCount val="3"/>
                <c:pt idx="0">
                  <c:v>2.8695031731770035E-10</c:v>
                </c:pt>
                <c:pt idx="1">
                  <c:v>4.4315804722328336E-10</c:v>
                </c:pt>
                <c:pt idx="2">
                  <c:v>6.1136136511669267E-10</c:v>
                </c:pt>
              </c:numCache>
            </c:numRef>
          </c:xVal>
          <c:yVal>
            <c:numRef>
              <c:f>'MFP-PDF_Avg'!$BC$5:$BC$7</c:f>
              <c:numCache>
                <c:formatCode>0.00E+00</c:formatCode>
                <c:ptCount val="3"/>
                <c:pt idx="0">
                  <c:v>3.4962685503166299E-10</c:v>
                </c:pt>
                <c:pt idx="1">
                  <c:v>3.94560844611702E-10</c:v>
                </c:pt>
                <c:pt idx="2">
                  <c:v>4.4781785313967899E-10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9B-44A9-87DA-DA24BB53C3AD}"/>
            </c:ext>
          </c:extLst>
        </c:ser>
        <c:ser>
          <c:idx val="0"/>
          <c:order val="1"/>
          <c:tx>
            <c:v>Pure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'MFP-PDF_Avg'!$BG$8:$BG$10</c:f>
              <c:numCache>
                <c:formatCode>0.00E+00</c:formatCode>
                <c:ptCount val="3"/>
                <c:pt idx="0">
                  <c:v>1.3651840574930095E-10</c:v>
                </c:pt>
                <c:pt idx="1">
                  <c:v>2.3870499444360635E-10</c:v>
                </c:pt>
                <c:pt idx="2">
                  <c:v>4.024996987678662E-10</c:v>
                </c:pt>
              </c:numCache>
            </c:numRef>
          </c:xVal>
          <c:yVal>
            <c:numRef>
              <c:f>'MFP-PDF_Avg'!$BC$8:$BC$10</c:f>
              <c:numCache>
                <c:formatCode>0.00E+00</c:formatCode>
                <c:ptCount val="3"/>
                <c:pt idx="0">
                  <c:v>2.8180134413727398E-10</c:v>
                </c:pt>
                <c:pt idx="1">
                  <c:v>3.2627770249126501E-10</c:v>
                </c:pt>
                <c:pt idx="2">
                  <c:v>3.77434584703857E-10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9B-44A9-87DA-DA24BB53C3AD}"/>
            </c:ext>
          </c:extLst>
        </c:ser>
        <c:ser>
          <c:idx val="1"/>
          <c:order val="2"/>
          <c:tx>
            <c:v>Alkaline Earth Chlorides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'MFP-PDF_Avg'!$BG$13:$BG$15</c:f>
              <c:numCache>
                <c:formatCode>0.00E+00</c:formatCode>
                <c:ptCount val="3"/>
                <c:pt idx="0">
                  <c:v>4.1630755614832056E-10</c:v>
                </c:pt>
                <c:pt idx="1">
                  <c:v>4.5341331371158696E-10</c:v>
                </c:pt>
              </c:numCache>
            </c:numRef>
          </c:xVal>
          <c:yVal>
            <c:numRef>
              <c:f>'MFP-PDF_Avg'!$BC$13:$BC$15</c:f>
              <c:numCache>
                <c:formatCode>0.00E+00</c:formatCode>
                <c:ptCount val="3"/>
                <c:pt idx="0">
                  <c:v>3.60692293590982E-10</c:v>
                </c:pt>
                <c:pt idx="1">
                  <c:v>3.6083904908456901E-10</c:v>
                </c:pt>
                <c:pt idx="2">
                  <c:v>4.9408906438577101E-10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89B-44A9-87DA-DA24BB53C3AD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'MFP-PDF_Avg'!$BE$18:$BE$20</c:f>
              <c:numCache>
                <c:formatCode>General</c:formatCode>
                <c:ptCount val="3"/>
                <c:pt idx="0" formatCode="0.00E+00">
                  <c:v>1.9229592297768383E-10</c:v>
                </c:pt>
                <c:pt idx="1">
                  <c:v>2.4214980323905345E-10</c:v>
                </c:pt>
                <c:pt idx="2">
                  <c:v>2.3780583138410686E-10</c:v>
                </c:pt>
              </c:numCache>
            </c:numRef>
          </c:xVal>
          <c:yVal>
            <c:numRef>
              <c:f>'MFP-PDF_Avg'!$BB$18:$BB$20</c:f>
              <c:numCache>
                <c:formatCode>0.00E+00</c:formatCode>
                <c:ptCount val="3"/>
                <c:pt idx="0">
                  <c:v>2.06003844994128E-10</c:v>
                </c:pt>
                <c:pt idx="1">
                  <c:v>2.5955250470707202E-10</c:v>
                </c:pt>
                <c:pt idx="2">
                  <c:v>2.4173581555363199E-10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89B-44A9-87DA-DA24BB53C3AD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'MFP-PDF_Avg'!$BE$21:$BE$22</c:f>
              <c:numCache>
                <c:formatCode>General</c:formatCode>
                <c:ptCount val="2"/>
                <c:pt idx="0">
                  <c:v>2.4552541454050528E-10</c:v>
                </c:pt>
                <c:pt idx="1">
                  <c:v>2.7178742571129298E-10</c:v>
                </c:pt>
              </c:numCache>
            </c:numRef>
          </c:xVal>
          <c:yVal>
            <c:numRef>
              <c:f>'MFP-PDF_Avg'!$BB$21:$BB$22</c:f>
              <c:numCache>
                <c:formatCode>0.00E+00</c:formatCode>
                <c:ptCount val="2"/>
                <c:pt idx="0">
                  <c:v>3.1692440673072701E-10</c:v>
                </c:pt>
                <c:pt idx="1">
                  <c:v>3.1692440673072701E-10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89B-44A9-87DA-DA24BB53C3AD}"/>
            </c:ext>
          </c:extLst>
        </c:ser>
        <c:ser>
          <c:idx val="2"/>
          <c:order val="5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'MFP-PDF_Avg'!$BE$23</c:f>
              <c:numCache>
                <c:formatCode>0.00E+00</c:formatCode>
                <c:ptCount val="1"/>
                <c:pt idx="0">
                  <c:v>2.8676430958411341E-10</c:v>
                </c:pt>
              </c:numCache>
            </c:numRef>
          </c:xVal>
          <c:yVal>
            <c:numRef>
              <c:f>'MFP-PDF_Avg'!$BB$23</c:f>
              <c:numCache>
                <c:formatCode>0.00E+00</c:formatCode>
                <c:ptCount val="1"/>
                <c:pt idx="0">
                  <c:v>2.8432800000000002E-10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89B-44A9-87DA-DA24BB53C3AD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9.9999999999999994E-12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9.9999999999999994E-12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E89B-44A9-87DA-DA24BB53C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6.0000000000000031E-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MFP_calc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6.0000000000000031E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PDF-MFP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978933554358339"/>
          <c:y val="4.3650793650793648E-2"/>
          <c:w val="0.47553368328958878"/>
          <c:h val="0.82379640044994373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'MFP-PDF_Avg'!$CA$5:$CA$7</c:f>
              <c:numCache>
                <c:formatCode>0.00E+00</c:formatCode>
                <c:ptCount val="3"/>
                <c:pt idx="0">
                  <c:v>1925042.9096423688</c:v>
                </c:pt>
                <c:pt idx="1">
                  <c:v>1625220.5986843582</c:v>
                </c:pt>
                <c:pt idx="2">
                  <c:v>1237845.5382266261</c:v>
                </c:pt>
              </c:numCache>
            </c:numRef>
          </c:xVal>
          <c:yVal>
            <c:numRef>
              <c:f>'MFP-PDF_Avg'!$BQ$5:$BQ$7</c:f>
              <c:numCache>
                <c:formatCode>0.00E+00</c:formatCode>
                <c:ptCount val="3"/>
                <c:pt idx="0">
                  <c:v>2299027.692598009</c:v>
                </c:pt>
                <c:pt idx="1">
                  <c:v>1849136.7861885792</c:v>
                </c:pt>
                <c:pt idx="2">
                  <c:v>1506961.5069615068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93-4AF8-A525-0059E89C105B}"/>
            </c:ext>
          </c:extLst>
        </c:ser>
        <c:ser>
          <c:idx val="0"/>
          <c:order val="1"/>
          <c:tx>
            <c:v>Pure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'MFP-PDF_Avg'!$CA$8:$CA$10</c:f>
              <c:numCache>
                <c:formatCode>0.00E+00</c:formatCode>
                <c:ptCount val="3"/>
                <c:pt idx="0">
                  <c:v>4464887.5301311519</c:v>
                </c:pt>
                <c:pt idx="1">
                  <c:v>3464999.4992434615</c:v>
                </c:pt>
                <c:pt idx="2">
                  <c:v>2160812.6235438231</c:v>
                </c:pt>
              </c:numCache>
            </c:numRef>
          </c:xVal>
          <c:yVal>
            <c:numRef>
              <c:f>'MFP-PDF_Avg'!$BQ$8:$BQ$10</c:f>
              <c:numCache>
                <c:formatCode>0.00E+00</c:formatCode>
                <c:ptCount val="3"/>
                <c:pt idx="0">
                  <c:v>4521126.760563381</c:v>
                </c:pt>
                <c:pt idx="1">
                  <c:v>3250000</c:v>
                </c:pt>
                <c:pt idx="2">
                  <c:v>2200657.8947368423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93-4AF8-A525-0059E89C105B}"/>
            </c:ext>
          </c:extLst>
        </c:ser>
        <c:ser>
          <c:idx val="1"/>
          <c:order val="2"/>
          <c:tx>
            <c:v>Alkaline Earth Chlorides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'MFP-PDF_Avg'!$CA$13:$CA$15</c:f>
              <c:numCache>
                <c:formatCode>0.00E+00</c:formatCode>
                <c:ptCount val="3"/>
                <c:pt idx="0">
                  <c:v>1397058.9038032352</c:v>
                </c:pt>
                <c:pt idx="1">
                  <c:v>1745918.4924993953</c:v>
                </c:pt>
              </c:numCache>
            </c:numRef>
          </c:xVal>
          <c:yVal>
            <c:numRef>
              <c:f>'MFP-PDF_Avg'!$BQ$13:$BQ$15</c:f>
              <c:numCache>
                <c:formatCode>0.00E+00</c:formatCode>
                <c:ptCount val="3"/>
                <c:pt idx="0">
                  <c:v>1628871.8794256966</c:v>
                </c:pt>
                <c:pt idx="1">
                  <c:v>1928974.5850302745</c:v>
                </c:pt>
                <c:pt idx="2">
                  <c:v>1799756.6027023955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B93-4AF8-A525-0059E89C105B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'MFP-PDF_Avg'!$BX$18:$BX$20</c:f>
              <c:numCache>
                <c:formatCode>General</c:formatCode>
                <c:ptCount val="3"/>
                <c:pt idx="0">
                  <c:v>4450276.1321810596</c:v>
                </c:pt>
                <c:pt idx="1">
                  <c:v>3738404.7815810372</c:v>
                </c:pt>
                <c:pt idx="2">
                  <c:v>4124321.9271379304</c:v>
                </c:pt>
              </c:numCache>
            </c:numRef>
          </c:xVal>
          <c:yVal>
            <c:numRef>
              <c:f>'MFP-PDF_Avg'!$BQ$18:$BQ$20</c:f>
              <c:numCache>
                <c:formatCode>0.00E+00</c:formatCode>
                <c:ptCount val="3"/>
                <c:pt idx="0">
                  <c:v>4323157.1595853949</c:v>
                </c:pt>
                <c:pt idx="1">
                  <c:v>3402318.9027080508</c:v>
                </c:pt>
                <c:pt idx="2">
                  <c:v>4192480.558023226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B93-4AF8-A525-0059E89C105B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'MFP-PDF_Avg'!$BX$21:$BX$22</c:f>
              <c:numCache>
                <c:formatCode>General</c:formatCode>
                <c:ptCount val="2"/>
                <c:pt idx="0">
                  <c:v>1670541.5762349977</c:v>
                </c:pt>
                <c:pt idx="1">
                  <c:v>1843595.9152489989</c:v>
                </c:pt>
              </c:numCache>
            </c:numRef>
          </c:xVal>
          <c:yVal>
            <c:numRef>
              <c:f>'MFP-PDF_Avg'!$BQ$21:$BQ$22</c:f>
              <c:numCache>
                <c:formatCode>0.00E+00</c:formatCode>
                <c:ptCount val="2"/>
                <c:pt idx="0">
                  <c:v>2156336.4385642763</c:v>
                </c:pt>
                <c:pt idx="1">
                  <c:v>2149770.3220167966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B93-4AF8-A525-0059E89C105B}"/>
            </c:ext>
          </c:extLst>
        </c:ser>
        <c:ser>
          <c:idx val="2"/>
          <c:order val="5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'MFP-PDF_Avg'!$BX$23</c:f>
              <c:numCache>
                <c:formatCode>General</c:formatCode>
                <c:ptCount val="1"/>
                <c:pt idx="0">
                  <c:v>4218973.6676481161</c:v>
                </c:pt>
              </c:numCache>
            </c:numRef>
          </c:xVal>
          <c:yVal>
            <c:numRef>
              <c:f>'MFP-PDF_Avg'!$BQ$23</c:f>
              <c:numCache>
                <c:formatCode>0.00E+00</c:formatCode>
                <c:ptCount val="1"/>
                <c:pt idx="0">
                  <c:v>4183129.8557158709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B93-4AF8-A525-0059E89C105B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.000000000000001E-2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7000000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7000000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6B93-4AF8-A525-0059E89C1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70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C_p,calc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E+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  <c:majorUnit val="1000000"/>
      </c:valAx>
      <c:valAx>
        <c:axId val="689706896"/>
        <c:scaling>
          <c:orientation val="minMax"/>
          <c:max val="7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C_p,measured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635608048993876E-2"/>
              <c:y val="0.305791776027996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67928926647326981"/>
          <c:y val="0.28199183435403907"/>
          <c:w val="0.30383133029423953"/>
          <c:h val="0.575234762321376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95460239568026"/>
          <c:y val="2.9761956838728492E-2"/>
          <c:w val="0.48245913339779894"/>
          <c:h val="0.82313502478856815"/>
        </c:manualLayout>
      </c:layout>
      <c:scatterChart>
        <c:scatterStyle val="lineMarker"/>
        <c:varyColors val="0"/>
        <c:ser>
          <c:idx val="4"/>
          <c:order val="0"/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'MFP-PDF_Avg'!$AP$5:$AP$7</c:f>
              <c:numCache>
                <c:formatCode>General</c:formatCode>
                <c:ptCount val="3"/>
                <c:pt idx="0">
                  <c:v>2.927136541E-10</c:v>
                </c:pt>
                <c:pt idx="1">
                  <c:v>3.1580623349999998E-10</c:v>
                </c:pt>
                <c:pt idx="2">
                  <c:v>3.5060205590000002E-10</c:v>
                </c:pt>
              </c:numCache>
            </c:numRef>
          </c:xVal>
          <c:yVal>
            <c:numRef>
              <c:f>'MFP-PDF_Avg'!$CD$5:$CD$7</c:f>
              <c:numCache>
                <c:formatCode>0.00E+00</c:formatCode>
                <c:ptCount val="3"/>
                <c:pt idx="0">
                  <c:v>1961303757.1305401</c:v>
                </c:pt>
                <c:pt idx="1">
                  <c:v>2635440131.8514771</c:v>
                </c:pt>
                <c:pt idx="2">
                  <c:v>2205762723.7573934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79-401C-A631-9A0BFE036313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'MFP-PDF_Avg'!$AP$8:$AP$10</c:f>
              <c:numCache>
                <c:formatCode>General</c:formatCode>
                <c:ptCount val="3"/>
                <c:pt idx="0">
                  <c:v>2.3551445219999998E-10</c:v>
                </c:pt>
                <c:pt idx="1">
                  <c:v>2.6496648079999998E-10</c:v>
                </c:pt>
                <c:pt idx="2">
                  <c:v>3.0052360800000003E-10</c:v>
                </c:pt>
              </c:numCache>
            </c:numRef>
          </c:xVal>
          <c:yVal>
            <c:numRef>
              <c:f>'MFP-PDF_Avg'!$CD$8:$CD$10</c:f>
              <c:numCache>
                <c:formatCode>0.00E+00</c:formatCode>
                <c:ptCount val="3"/>
                <c:pt idx="0">
                  <c:v>2197146030.5161104</c:v>
                </c:pt>
                <c:pt idx="1">
                  <c:v>2745105769.7939444</c:v>
                </c:pt>
                <c:pt idx="2">
                  <c:v>2569749634.2140079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79-401C-A631-9A0BFE036313}"/>
            </c:ext>
          </c:extLst>
        </c:ser>
        <c:ser>
          <c:idx val="1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'MFP-PDF_Avg'!$AP$13:$AP$15</c:f>
              <c:numCache>
                <c:formatCode>General</c:formatCode>
                <c:ptCount val="3"/>
                <c:pt idx="0">
                  <c:v>2.9252666850000001E-10</c:v>
                </c:pt>
                <c:pt idx="1">
                  <c:v>3.0154839680000001E-10</c:v>
                </c:pt>
                <c:pt idx="2">
                  <c:v>3.2712108429999999E-10</c:v>
                </c:pt>
              </c:numCache>
            </c:numRef>
          </c:xVal>
          <c:yVal>
            <c:numRef>
              <c:f>'MFP-PDF_Avg'!$CD$13:$CD$15</c:f>
              <c:numCache>
                <c:formatCode>0.00E+00</c:formatCode>
                <c:ptCount val="3"/>
                <c:pt idx="0">
                  <c:v>1617409747.5848701</c:v>
                </c:pt>
                <c:pt idx="1">
                  <c:v>1283421056.6482842</c:v>
                </c:pt>
                <c:pt idx="2">
                  <c:v>1351317495.4836404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E79-401C-A631-9A0BFE036313}"/>
            </c:ext>
          </c:extLst>
        </c:ser>
        <c:ser>
          <c:idx val="5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'MFP-PDF_Avg'!$AP$18:$AP$20</c:f>
              <c:numCache>
                <c:formatCode>General</c:formatCode>
                <c:ptCount val="3"/>
                <c:pt idx="0">
                  <c:v>2.090905522E-10</c:v>
                </c:pt>
                <c:pt idx="1">
                  <c:v>2.6189981379999998E-10</c:v>
                </c:pt>
                <c:pt idx="2">
                  <c:v>2.1702517760000003E-10</c:v>
                </c:pt>
              </c:numCache>
            </c:numRef>
          </c:xVal>
          <c:yVal>
            <c:numRef>
              <c:f>'MFP-PDF_Avg'!$CD$18:$CD$20</c:f>
              <c:numCache>
                <c:formatCode>0.00E+00</c:formatCode>
                <c:ptCount val="3"/>
                <c:pt idx="0">
                  <c:v>260835447.80480725</c:v>
                </c:pt>
                <c:pt idx="1">
                  <c:v>352486078.0476563</c:v>
                </c:pt>
                <c:pt idx="2">
                  <c:v>1184747534.927346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E79-401C-A631-9A0BFE036313}"/>
            </c:ext>
          </c:extLst>
        </c:ser>
        <c:ser>
          <c:idx val="6"/>
          <c:order val="4"/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'MFP-PDF_Avg'!$AP$21:$AP$22</c:f>
              <c:numCache>
                <c:formatCode>General</c:formatCode>
                <c:ptCount val="2"/>
                <c:pt idx="0">
                  <c:v>3.0068514500000001E-10</c:v>
                </c:pt>
                <c:pt idx="1">
                  <c:v>3.0068514500000001E-10</c:v>
                </c:pt>
              </c:numCache>
            </c:numRef>
          </c:xVal>
          <c:yVal>
            <c:numRef>
              <c:f>'MFP-PDF_Avg'!$CD$21:$CD$22</c:f>
              <c:numCache>
                <c:formatCode>0.00E+00</c:formatCode>
                <c:ptCount val="2"/>
                <c:pt idx="0">
                  <c:v>540202773.11765659</c:v>
                </c:pt>
                <c:pt idx="1">
                  <c:v>727297673.99028981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E79-401C-A631-9A0BFE036313}"/>
            </c:ext>
          </c:extLst>
        </c:ser>
        <c:ser>
          <c:idx val="2"/>
          <c:order val="5"/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'MFP-PDF_Avg'!$BE$23</c:f>
              <c:numCache>
                <c:formatCode>0.00E+00</c:formatCode>
                <c:ptCount val="1"/>
                <c:pt idx="0">
                  <c:v>2.8676430958411341E-10</c:v>
                </c:pt>
              </c:numCache>
            </c:numRef>
          </c:xVal>
          <c:yVal>
            <c:numRef>
              <c:f>'MFP-PDF_Avg'!$CD$23</c:f>
              <c:numCache>
                <c:formatCode>0.00E+00</c:formatCode>
                <c:ptCount val="1"/>
                <c:pt idx="0">
                  <c:v>782362253.20691574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E79-401C-A631-9A0BFE036313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9.9999999999999994E-12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9.9999999999999994E-12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5E79-401C-A631-9A0BFE0363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5.0000000000000024E-10"/>
          <c:min val="1.0000000000000006E-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MFPcalc_salt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baseline="0">
                    <a:effectLst/>
                  </a:rPr>
                  <a:t>Visc/(Dens*C0)</a:t>
                </a:r>
                <a:endParaRPr lang="en-US" sz="7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95460239568026"/>
          <c:y val="2.9761956838728492E-2"/>
          <c:w val="0.48245913339779894"/>
          <c:h val="0.82313502478856815"/>
        </c:manualLayout>
      </c:layout>
      <c:scatterChart>
        <c:scatterStyle val="lineMarker"/>
        <c:varyColors val="0"/>
        <c:ser>
          <c:idx val="4"/>
          <c:order val="0"/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'MFP-PDF_Avg'!$BB$5:$BB$7</c:f>
              <c:numCache>
                <c:formatCode>0.00E+00</c:formatCode>
                <c:ptCount val="3"/>
                <c:pt idx="0">
                  <c:v>3.0056447474785299E-10</c:v>
                </c:pt>
                <c:pt idx="1">
                  <c:v>3.3400223720324102E-10</c:v>
                </c:pt>
                <c:pt idx="2">
                  <c:v>3.6182029353950698E-10</c:v>
                </c:pt>
              </c:numCache>
            </c:numRef>
          </c:xVal>
          <c:yVal>
            <c:numRef>
              <c:f>'MFP-PDF_Avg'!$CD$5:$CD$7</c:f>
              <c:numCache>
                <c:formatCode>0.00E+00</c:formatCode>
                <c:ptCount val="3"/>
                <c:pt idx="0">
                  <c:v>1961303757.1305401</c:v>
                </c:pt>
                <c:pt idx="1">
                  <c:v>2635440131.8514771</c:v>
                </c:pt>
                <c:pt idx="2">
                  <c:v>2205762723.7573934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FD-4F93-A06C-777FE97BF491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'MFP-PDF_Avg'!$BB$8:$BB$10</c:f>
              <c:numCache>
                <c:formatCode>0.00E+00</c:formatCode>
                <c:ptCount val="3"/>
                <c:pt idx="0">
                  <c:v>2.3591537099888599E-10</c:v>
                </c:pt>
                <c:pt idx="1">
                  <c:v>2.7110331264484899E-10</c:v>
                </c:pt>
                <c:pt idx="2">
                  <c:v>3.1522574455637898E-10</c:v>
                </c:pt>
              </c:numCache>
            </c:numRef>
          </c:xVal>
          <c:yVal>
            <c:numRef>
              <c:f>'MFP-PDF_Avg'!$CD$8:$CD$10</c:f>
              <c:numCache>
                <c:formatCode>0.00E+00</c:formatCode>
                <c:ptCount val="3"/>
                <c:pt idx="0">
                  <c:v>2197146030.5161104</c:v>
                </c:pt>
                <c:pt idx="1">
                  <c:v>2745105769.7939444</c:v>
                </c:pt>
                <c:pt idx="2">
                  <c:v>2569749634.2140079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FD-4F93-A06C-777FE97BF491}"/>
            </c:ext>
          </c:extLst>
        </c:ser>
        <c:ser>
          <c:idx val="1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'MFP-PDF_Avg'!$BB$13:$BB$15</c:f>
              <c:numCache>
                <c:formatCode>0.00E+00</c:formatCode>
                <c:ptCount val="3"/>
                <c:pt idx="0">
                  <c:v>3.08759615447175E-10</c:v>
                </c:pt>
                <c:pt idx="1">
                  <c:v>3.3211022612034601E-10</c:v>
                </c:pt>
                <c:pt idx="2">
                  <c:v>4.2994626258483001E-10</c:v>
                </c:pt>
              </c:numCache>
            </c:numRef>
          </c:xVal>
          <c:yVal>
            <c:numRef>
              <c:f>'MFP-PDF_Avg'!$CD$13:$CD$15</c:f>
              <c:numCache>
                <c:formatCode>0.00E+00</c:formatCode>
                <c:ptCount val="3"/>
                <c:pt idx="0">
                  <c:v>1617409747.5848701</c:v>
                </c:pt>
                <c:pt idx="1">
                  <c:v>1283421056.6482842</c:v>
                </c:pt>
                <c:pt idx="2">
                  <c:v>1351317495.4836404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FD-4F93-A06C-777FE97BF491}"/>
            </c:ext>
          </c:extLst>
        </c:ser>
        <c:ser>
          <c:idx val="5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'MFP-PDF_Avg'!$BB$18:$BB$20</c:f>
              <c:numCache>
                <c:formatCode>0.00E+00</c:formatCode>
                <c:ptCount val="3"/>
                <c:pt idx="0">
                  <c:v>2.06003844994128E-10</c:v>
                </c:pt>
                <c:pt idx="1">
                  <c:v>2.5955250470707202E-10</c:v>
                </c:pt>
                <c:pt idx="2">
                  <c:v>2.4173581555363199E-10</c:v>
                </c:pt>
              </c:numCache>
            </c:numRef>
          </c:xVal>
          <c:yVal>
            <c:numRef>
              <c:f>'MFP-PDF_Avg'!$CD$18:$CD$20</c:f>
              <c:numCache>
                <c:formatCode>0.00E+00</c:formatCode>
                <c:ptCount val="3"/>
                <c:pt idx="0">
                  <c:v>260835447.80480725</c:v>
                </c:pt>
                <c:pt idx="1">
                  <c:v>352486078.0476563</c:v>
                </c:pt>
                <c:pt idx="2">
                  <c:v>1184747534.927346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FD-4F93-A06C-777FE97BF491}"/>
            </c:ext>
          </c:extLst>
        </c:ser>
        <c:ser>
          <c:idx val="6"/>
          <c:order val="4"/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'MFP-PDF_Avg'!$BB$21:$BB$22</c:f>
              <c:numCache>
                <c:formatCode>0.00E+00</c:formatCode>
                <c:ptCount val="2"/>
                <c:pt idx="0">
                  <c:v>3.1692440673072701E-10</c:v>
                </c:pt>
                <c:pt idx="1">
                  <c:v>3.1692440673072701E-10</c:v>
                </c:pt>
              </c:numCache>
            </c:numRef>
          </c:xVal>
          <c:yVal>
            <c:numRef>
              <c:f>'MFP-PDF_Avg'!$CD$21:$CD$22</c:f>
              <c:numCache>
                <c:formatCode>0.00E+00</c:formatCode>
                <c:ptCount val="2"/>
                <c:pt idx="0">
                  <c:v>540202773.11765659</c:v>
                </c:pt>
                <c:pt idx="1">
                  <c:v>727297673.99028981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FD-4F93-A06C-777FE97BF491}"/>
            </c:ext>
          </c:extLst>
        </c:ser>
        <c:ser>
          <c:idx val="2"/>
          <c:order val="5"/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'MFP-PDF_Avg'!$BB$23</c:f>
              <c:numCache>
                <c:formatCode>0.00E+00</c:formatCode>
                <c:ptCount val="1"/>
                <c:pt idx="0">
                  <c:v>2.8432800000000002E-10</c:v>
                </c:pt>
              </c:numCache>
            </c:numRef>
          </c:xVal>
          <c:yVal>
            <c:numRef>
              <c:f>'MFP-PDF_Avg'!$CD$23</c:f>
              <c:numCache>
                <c:formatCode>0.00E+00</c:formatCode>
                <c:ptCount val="1"/>
                <c:pt idx="0">
                  <c:v>782362253.20691574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FD-4F93-A06C-777FE97BF491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9.9999999999999994E-12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9.9999999999999994E-12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E2FD-4F93-A06C-777FE97BF4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PDF_MFP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baseline="0">
                    <a:effectLst/>
                  </a:rPr>
                  <a:t>Visc/(Dens*C0)</a:t>
                </a:r>
                <a:endParaRPr lang="en-US" sz="700">
                  <a:effectLst/>
                </a:endParaRP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PDF-distributed MFP</a:t>
            </a:r>
          </a:p>
        </c:rich>
      </c:tx>
      <c:layout>
        <c:manualLayout>
          <c:xMode val="edge"/>
          <c:yMode val="edge"/>
          <c:x val="0.11481638647246525"/>
          <c:y val="6.09248473004130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66593759113446"/>
          <c:y val="5.9523809523809521E-2"/>
          <c:w val="0.56891659375911341"/>
          <c:h val="0.77617745698454343"/>
        </c:manualLayout>
      </c:layout>
      <c:scatterChart>
        <c:scatterStyle val="lineMarker"/>
        <c:varyColors val="0"/>
        <c:ser>
          <c:idx val="4"/>
          <c:order val="0"/>
          <c:tx>
            <c:v>Unary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'MFP-PDF_Avg'!$AO$5:$AO$7</c:f>
              <c:numCache>
                <c:formatCode>General</c:formatCode>
                <c:ptCount val="3"/>
                <c:pt idx="0">
                  <c:v>0.467412663978306</c:v>
                </c:pt>
                <c:pt idx="1">
                  <c:v>0.346144472817148</c:v>
                </c:pt>
                <c:pt idx="2">
                  <c:v>0.28781059971565698</c:v>
                </c:pt>
              </c:numCache>
            </c:numRef>
          </c:xVal>
          <c:yVal>
            <c:numRef>
              <c:f>'MFP-PDF_Avg'!$AK$5:$AK$7</c:f>
              <c:numCache>
                <c:formatCode>General</c:formatCode>
                <c:ptCount val="3"/>
                <c:pt idx="0">
                  <c:v>0.62171538406412596</c:v>
                </c:pt>
                <c:pt idx="1">
                  <c:v>0.47705461868503202</c:v>
                </c:pt>
                <c:pt idx="2">
                  <c:v>0.36559719352224501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82-490F-9B05-FC8FFF327585}"/>
            </c:ext>
          </c:extLst>
        </c:ser>
        <c:ser>
          <c:idx val="1"/>
          <c:order val="1"/>
          <c:tx>
            <c:v>Unary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'MFP-PDF_Avg'!$AO$8:$AO$10</c:f>
              <c:numCache>
                <c:formatCode>General</c:formatCode>
                <c:ptCount val="3"/>
                <c:pt idx="0">
                  <c:v>0.90368250947301099</c:v>
                </c:pt>
                <c:pt idx="1">
                  <c:v>0.59812175800891498</c:v>
                </c:pt>
                <c:pt idx="2">
                  <c:v>0.40376310518547798</c:v>
                </c:pt>
              </c:numCache>
            </c:numRef>
          </c:xVal>
          <c:yVal>
            <c:numRef>
              <c:f>'MFP-PDF_Avg'!$AK$8:$AK$10</c:f>
              <c:numCache>
                <c:formatCode>General</c:formatCode>
                <c:ptCount val="3"/>
                <c:pt idx="0">
                  <c:v>1.2682350574951</c:v>
                </c:pt>
                <c:pt idx="1">
                  <c:v>0.90547800000000001</c:v>
                </c:pt>
                <c:pt idx="2">
                  <c:v>0.56768789999999902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82-490F-9B05-FC8FFF327585}"/>
            </c:ext>
          </c:extLst>
        </c:ser>
        <c:ser>
          <c:idx val="7"/>
          <c:order val="2"/>
          <c:tx>
            <c:v>Unary Alkaline Earth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2516289552532384"/>
                  <c:y val="-6.056755208039085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MgCl2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6FEC-493A-BA17-1856207F2F7C}"/>
                </c:ext>
              </c:extLst>
            </c:dLbl>
            <c:dLbl>
              <c:idx val="1"/>
              <c:layout>
                <c:manualLayout>
                  <c:x val="4.1720965175107892E-2"/>
                  <c:y val="-9.3180849354447485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CaCl2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6FEC-493A-BA17-1856207F2F7C}"/>
                </c:ext>
              </c:extLst>
            </c:dLbl>
            <c:dLbl>
              <c:idx val="2"/>
              <c:layout>
                <c:manualLayout>
                  <c:x val="2.3468042910998171E-2"/>
                  <c:y val="1.397712740316712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SrCl2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6FEC-493A-BA17-1856207F2F7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'MFP-PDF_Avg'!$AO$13:$AO$15</c:f>
              <c:numCache>
                <c:formatCode>General</c:formatCode>
                <c:ptCount val="3"/>
                <c:pt idx="0">
                  <c:v>0.33370075449931302</c:v>
                </c:pt>
                <c:pt idx="1">
                  <c:v>0.40039499504213499</c:v>
                </c:pt>
                <c:pt idx="2">
                  <c:v>0.36759447686851399</c:v>
                </c:pt>
              </c:numCache>
            </c:numRef>
          </c:xVal>
          <c:yVal>
            <c:numRef>
              <c:f>'MFP-PDF_Avg'!$AK$13:$AK$15</c:f>
              <c:numCache>
                <c:formatCode>General</c:formatCode>
                <c:ptCount val="3"/>
                <c:pt idx="0">
                  <c:v>0.46200000000000002</c:v>
                </c:pt>
                <c:pt idx="1">
                  <c:v>0.44782499999999897</c:v>
                </c:pt>
                <c:pt idx="2">
                  <c:v>0.380772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A82-490F-9B05-FC8FFF327585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2.6223583095411101E-2"/>
                  <c:y val="1.860240293244178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FLiBe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4A82-490F-9B05-FC8FFF327585}"/>
                </c:ext>
              </c:extLst>
            </c:dLbl>
            <c:dLbl>
              <c:idx val="1"/>
              <c:layout>
                <c:manualLayout>
                  <c:x val="2.8845941404952211E-2"/>
                  <c:y val="2.325300366555223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FLiNaK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4A82-490F-9B05-FC8FFF32758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A82-490F-9B05-FC8FFF3275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'MFP-PDF_Avg'!$AO$18:$AO$20</c:f>
              <c:numCache>
                <c:formatCode>General</c:formatCode>
                <c:ptCount val="3"/>
                <c:pt idx="0">
                  <c:v>1.28305844543897</c:v>
                </c:pt>
                <c:pt idx="1">
                  <c:v>0.85046707066330796</c:v>
                </c:pt>
                <c:pt idx="2">
                  <c:v>0.73223097949286997</c:v>
                </c:pt>
              </c:numCache>
            </c:numRef>
          </c:xVal>
          <c:yVal>
            <c:numRef>
              <c:f>('MFP-PDF_Avg'!$AK$18,'MFP-PDF_Avg'!$AK$19,'MFP-PDF_Avg'!$AK$20)</c:f>
              <c:numCache>
                <c:formatCode>General</c:formatCode>
                <c:ptCount val="3"/>
                <c:pt idx="0">
                  <c:v>1.18</c:v>
                </c:pt>
                <c:pt idx="1">
                  <c:v>0.78633287605038305</c:v>
                </c:pt>
                <c:pt idx="2">
                  <c:v>0.86544945017474995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A82-490F-9B05-FC8FFF327585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8.5943333609889649E-2"/>
                  <c:y val="0.104994167395742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E0BA487-CCDC-4FE7-BE25-673E4F54B5AB}" type="CELLREF">
                      <a:rPr lang="en-US"/>
                      <a:pPr>
                        <a:defRPr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597216460632209"/>
                      <c:h val="0.11182086614173228"/>
                    </c:manualLayout>
                  </c15:layout>
                  <c15:dlblFieldTable>
                    <c15:dlblFTEntry>
                      <c15:txfldGUID>{4E0BA487-CCDC-4FE7-BE25-673E4F54B5AB}</c15:txfldGUID>
                      <c15:f>'MFP-PDF_Avg'!$A$21</c15:f>
                      <c15:dlblFieldTableCache>
                        <c:ptCount val="1"/>
                        <c:pt idx="0">
                          <c:v>0.63NaCl-0.37UCl3 (ORNL)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4A82-490F-9B05-FC8FFF327585}"/>
                </c:ext>
              </c:extLst>
            </c:dLbl>
            <c:dLbl>
              <c:idx val="1"/>
              <c:layout>
                <c:manualLayout>
                  <c:x val="3.1089929548280139E-2"/>
                  <c:y val="1.568788276465432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48043BA-4F93-455A-BDFD-BB5447868CFE}" type="CELLREF">
                      <a:rPr lang="en-US"/>
                      <a:pPr>
                        <a:defRPr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342772942855827"/>
                      <c:h val="9.7931758530183724E-2"/>
                    </c:manualLayout>
                  </c15:layout>
                  <c15:dlblFieldTable>
                    <c15:dlblFTEntry>
                      <c15:txfldGUID>{F48043BA-4F93-455A-BDFD-BB5447868CFE}</c15:txfldGUID>
                      <c15:f>'MFP-PDF_Avg'!$A$22</c15:f>
                      <c15:dlblFieldTableCache>
                        <c:ptCount val="1"/>
                        <c:pt idx="0">
                          <c:v>0.658NaCl-0.342UCl3 (ANL)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4A82-490F-9B05-FC8FFF3275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'MFP-PDF_Avg'!$AO$21:$AO$22</c:f>
              <c:numCache>
                <c:formatCode>General</c:formatCode>
                <c:ptCount val="2"/>
                <c:pt idx="0">
                  <c:v>0.29301529878909899</c:v>
                </c:pt>
                <c:pt idx="1">
                  <c:v>0.316517898560285</c:v>
                </c:pt>
              </c:numCache>
            </c:numRef>
          </c:xVal>
          <c:yVal>
            <c:numRef>
              <c:f>'MFP-PDF_Avg'!$AK$21:$AK$22</c:f>
              <c:numCache>
                <c:formatCode>General</c:formatCode>
                <c:ptCount val="2"/>
                <c:pt idx="0">
                  <c:v>0.239262577144952</c:v>
                </c:pt>
                <c:pt idx="1">
                  <c:v>0.27567442291687039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A82-490F-9B05-FC8FFF327585}"/>
            </c:ext>
          </c:extLst>
        </c:ser>
        <c:ser>
          <c:idx val="2"/>
          <c:order val="5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'MFP-PDF_Avg'!$AS$23</c:f>
              <c:numCache>
                <c:formatCode>0.000000</c:formatCode>
                <c:ptCount val="1"/>
                <c:pt idx="0">
                  <c:v>0.55623382223307438</c:v>
                </c:pt>
              </c:numCache>
            </c:numRef>
          </c:xVal>
          <c:yVal>
            <c:numRef>
              <c:f>'MFP-PDF_Avg'!$AK$23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A82-490F-9B05-FC8FFF327585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C-4A82-490F-9B05-FC8FFF327585}"/>
            </c:ext>
          </c:extLst>
        </c:ser>
        <c:ser>
          <c:idx val="0"/>
          <c:order val="7"/>
          <c:tx>
            <c:v>Fit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3046501013355431"/>
                  <c:y val="0.8070580457994880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'MFP-PDF_Avg'!$AO$5:$AO$23</c:f>
              <c:numCache>
                <c:formatCode>General</c:formatCode>
                <c:ptCount val="19"/>
                <c:pt idx="0">
                  <c:v>0.467412663978306</c:v>
                </c:pt>
                <c:pt idx="1">
                  <c:v>0.346144472817148</c:v>
                </c:pt>
                <c:pt idx="2">
                  <c:v>0.28781059971565698</c:v>
                </c:pt>
                <c:pt idx="3">
                  <c:v>0.90368250947301099</c:v>
                </c:pt>
                <c:pt idx="4">
                  <c:v>0.59812175800891498</c:v>
                </c:pt>
                <c:pt idx="5">
                  <c:v>0.40376310518547798</c:v>
                </c:pt>
                <c:pt idx="8">
                  <c:v>0.33370075449931302</c:v>
                </c:pt>
                <c:pt idx="9">
                  <c:v>0.40039499504213499</c:v>
                </c:pt>
                <c:pt idx="10">
                  <c:v>0.36759447686851399</c:v>
                </c:pt>
                <c:pt idx="11">
                  <c:v>0.54571904518309799</c:v>
                </c:pt>
                <c:pt idx="13">
                  <c:v>1.28305844543897</c:v>
                </c:pt>
                <c:pt idx="14">
                  <c:v>0.85046707066330796</c:v>
                </c:pt>
                <c:pt idx="15">
                  <c:v>0.73223097949286997</c:v>
                </c:pt>
                <c:pt idx="16">
                  <c:v>0.29301529878909899</c:v>
                </c:pt>
                <c:pt idx="17">
                  <c:v>0.316517898560285</c:v>
                </c:pt>
              </c:numCache>
            </c:numRef>
          </c:xVal>
          <c:yVal>
            <c:numRef>
              <c:f>'MFP-PDF_Avg'!$AK$5:$AK$23</c:f>
              <c:numCache>
                <c:formatCode>General</c:formatCode>
                <c:ptCount val="19"/>
                <c:pt idx="0">
                  <c:v>0.62171538406412596</c:v>
                </c:pt>
                <c:pt idx="1">
                  <c:v>0.47705461868503202</c:v>
                </c:pt>
                <c:pt idx="2">
                  <c:v>0.36559719352224501</c:v>
                </c:pt>
                <c:pt idx="3">
                  <c:v>1.2682350574951</c:v>
                </c:pt>
                <c:pt idx="4">
                  <c:v>0.90547800000000001</c:v>
                </c:pt>
                <c:pt idx="5">
                  <c:v>0.56768789999999902</c:v>
                </c:pt>
                <c:pt idx="8">
                  <c:v>0.46200000000000002</c:v>
                </c:pt>
                <c:pt idx="9">
                  <c:v>0.44782499999999897</c:v>
                </c:pt>
                <c:pt idx="10">
                  <c:v>0.380772</c:v>
                </c:pt>
                <c:pt idx="11">
                  <c:v>0.59593560000000001</c:v>
                </c:pt>
                <c:pt idx="12">
                  <c:v>0.14599400000000001</c:v>
                </c:pt>
                <c:pt idx="13">
                  <c:v>1.18</c:v>
                </c:pt>
                <c:pt idx="14">
                  <c:v>0.78633287605038305</c:v>
                </c:pt>
                <c:pt idx="15">
                  <c:v>0.86544945017474995</c:v>
                </c:pt>
                <c:pt idx="16">
                  <c:v>0.239262577144952</c:v>
                </c:pt>
                <c:pt idx="17">
                  <c:v>0.27567442291687039</c:v>
                </c:pt>
                <c:pt idx="18" formatCode="0.0000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4A82-490F-9B05-FC8FFF327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.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_predicted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  <c:majorUnit val="0.2"/>
      </c:valAx>
      <c:valAx>
        <c:axId val="689706896"/>
        <c:scaling>
          <c:orientation val="minMax"/>
          <c:max val="1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  <c:minorUnit val="4.0000000000000008E-2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0.71601650001853678"/>
          <c:y val="0.1836945902595509"/>
          <c:w val="0.27876831990781964"/>
          <c:h val="0.763893263342082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Distributed</a:t>
            </a:r>
            <a:r>
              <a:rPr lang="en-US" sz="1100" baseline="0"/>
              <a:t> MFP, f</a:t>
            </a:r>
            <a:r>
              <a:rPr lang="en-US" sz="1100"/>
              <a:t>ast</a:t>
            </a:r>
            <a:r>
              <a:rPr lang="en-US" sz="1100" baseline="0"/>
              <a:t> sound for unary salts</a:t>
            </a:r>
            <a:endParaRPr lang="en-US" sz="1100"/>
          </a:p>
        </c:rich>
      </c:tx>
      <c:layout>
        <c:manualLayout>
          <c:xMode val="edge"/>
          <c:yMode val="edge"/>
          <c:x val="0.1105778658100407"/>
          <c:y val="1.85581753782770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66593759113446"/>
          <c:y val="5.9523809523809521E-2"/>
          <c:w val="0.56891659375911341"/>
          <c:h val="0.77617745698454343"/>
        </c:manualLayout>
      </c:layout>
      <c:scatterChart>
        <c:scatterStyle val="lineMarker"/>
        <c:varyColors val="0"/>
        <c:ser>
          <c:idx val="4"/>
          <c:order val="0"/>
          <c:tx>
            <c:v>Unary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'MFP-PDF_Avg'!$AN$5:$AN$7</c:f>
              <c:numCache>
                <c:formatCode>General</c:formatCode>
                <c:ptCount val="3"/>
                <c:pt idx="0">
                  <c:v>0.78670723632944894</c:v>
                </c:pt>
                <c:pt idx="1">
                  <c:v>0.53084165353214496</c:v>
                </c:pt>
                <c:pt idx="2">
                  <c:v>0.41602860665791702</c:v>
                </c:pt>
              </c:numCache>
            </c:numRef>
          </c:xVal>
          <c:yVal>
            <c:numRef>
              <c:f>'MFP-PDF_Avg'!$AK$5:$AK$7</c:f>
              <c:numCache>
                <c:formatCode>General</c:formatCode>
                <c:ptCount val="3"/>
                <c:pt idx="0">
                  <c:v>0.62171538406412596</c:v>
                </c:pt>
                <c:pt idx="1">
                  <c:v>0.47705461868503202</c:v>
                </c:pt>
                <c:pt idx="2">
                  <c:v>0.36559719352224501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79-4E04-AEE4-F29336A67187}"/>
            </c:ext>
          </c:extLst>
        </c:ser>
        <c:ser>
          <c:idx val="1"/>
          <c:order val="1"/>
          <c:tx>
            <c:v>Unary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'MFP-PDF_Avg'!$AN$8:$AN$10</c:f>
              <c:numCache>
                <c:formatCode>General</c:formatCode>
                <c:ptCount val="3"/>
                <c:pt idx="0">
                  <c:v>1.22987712739888</c:v>
                </c:pt>
                <c:pt idx="1">
                  <c:v>0.78264084714836502</c:v>
                </c:pt>
                <c:pt idx="2">
                  <c:v>0.51980918395456199</c:v>
                </c:pt>
              </c:numCache>
            </c:numRef>
          </c:xVal>
          <c:yVal>
            <c:numRef>
              <c:f>'MFP-PDF_Avg'!$AK$8:$AK$10</c:f>
              <c:numCache>
                <c:formatCode>General</c:formatCode>
                <c:ptCount val="3"/>
                <c:pt idx="0">
                  <c:v>1.2682350574951</c:v>
                </c:pt>
                <c:pt idx="1">
                  <c:v>0.90547800000000001</c:v>
                </c:pt>
                <c:pt idx="2">
                  <c:v>0.56768789999999902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79-4E04-AEE4-F29336A67187}"/>
            </c:ext>
          </c:extLst>
        </c:ser>
        <c:ser>
          <c:idx val="7"/>
          <c:order val="2"/>
          <c:tx>
            <c:v>Unary Alkaline Earth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'MFP-PDF_Avg'!$AN$13:$AN$15</c:f>
              <c:numCache>
                <c:formatCode>General</c:formatCode>
                <c:ptCount val="3"/>
                <c:pt idx="0">
                  <c:v>0.54002025954196298</c:v>
                </c:pt>
                <c:pt idx="1">
                  <c:v>0.42656474196147098</c:v>
                </c:pt>
              </c:numCache>
            </c:numRef>
          </c:xVal>
          <c:yVal>
            <c:numRef>
              <c:f>'MFP-PDF_Avg'!$AK$13:$AK$15</c:f>
              <c:numCache>
                <c:formatCode>General</c:formatCode>
                <c:ptCount val="3"/>
                <c:pt idx="0">
                  <c:v>0.46200000000000002</c:v>
                </c:pt>
                <c:pt idx="1">
                  <c:v>0.44782499999999897</c:v>
                </c:pt>
                <c:pt idx="2">
                  <c:v>0.380772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179-4E04-AEE4-F29336A67187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0"/>
                  <c:y val="1.860240293244178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FLiBe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C4F4-4535-958B-8F36DC3BBD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'MFP-PDF_Avg'!$AO$18:$AO$20</c:f>
              <c:numCache>
                <c:formatCode>General</c:formatCode>
                <c:ptCount val="3"/>
                <c:pt idx="0">
                  <c:v>1.28305844543897</c:v>
                </c:pt>
                <c:pt idx="1">
                  <c:v>0.85046707066330796</c:v>
                </c:pt>
                <c:pt idx="2">
                  <c:v>0.73223097949286997</c:v>
                </c:pt>
              </c:numCache>
            </c:numRef>
          </c:xVal>
          <c:yVal>
            <c:numRef>
              <c:f>('MFP-PDF_Avg'!$AK$18,'MFP-PDF_Avg'!$AK$19,'MFP-PDF_Avg'!$AK$20)</c:f>
              <c:numCache>
                <c:formatCode>General</c:formatCode>
                <c:ptCount val="3"/>
                <c:pt idx="0">
                  <c:v>1.18</c:v>
                </c:pt>
                <c:pt idx="1">
                  <c:v>0.78633287605038305</c:v>
                </c:pt>
                <c:pt idx="2">
                  <c:v>0.86544945017474995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179-4E04-AEE4-F29336A67187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8.5943333609889649E-2"/>
                  <c:y val="0.104994167395742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E0BA487-CCDC-4FE7-BE25-673E4F54B5AB}" type="CELLREF">
                      <a:rPr lang="en-US"/>
                      <a:pPr>
                        <a:defRPr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597216460632209"/>
                      <c:h val="0.11182086614173228"/>
                    </c:manualLayout>
                  </c15:layout>
                  <c15:dlblFieldTable>
                    <c15:dlblFTEntry>
                      <c15:txfldGUID>{4E0BA487-CCDC-4FE7-BE25-673E4F54B5AB}</c15:txfldGUID>
                      <c15:f>'MFP-PDF_Avg'!$A$21</c15:f>
                      <c15:dlblFieldTableCache>
                        <c:ptCount val="1"/>
                        <c:pt idx="0">
                          <c:v>0.63NaCl-0.37UCl3 (ORNL)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6179-4E04-AEE4-F29336A67187}"/>
                </c:ext>
              </c:extLst>
            </c:dLbl>
            <c:dLbl>
              <c:idx val="1"/>
              <c:layout>
                <c:manualLayout>
                  <c:x val="3.1089929548280139E-2"/>
                  <c:y val="1.568788276465432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48043BA-4F93-455A-BDFD-BB5447868CFE}" type="CELLREF">
                      <a:rPr lang="en-US"/>
                      <a:pPr>
                        <a:defRPr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342772942855827"/>
                      <c:h val="9.7931758530183724E-2"/>
                    </c:manualLayout>
                  </c15:layout>
                  <c15:dlblFieldTable>
                    <c15:dlblFTEntry>
                      <c15:txfldGUID>{F48043BA-4F93-455A-BDFD-BB5447868CFE}</c15:txfldGUID>
                      <c15:f>'MFP-PDF_Avg'!$A$22</c15:f>
                      <c15:dlblFieldTableCache>
                        <c:ptCount val="1"/>
                        <c:pt idx="0">
                          <c:v>0.658NaCl-0.342UCl3 (ANL)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6179-4E04-AEE4-F29336A671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'MFP-PDF_Avg'!$AO$21:$AO$22</c:f>
              <c:numCache>
                <c:formatCode>General</c:formatCode>
                <c:ptCount val="2"/>
                <c:pt idx="0">
                  <c:v>0.29301529878909899</c:v>
                </c:pt>
                <c:pt idx="1">
                  <c:v>0.316517898560285</c:v>
                </c:pt>
              </c:numCache>
            </c:numRef>
          </c:xVal>
          <c:yVal>
            <c:numRef>
              <c:f>'MFP-PDF_Avg'!$AK$21:$AK$22</c:f>
              <c:numCache>
                <c:formatCode>General</c:formatCode>
                <c:ptCount val="2"/>
                <c:pt idx="0">
                  <c:v>0.239262577144952</c:v>
                </c:pt>
                <c:pt idx="1">
                  <c:v>0.27567442291687039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179-4E04-AEE4-F29336A67187}"/>
            </c:ext>
          </c:extLst>
        </c:ser>
        <c:ser>
          <c:idx val="2"/>
          <c:order val="5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'MFP-PDF_Avg'!$AS$23</c:f>
              <c:numCache>
                <c:formatCode>0.000000</c:formatCode>
                <c:ptCount val="1"/>
                <c:pt idx="0">
                  <c:v>0.55623382223307438</c:v>
                </c:pt>
              </c:numCache>
            </c:numRef>
          </c:xVal>
          <c:yVal>
            <c:numRef>
              <c:f>'MFP-PDF_Avg'!$AK$23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179-4E04-AEE4-F29336A67187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C-6179-4E04-AEE4-F29336A67187}"/>
            </c:ext>
          </c:extLst>
        </c:ser>
        <c:ser>
          <c:idx val="0"/>
          <c:order val="7"/>
          <c:tx>
            <c:v>Fit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2.4037627404157057E-2"/>
                  <c:y val="1.395180219933125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MgCl2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C4F4-4535-958B-8F36DC3BBDD0}"/>
                </c:ext>
              </c:extLst>
            </c:dLbl>
            <c:dLbl>
              <c:idx val="9"/>
              <c:layout>
                <c:manualLayout>
                  <c:x val="-0.15490915438234548"/>
                  <c:y val="-2.325300366555231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CaCl2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C4F4-4535-958B-8F36DC3BBDD0}"/>
                </c:ext>
              </c:extLst>
            </c:dLbl>
            <c:dLbl>
              <c:idx val="14"/>
              <c:layout>
                <c:manualLayout>
                  <c:x val="3.1895703560828811E-2"/>
                  <c:y val="4.185540659799401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FLiNaK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6179-4E04-AEE4-F29336A67187}"/>
                </c:ext>
              </c:extLst>
            </c:dLbl>
            <c:dLbl>
              <c:idx val="15"/>
              <c:layout>
                <c:manualLayout>
                  <c:x val="-0.14475509729809483"/>
                  <c:y val="-1.882122797397636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LiF-NaF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8-D98E-46F9-A3EE-3FB9C96169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30008588633579847"/>
                  <c:y val="0.7885142344798968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'MFP-PDF_Avg'!$AN$5:$AN$23</c:f>
              <c:numCache>
                <c:formatCode>General</c:formatCode>
                <c:ptCount val="19"/>
                <c:pt idx="0">
                  <c:v>0.78670723632944894</c:v>
                </c:pt>
                <c:pt idx="1">
                  <c:v>0.53084165353214496</c:v>
                </c:pt>
                <c:pt idx="2">
                  <c:v>0.41602860665791702</c:v>
                </c:pt>
                <c:pt idx="3">
                  <c:v>1.22987712739888</c:v>
                </c:pt>
                <c:pt idx="4">
                  <c:v>0.78264084714836502</c:v>
                </c:pt>
                <c:pt idx="5">
                  <c:v>0.51980918395456199</c:v>
                </c:pt>
                <c:pt idx="8">
                  <c:v>0.54002025954196298</c:v>
                </c:pt>
                <c:pt idx="9">
                  <c:v>0.42656474196147098</c:v>
                </c:pt>
                <c:pt idx="11">
                  <c:v>0.54571904518309799</c:v>
                </c:pt>
                <c:pt idx="13">
                  <c:v>1.28305844543897</c:v>
                </c:pt>
                <c:pt idx="14">
                  <c:v>0.85046707066330796</c:v>
                </c:pt>
                <c:pt idx="15">
                  <c:v>0.73223097949286997</c:v>
                </c:pt>
                <c:pt idx="16">
                  <c:v>0.29301529878909899</c:v>
                </c:pt>
                <c:pt idx="17">
                  <c:v>0.316517898560285</c:v>
                </c:pt>
              </c:numCache>
            </c:numRef>
          </c:xVal>
          <c:yVal>
            <c:numRef>
              <c:f>'MFP-PDF_Avg'!$AK$5:$AK$23</c:f>
              <c:numCache>
                <c:formatCode>General</c:formatCode>
                <c:ptCount val="19"/>
                <c:pt idx="0">
                  <c:v>0.62171538406412596</c:v>
                </c:pt>
                <c:pt idx="1">
                  <c:v>0.47705461868503202</c:v>
                </c:pt>
                <c:pt idx="2">
                  <c:v>0.36559719352224501</c:v>
                </c:pt>
                <c:pt idx="3">
                  <c:v>1.2682350574951</c:v>
                </c:pt>
                <c:pt idx="4">
                  <c:v>0.90547800000000001</c:v>
                </c:pt>
                <c:pt idx="5">
                  <c:v>0.56768789999999902</c:v>
                </c:pt>
                <c:pt idx="8">
                  <c:v>0.46200000000000002</c:v>
                </c:pt>
                <c:pt idx="9">
                  <c:v>0.44782499999999897</c:v>
                </c:pt>
                <c:pt idx="10">
                  <c:v>0.380772</c:v>
                </c:pt>
                <c:pt idx="11">
                  <c:v>0.59593560000000001</c:v>
                </c:pt>
                <c:pt idx="12">
                  <c:v>0.14599400000000001</c:v>
                </c:pt>
                <c:pt idx="13">
                  <c:v>1.18</c:v>
                </c:pt>
                <c:pt idx="14">
                  <c:v>0.78633287605038305</c:v>
                </c:pt>
                <c:pt idx="15">
                  <c:v>0.86544945017474995</c:v>
                </c:pt>
                <c:pt idx="16">
                  <c:v>0.239262577144952</c:v>
                </c:pt>
                <c:pt idx="17">
                  <c:v>0.27567442291687039</c:v>
                </c:pt>
                <c:pt idx="18" formatCode="0.0000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179-4E04-AEE4-F29336A67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.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_predicted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  <c:majorUnit val="0.2"/>
      </c:valAx>
      <c:valAx>
        <c:axId val="689706896"/>
        <c:scaling>
          <c:orientation val="minMax"/>
          <c:max val="1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  <c:minorUnit val="4.0000000000000008E-2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0.71601650001853678"/>
          <c:y val="7.0767076188923639E-2"/>
          <c:w val="0.28398349998146333"/>
          <c:h val="0.867410006372541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MFP from cat-an</a:t>
            </a:r>
            <a:r>
              <a:rPr lang="en-US" sz="1200" baseline="0"/>
              <a:t> f</a:t>
            </a:r>
            <a:r>
              <a:rPr lang="en-US" sz="1200"/>
              <a:t>irst peak</a:t>
            </a:r>
          </a:p>
        </c:rich>
      </c:tx>
      <c:layout>
        <c:manualLayout>
          <c:xMode val="edge"/>
          <c:yMode val="edge"/>
          <c:x val="0.1239491434630984"/>
          <c:y val="1.910554666529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66593759113446"/>
          <c:y val="5.9523809523809521E-2"/>
          <c:w val="0.56891659375911341"/>
          <c:h val="0.77617745698454343"/>
        </c:manualLayout>
      </c:layout>
      <c:scatterChart>
        <c:scatterStyle val="lineMarker"/>
        <c:varyColors val="0"/>
        <c:ser>
          <c:idx val="4"/>
          <c:order val="0"/>
          <c:tx>
            <c:v>Unary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'MFP-PDF_Avg'!$AM$5:$AM$7</c:f>
              <c:numCache>
                <c:formatCode>General</c:formatCode>
                <c:ptCount val="3"/>
                <c:pt idx="0">
                  <c:v>0.37979746319812113</c:v>
                </c:pt>
                <c:pt idx="1">
                  <c:v>0.29184445780135787</c:v>
                </c:pt>
                <c:pt idx="2">
                  <c:v>0.24533629939701559</c:v>
                </c:pt>
              </c:numCache>
            </c:numRef>
          </c:xVal>
          <c:yVal>
            <c:numRef>
              <c:f>'MFP-PDF_Avg'!$AK$5:$AK$7</c:f>
              <c:numCache>
                <c:formatCode>General</c:formatCode>
                <c:ptCount val="3"/>
                <c:pt idx="0">
                  <c:v>0.62171538406412596</c:v>
                </c:pt>
                <c:pt idx="1">
                  <c:v>0.47705461868503202</c:v>
                </c:pt>
                <c:pt idx="2">
                  <c:v>0.36559719352224501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37-4FBF-BAAE-CBECCABA1762}"/>
            </c:ext>
          </c:extLst>
        </c:ser>
        <c:ser>
          <c:idx val="1"/>
          <c:order val="1"/>
          <c:tx>
            <c:v>Unary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'MFP-PDF_Avg'!$AM$8:$AM$10</c:f>
              <c:numCache>
                <c:formatCode>General</c:formatCode>
                <c:ptCount val="3"/>
                <c:pt idx="0">
                  <c:v>0.72198244099516784</c:v>
                </c:pt>
                <c:pt idx="1">
                  <c:v>0.49067523585877765</c:v>
                </c:pt>
                <c:pt idx="2">
                  <c:v>0.33236370799974174</c:v>
                </c:pt>
              </c:numCache>
            </c:numRef>
          </c:xVal>
          <c:yVal>
            <c:numRef>
              <c:f>'MFP-PDF_Avg'!$AK$8:$AK$10</c:f>
              <c:numCache>
                <c:formatCode>General</c:formatCode>
                <c:ptCount val="3"/>
                <c:pt idx="0">
                  <c:v>1.2682350574951</c:v>
                </c:pt>
                <c:pt idx="1">
                  <c:v>0.90547800000000001</c:v>
                </c:pt>
                <c:pt idx="2">
                  <c:v>0.56768789999999902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37-4FBF-BAAE-CBECCABA1762}"/>
            </c:ext>
          </c:extLst>
        </c:ser>
        <c:ser>
          <c:idx val="7"/>
          <c:order val="2"/>
          <c:tx>
            <c:v>Unary Alkaline Earth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'MFP-PDF_Avg'!$AM$13:$AM$15</c:f>
              <c:numCache>
                <c:formatCode>General</c:formatCode>
                <c:ptCount val="3"/>
                <c:pt idx="0">
                  <c:v>0.269940662012365</c:v>
                </c:pt>
                <c:pt idx="1">
                  <c:v>0.37024310108699071</c:v>
                </c:pt>
                <c:pt idx="2">
                  <c:v>0.32666098973626601</c:v>
                </c:pt>
              </c:numCache>
            </c:numRef>
          </c:xVal>
          <c:yVal>
            <c:numRef>
              <c:f>'MFP-PDF_Avg'!$AK$13:$AK$15</c:f>
              <c:numCache>
                <c:formatCode>General</c:formatCode>
                <c:ptCount val="3"/>
                <c:pt idx="0">
                  <c:v>0.46200000000000002</c:v>
                </c:pt>
                <c:pt idx="1">
                  <c:v>0.44782499999999897</c:v>
                </c:pt>
                <c:pt idx="2">
                  <c:v>0.380772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C37-4FBF-BAAE-CBECCABA1762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0"/>
                  <c:y val="1.860240293244178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FLiBe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DC37-4FBF-BAAE-CBECCABA176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'MFP-PDF_Avg'!$AM$18:$AM$20</c:f>
              <c:numCache>
                <c:formatCode>General</c:formatCode>
                <c:ptCount val="3"/>
                <c:pt idx="0">
                  <c:v>1.0187917505808699</c:v>
                </c:pt>
                <c:pt idx="1">
                  <c:v>0.68591483111751272</c:v>
                </c:pt>
                <c:pt idx="2">
                  <c:v>0.64595928661301927</c:v>
                </c:pt>
              </c:numCache>
            </c:numRef>
          </c:xVal>
          <c:yVal>
            <c:numRef>
              <c:f>('MFP-PDF_Avg'!$AK$18,'MFP-PDF_Avg'!$AK$19,'MFP-PDF_Avg'!$AK$20)</c:f>
              <c:numCache>
                <c:formatCode>General</c:formatCode>
                <c:ptCount val="3"/>
                <c:pt idx="0">
                  <c:v>1.18</c:v>
                </c:pt>
                <c:pt idx="1">
                  <c:v>0.78633287605038305</c:v>
                </c:pt>
                <c:pt idx="2">
                  <c:v>0.86544945017474995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C37-4FBF-BAAE-CBECCABA1762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3676550468129631"/>
                  <c:y val="9.569306767539539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E0BA487-CCDC-4FE7-BE25-673E4F54B5AB}" type="CELLREF">
                      <a:rPr lang="en-US"/>
                      <a:pPr>
                        <a:defRPr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597216460632209"/>
                      <c:h val="0.11182086614173228"/>
                    </c:manualLayout>
                  </c15:layout>
                  <c15:dlblFieldTable>
                    <c15:dlblFTEntry>
                      <c15:txfldGUID>{4E0BA487-CCDC-4FE7-BE25-673E4F54B5AB}</c15:txfldGUID>
                      <c15:f>'MFP-PDF_Avg'!$A$21</c15:f>
                      <c15:dlblFieldTableCache>
                        <c:ptCount val="1"/>
                        <c:pt idx="0">
                          <c:v>0.63NaCl-0.37UCl3 (ORNL)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DC37-4FBF-BAAE-CBECCABA1762}"/>
                </c:ext>
              </c:extLst>
            </c:dLbl>
            <c:dLbl>
              <c:idx val="1"/>
              <c:layout>
                <c:manualLayout>
                  <c:x val="4.4468155327250548E-2"/>
                  <c:y val="5.289252718038096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48043BA-4F93-455A-BDFD-BB5447868CFE}" type="CELLREF">
                      <a:rPr lang="en-US"/>
                      <a:pPr>
                        <a:defRPr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342772942855827"/>
                      <c:h val="9.7931758530183724E-2"/>
                    </c:manualLayout>
                  </c15:layout>
                  <c15:dlblFieldTable>
                    <c15:dlblFTEntry>
                      <c15:txfldGUID>{F48043BA-4F93-455A-BDFD-BB5447868CFE}</c15:txfldGUID>
                      <c15:f>'MFP-PDF_Avg'!$A$22</c15:f>
                      <c15:dlblFieldTableCache>
                        <c:ptCount val="1"/>
                        <c:pt idx="0">
                          <c:v>0.658NaCl-0.342UCl3 (ANL)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DC37-4FBF-BAAE-CBECCABA176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'MFP-PDF_Avg'!$AM$21:$AM$22</c:f>
              <c:numCache>
                <c:formatCode>General</c:formatCode>
                <c:ptCount val="2"/>
                <c:pt idx="0">
                  <c:v>0.26539205378729858</c:v>
                </c:pt>
                <c:pt idx="1">
                  <c:v>0.28667900791014594</c:v>
                </c:pt>
              </c:numCache>
            </c:numRef>
          </c:xVal>
          <c:yVal>
            <c:numRef>
              <c:f>'MFP-PDF_Avg'!$AK$21:$AK$22</c:f>
              <c:numCache>
                <c:formatCode>General</c:formatCode>
                <c:ptCount val="2"/>
                <c:pt idx="0">
                  <c:v>0.239262577144952</c:v>
                </c:pt>
                <c:pt idx="1">
                  <c:v>0.27567442291687039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C37-4FBF-BAAE-CBECCABA1762}"/>
            </c:ext>
          </c:extLst>
        </c:ser>
        <c:ser>
          <c:idx val="2"/>
          <c:order val="5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'MFP-PDF_Avg'!$AS$23</c:f>
              <c:numCache>
                <c:formatCode>0.000000</c:formatCode>
                <c:ptCount val="1"/>
                <c:pt idx="0">
                  <c:v>0.55623382223307438</c:v>
                </c:pt>
              </c:numCache>
            </c:numRef>
          </c:xVal>
          <c:yVal>
            <c:numRef>
              <c:f>'MFP-PDF_Avg'!$AK$23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C37-4FBF-BAAE-CBECCABA1762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D-DC37-4FBF-BAAE-CBECCABA1762}"/>
            </c:ext>
          </c:extLst>
        </c:ser>
        <c:ser>
          <c:idx val="0"/>
          <c:order val="7"/>
          <c:tx>
            <c:v>Fit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0.13917665714604047"/>
                  <c:y val="0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MgCl2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DC37-4FBF-BAAE-CBECCABA1762}"/>
                </c:ext>
              </c:extLst>
            </c:dLbl>
            <c:dLbl>
              <c:idx val="9"/>
              <c:layout>
                <c:manualLayout>
                  <c:x val="1.8955811755716218E-2"/>
                  <c:y val="1.860240293244170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CaCl2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DC37-4FBF-BAAE-CBECCABA1762}"/>
                </c:ext>
              </c:extLst>
            </c:dLbl>
            <c:dLbl>
              <c:idx val="10"/>
              <c:layout>
                <c:manualLayout>
                  <c:x val="1.6049075630110508E-2"/>
                  <c:y val="4.185540659799401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SrCl2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608D-4817-AECB-3CAB9B464CBA}"/>
                </c:ext>
              </c:extLst>
            </c:dLbl>
            <c:dLbl>
              <c:idx val="14"/>
              <c:layout>
                <c:manualLayout>
                  <c:x val="3.1895703560828811E-2"/>
                  <c:y val="4.185540659799401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FLiNaK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DC37-4FBF-BAAE-CBECCABA176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3285401876446844"/>
                  <c:y val="0.78648762464159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'MFP-PDF_Avg'!$AM$5:$AM$23</c:f>
              <c:numCache>
                <c:formatCode>General</c:formatCode>
                <c:ptCount val="19"/>
                <c:pt idx="0">
                  <c:v>0.37979746319812113</c:v>
                </c:pt>
                <c:pt idx="1">
                  <c:v>0.29184445780135787</c:v>
                </c:pt>
                <c:pt idx="2">
                  <c:v>0.24533629939701559</c:v>
                </c:pt>
                <c:pt idx="3">
                  <c:v>0.72198244099516784</c:v>
                </c:pt>
                <c:pt idx="4">
                  <c:v>0.49067523585877765</c:v>
                </c:pt>
                <c:pt idx="5">
                  <c:v>0.33236370799974174</c:v>
                </c:pt>
                <c:pt idx="8">
                  <c:v>0.269940662012365</c:v>
                </c:pt>
                <c:pt idx="9">
                  <c:v>0.37024310108699071</c:v>
                </c:pt>
                <c:pt idx="10">
                  <c:v>0.32666098973626601</c:v>
                </c:pt>
                <c:pt idx="11">
                  <c:v>0.38288813854392989</c:v>
                </c:pt>
                <c:pt idx="13">
                  <c:v>1.0187917505808699</c:v>
                </c:pt>
                <c:pt idx="14">
                  <c:v>0.68591483111751272</c:v>
                </c:pt>
                <c:pt idx="15">
                  <c:v>0.64595928661301927</c:v>
                </c:pt>
                <c:pt idx="16">
                  <c:v>0.26539205378729858</c:v>
                </c:pt>
                <c:pt idx="17">
                  <c:v>0.28667900791014594</c:v>
                </c:pt>
              </c:numCache>
            </c:numRef>
          </c:xVal>
          <c:yVal>
            <c:numRef>
              <c:f>'MFP-PDF_Avg'!$AK$5:$AK$23</c:f>
              <c:numCache>
                <c:formatCode>General</c:formatCode>
                <c:ptCount val="19"/>
                <c:pt idx="0">
                  <c:v>0.62171538406412596</c:v>
                </c:pt>
                <c:pt idx="1">
                  <c:v>0.47705461868503202</c:v>
                </c:pt>
                <c:pt idx="2">
                  <c:v>0.36559719352224501</c:v>
                </c:pt>
                <c:pt idx="3">
                  <c:v>1.2682350574951</c:v>
                </c:pt>
                <c:pt idx="4">
                  <c:v>0.90547800000000001</c:v>
                </c:pt>
                <c:pt idx="5">
                  <c:v>0.56768789999999902</c:v>
                </c:pt>
                <c:pt idx="8">
                  <c:v>0.46200000000000002</c:v>
                </c:pt>
                <c:pt idx="9">
                  <c:v>0.44782499999999897</c:v>
                </c:pt>
                <c:pt idx="10">
                  <c:v>0.380772</c:v>
                </c:pt>
                <c:pt idx="11">
                  <c:v>0.59593560000000001</c:v>
                </c:pt>
                <c:pt idx="12">
                  <c:v>0.14599400000000001</c:v>
                </c:pt>
                <c:pt idx="13">
                  <c:v>1.18</c:v>
                </c:pt>
                <c:pt idx="14">
                  <c:v>0.78633287605038305</c:v>
                </c:pt>
                <c:pt idx="15">
                  <c:v>0.86544945017474995</c:v>
                </c:pt>
                <c:pt idx="16">
                  <c:v>0.239262577144952</c:v>
                </c:pt>
                <c:pt idx="17">
                  <c:v>0.27567442291687039</c:v>
                </c:pt>
                <c:pt idx="18" formatCode="0.0000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DC37-4FBF-BAAE-CBECCABA1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.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_predicted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  <c:majorUnit val="0.2"/>
      </c:valAx>
      <c:valAx>
        <c:axId val="689706896"/>
        <c:scaling>
          <c:orientation val="minMax"/>
          <c:max val="1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  <c:minorUnit val="4.0000000000000008E-2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0.71601650001853678"/>
          <c:y val="0.1836945902595509"/>
          <c:w val="0.28398349998146333"/>
          <c:h val="0.763893263342082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27133121517705"/>
          <c:y val="4.3650793650793648E-2"/>
          <c:w val="0.47260970668140168"/>
          <c:h val="0.82379640044994373"/>
        </c:manualLayout>
      </c:layout>
      <c:scatterChart>
        <c:scatterStyle val="lineMarker"/>
        <c:varyColors val="0"/>
        <c:ser>
          <c:idx val="4"/>
          <c:order val="0"/>
          <c:tx>
            <c:v>Unary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'MFP-PDF_Avg'!$AR$5:$AR$7</c:f>
              <c:numCache>
                <c:formatCode>0.000000</c:formatCode>
                <c:ptCount val="3"/>
                <c:pt idx="0">
                  <c:v>1820546.7806579978</c:v>
                </c:pt>
                <c:pt idx="1">
                  <c:v>1666094.9866057571</c:v>
                </c:pt>
                <c:pt idx="2">
                  <c:v>1325554.6775457347</c:v>
                </c:pt>
              </c:numCache>
            </c:numRef>
          </c:xVal>
          <c:yVal>
            <c:numRef>
              <c:f>'MFP-PDF_Avg'!$BQ$5:$BQ$7</c:f>
              <c:numCache>
                <c:formatCode>0.00E+00</c:formatCode>
                <c:ptCount val="3"/>
                <c:pt idx="0">
                  <c:v>2299027.692598009</c:v>
                </c:pt>
                <c:pt idx="1">
                  <c:v>1849136.7861885792</c:v>
                </c:pt>
                <c:pt idx="2">
                  <c:v>1506961.5069615068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01-4872-9780-635AA2CD254E}"/>
            </c:ext>
          </c:extLst>
        </c:ser>
        <c:ser>
          <c:idx val="0"/>
          <c:order val="1"/>
          <c:tx>
            <c:v>Unary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'MFP-PDF_Avg'!$AR$8:$AR$10</c:f>
              <c:numCache>
                <c:formatCode>0.000000</c:formatCode>
                <c:ptCount val="3"/>
                <c:pt idx="0">
                  <c:v>4615676.9172999645</c:v>
                </c:pt>
                <c:pt idx="1">
                  <c:v>3769114.370893043</c:v>
                </c:pt>
                <c:pt idx="2">
                  <c:v>2401266.1295379759</c:v>
                </c:pt>
              </c:numCache>
            </c:numRef>
          </c:xVal>
          <c:yVal>
            <c:numRef>
              <c:f>'MFP-PDF_Avg'!$BQ$8:$BQ$10</c:f>
              <c:numCache>
                <c:formatCode>0.00E+00</c:formatCode>
                <c:ptCount val="3"/>
                <c:pt idx="0">
                  <c:v>4521126.760563381</c:v>
                </c:pt>
                <c:pt idx="1">
                  <c:v>3250000</c:v>
                </c:pt>
                <c:pt idx="2">
                  <c:v>2200657.8947368423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01-4872-9780-635AA2CD254E}"/>
            </c:ext>
          </c:extLst>
        </c:ser>
        <c:ser>
          <c:idx val="1"/>
          <c:order val="2"/>
          <c:tx>
            <c:v>Unary Alkaline Earth Chlorides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'MFP-PDF_Avg'!$AR$13:$AR$15</c:f>
              <c:numCache>
                <c:formatCode>0.000000</c:formatCode>
                <c:ptCount val="3"/>
                <c:pt idx="0">
                  <c:v>1393538.1034277545</c:v>
                </c:pt>
                <c:pt idx="1">
                  <c:v>2025115.9051940721</c:v>
                </c:pt>
                <c:pt idx="2">
                  <c:v>1864274.2594016758</c:v>
                </c:pt>
              </c:numCache>
            </c:numRef>
          </c:xVal>
          <c:yVal>
            <c:numRef>
              <c:f>'MFP-PDF_Avg'!$BQ$13:$BQ$15</c:f>
              <c:numCache>
                <c:formatCode>0.00E+00</c:formatCode>
                <c:ptCount val="3"/>
                <c:pt idx="0">
                  <c:v>1628871.8794256966</c:v>
                </c:pt>
                <c:pt idx="1">
                  <c:v>1928974.5850302745</c:v>
                </c:pt>
                <c:pt idx="2">
                  <c:v>1799756.6027023955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E01-4872-9780-635AA2CD254E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'MFP-PDF_Avg'!$AR$18:$AR$20</c:f>
              <c:numCache>
                <c:formatCode>0.000000</c:formatCode>
                <c:ptCount val="3"/>
                <c:pt idx="0">
                  <c:v>4886706.7030210271</c:v>
                </c:pt>
                <c:pt idx="1">
                  <c:v>3818008.9621593538</c:v>
                </c:pt>
                <c:pt idx="2">
                  <c:v>4955239.6653887713</c:v>
                </c:pt>
              </c:numCache>
            </c:numRef>
          </c:xVal>
          <c:yVal>
            <c:numRef>
              <c:f>'MFP-PDF_Avg'!$BQ$18:$BQ$20</c:f>
              <c:numCache>
                <c:formatCode>0.00E+00</c:formatCode>
                <c:ptCount val="3"/>
                <c:pt idx="0">
                  <c:v>4323157.1595853949</c:v>
                </c:pt>
                <c:pt idx="1">
                  <c:v>3402318.9027080508</c:v>
                </c:pt>
                <c:pt idx="2">
                  <c:v>4192480.558023226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E01-4872-9780-635AA2CD254E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'MFP-PDF_Avg'!$BX$21:$BX$22</c:f>
              <c:numCache>
                <c:formatCode>General</c:formatCode>
                <c:ptCount val="2"/>
                <c:pt idx="0">
                  <c:v>1670541.5762349977</c:v>
                </c:pt>
                <c:pt idx="1">
                  <c:v>1843595.9152489989</c:v>
                </c:pt>
              </c:numCache>
            </c:numRef>
          </c:xVal>
          <c:yVal>
            <c:numRef>
              <c:f>'MFP-PDF_Avg'!$BQ$21:$BQ$22</c:f>
              <c:numCache>
                <c:formatCode>0.00E+00</c:formatCode>
                <c:ptCount val="2"/>
                <c:pt idx="0">
                  <c:v>2156336.4385642763</c:v>
                </c:pt>
                <c:pt idx="1">
                  <c:v>2149770.3220167966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E01-4872-9780-635AA2CD254E}"/>
            </c:ext>
          </c:extLst>
        </c:ser>
        <c:ser>
          <c:idx val="2"/>
          <c:order val="5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'MFP-PDF_Avg'!$BX$23</c:f>
              <c:numCache>
                <c:formatCode>General</c:formatCode>
                <c:ptCount val="1"/>
                <c:pt idx="0">
                  <c:v>4218973.6676481161</c:v>
                </c:pt>
              </c:numCache>
            </c:numRef>
          </c:xVal>
          <c:yVal>
            <c:numRef>
              <c:f>'MFP-PDF_Avg'!$BQ$23</c:f>
              <c:numCache>
                <c:formatCode>0.00E+00</c:formatCode>
                <c:ptCount val="1"/>
                <c:pt idx="0">
                  <c:v>4183129.8557158709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E01-4872-9780-635AA2CD254E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.000000000000001E-2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7000000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7000000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5E01-4872-9780-635AA2CD2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70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C_p,calc (phonon)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E+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  <c:majorUnit val="1000000"/>
      </c:valAx>
      <c:valAx>
        <c:axId val="689706896"/>
        <c:scaling>
          <c:orientation val="minMax"/>
          <c:max val="7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C_p,measured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635608048993876E-2"/>
              <c:y val="0.305791776027996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68536096836723448"/>
          <c:y val="8.2917760279965003E-2"/>
          <c:w val="0.30430796313330477"/>
          <c:h val="0.745785943423738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Pure Salts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663695203635465"/>
                  <c:y val="-0.15127041411490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'MFP-PDF_All (2)'!$AL$3</c:f>
              <c:numCache>
                <c:formatCode>General</c:formatCode>
                <c:ptCount val="1"/>
                <c:pt idx="0">
                  <c:v>4.3524260570898789E-10</c:v>
                </c:pt>
              </c:numCache>
            </c:numRef>
          </c:xVal>
          <c:yVal>
            <c:numRef>
              <c:f>'MFP-PDF_All (2)'!$AC$3</c:f>
              <c:numCache>
                <c:formatCode>General</c:formatCode>
                <c:ptCount val="1"/>
                <c:pt idx="0">
                  <c:v>0.47705461868503202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7A-42D3-ABAD-3669585EAF91}"/>
            </c:ext>
          </c:extLst>
        </c:ser>
        <c:ser>
          <c:idx val="1"/>
          <c:order val="1"/>
          <c:tx>
            <c:v>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'MFP-PDF_All (2)'!$AL$7:$AL$11</c:f>
              <c:numCache>
                <c:formatCode>General</c:formatCode>
                <c:ptCount val="5"/>
                <c:pt idx="0">
                  <c:v>1.6068580151669531E-10</c:v>
                </c:pt>
                <c:pt idx="1">
                  <c:v>2.4214980323905345E-10</c:v>
                </c:pt>
                <c:pt idx="2">
                  <c:v>2.3780583138410686E-10</c:v>
                </c:pt>
                <c:pt idx="3">
                  <c:v>2.4552541454050528E-10</c:v>
                </c:pt>
                <c:pt idx="4">
                  <c:v>2.7178742571129298E-10</c:v>
                </c:pt>
              </c:numCache>
            </c:numRef>
          </c:xVal>
          <c:yVal>
            <c:numRef>
              <c:f>'MFP-PDF_All (2)'!$AC$7:$AC$11</c:f>
              <c:numCache>
                <c:formatCode>General</c:formatCode>
                <c:ptCount val="5"/>
                <c:pt idx="0">
                  <c:v>0.98602842355479803</c:v>
                </c:pt>
                <c:pt idx="1">
                  <c:v>0.78633287605038305</c:v>
                </c:pt>
                <c:pt idx="2">
                  <c:v>0.86544945017474995</c:v>
                </c:pt>
                <c:pt idx="3">
                  <c:v>0.239262577144952</c:v>
                </c:pt>
                <c:pt idx="4">
                  <c:v>0.27567442291687039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97A-42D3-ABAD-3669585EAF91}"/>
            </c:ext>
          </c:extLst>
        </c:ser>
        <c:ser>
          <c:idx val="2"/>
          <c:order val="2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'MFP-PDF_All (2)'!$AL$12</c:f>
              <c:numCache>
                <c:formatCode>General</c:formatCode>
                <c:ptCount val="1"/>
                <c:pt idx="0">
                  <c:v>2.8676430958411341E-10</c:v>
                </c:pt>
              </c:numCache>
            </c:numRef>
          </c:xVal>
          <c:yVal>
            <c:numRef>
              <c:f>'MFP-PDF_All (2)'!$AC$12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97A-42D3-ABAD-3669585EAF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MFP_calc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baseline="0">
                    <a:effectLst/>
                  </a:rPr>
                  <a:t>λ</a:t>
                </a:r>
                <a:r>
                  <a:rPr lang="en-US" sz="1000" b="0" i="0" u="none" strike="noStrike" baseline="0">
                    <a:effectLst/>
                  </a:rPr>
                  <a:t>_measured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PDF-max_peak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703066721922917"/>
          <c:y val="4.3650793650793648E-2"/>
          <c:w val="0.48245913339779894"/>
          <c:h val="0.82313502478856815"/>
        </c:manualLayout>
      </c:layout>
      <c:scatterChart>
        <c:scatterStyle val="lineMarker"/>
        <c:varyColors val="0"/>
        <c:ser>
          <c:idx val="4"/>
          <c:order val="0"/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'MFP-PDF_All (2)'!$AL$3:$AL$5</c:f>
              <c:numCache>
                <c:formatCode>General</c:formatCode>
                <c:ptCount val="3"/>
                <c:pt idx="0">
                  <c:v>4.3524260570898789E-10</c:v>
                </c:pt>
                <c:pt idx="1">
                  <c:v>3.8934456831071569E-10</c:v>
                </c:pt>
                <c:pt idx="2">
                  <c:v>4.4535930159210294E-10</c:v>
                </c:pt>
              </c:numCache>
            </c:numRef>
          </c:xVal>
          <c:yVal>
            <c:numRef>
              <c:f>'MFP-PDF_All (2)'!$AH$3:$AH$5</c:f>
              <c:numCache>
                <c:formatCode>0.00E+00</c:formatCode>
                <c:ptCount val="3"/>
                <c:pt idx="0">
                  <c:v>4.0269415584248401E-10</c:v>
                </c:pt>
                <c:pt idx="1">
                  <c:v>3.60550819002004E-10</c:v>
                </c:pt>
                <c:pt idx="2">
                  <c:v>2.9896383292945799E-10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2C-4103-AEEC-620FFB1232DC}"/>
            </c:ext>
          </c:extLst>
        </c:ser>
        <c:ser>
          <c:idx val="5"/>
          <c:order val="1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'MFP-PDF_All (2)'!$AH$7:$AH$9</c:f>
              <c:numCache>
                <c:formatCode>0.00E+00</c:formatCode>
                <c:ptCount val="3"/>
                <c:pt idx="0">
                  <c:v>1.5469393767735401E-10</c:v>
                </c:pt>
                <c:pt idx="1">
                  <c:v>3.0950738049158301E-10</c:v>
                </c:pt>
                <c:pt idx="2">
                  <c:v>1.8261412703366699E-10</c:v>
                </c:pt>
              </c:numCache>
            </c:numRef>
          </c:xVal>
          <c:yVal>
            <c:numRef>
              <c:f>'MFP-PDF_All (2)'!$AJ$7:$AJ$9</c:f>
              <c:numCache>
                <c:formatCode>0.00E+00</c:formatCode>
                <c:ptCount val="3"/>
                <c:pt idx="0">
                  <c:v>1.5469393767735401E-10</c:v>
                </c:pt>
                <c:pt idx="1">
                  <c:v>1.85747165436873E-10</c:v>
                </c:pt>
                <c:pt idx="2">
                  <c:v>1.8261412703366699E-10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2C-4103-AEEC-620FFB1232DC}"/>
            </c:ext>
          </c:extLst>
        </c:ser>
        <c:ser>
          <c:idx val="6"/>
          <c:order val="2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'MFP-PDF_All (2)'!$AL$10:$AL$11</c:f>
              <c:numCache>
                <c:formatCode>General</c:formatCode>
                <c:ptCount val="2"/>
                <c:pt idx="0">
                  <c:v>2.4552541454050528E-10</c:v>
                </c:pt>
                <c:pt idx="1">
                  <c:v>2.7178742571129298E-10</c:v>
                </c:pt>
              </c:numCache>
            </c:numRef>
          </c:xVal>
          <c:yVal>
            <c:numRef>
              <c:f>'MFP-PDF_All (2)'!$AH$10:$AH$11</c:f>
              <c:numCache>
                <c:formatCode>0.00E+00</c:formatCode>
                <c:ptCount val="2"/>
                <c:pt idx="0">
                  <c:v>3.5638656241162298E-10</c:v>
                </c:pt>
                <c:pt idx="1">
                  <c:v>3.5638656241162298E-10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2C-4103-AEEC-620FFB1232DC}"/>
            </c:ext>
          </c:extLst>
        </c:ser>
        <c:ser>
          <c:idx val="2"/>
          <c:order val="3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'MFP-PDF_All (2)'!$AL$12</c:f>
              <c:numCache>
                <c:formatCode>General</c:formatCode>
                <c:ptCount val="1"/>
                <c:pt idx="0">
                  <c:v>2.8676430958411341E-10</c:v>
                </c:pt>
              </c:numCache>
            </c:numRef>
          </c:xVal>
          <c:yVal>
            <c:numRef>
              <c:f>'MFP-PDF_All (2)'!$AH$12</c:f>
              <c:numCache>
                <c:formatCode>0.00E+00</c:formatCode>
                <c:ptCount val="1"/>
                <c:pt idx="0">
                  <c:v>2.7293000000000001E-10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D2C-4103-AEEC-620FFB1232DC}"/>
            </c:ext>
          </c:extLst>
        </c:ser>
        <c:ser>
          <c:idx val="3"/>
          <c:order val="4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9.9999999999999994E-12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9.9999999999999994E-12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8-0D2C-4103-AEEC-620FFB1232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6.0000000000000031E-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MFP_calc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6.0000000000000031E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PDF-MFP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PDF-max_peak</a:t>
            </a:r>
          </a:p>
        </c:rich>
      </c:tx>
      <c:layout>
        <c:manualLayout>
          <c:xMode val="edge"/>
          <c:yMode val="edge"/>
          <c:x val="0.21481719390339363"/>
          <c:y val="3.33333333333333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66593759113446"/>
          <c:y val="5.9523809523809521E-2"/>
          <c:w val="0.56891659375911341"/>
          <c:h val="0.77617745698454343"/>
        </c:manualLayout>
      </c:layout>
      <c:scatterChart>
        <c:scatterStyle val="lineMarker"/>
        <c:varyColors val="0"/>
        <c:ser>
          <c:idx val="4"/>
          <c:order val="0"/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'MFP-PDF_All (2)'!$AD$3:$AD$5</c:f>
              <c:numCache>
                <c:formatCode>0.000000</c:formatCode>
                <c:ptCount val="3"/>
                <c:pt idx="0">
                  <c:v>0.54204679187053895</c:v>
                </c:pt>
                <c:pt idx="1">
                  <c:v>0.57774324348124695</c:v>
                </c:pt>
                <c:pt idx="2">
                  <c:v>0.24535289248259401</c:v>
                </c:pt>
              </c:numCache>
            </c:numRef>
          </c:xVal>
          <c:yVal>
            <c:numRef>
              <c:f>'MFP-PDF_All (2)'!$AC$3:$AC$5</c:f>
              <c:numCache>
                <c:formatCode>General</c:formatCode>
                <c:ptCount val="3"/>
                <c:pt idx="0">
                  <c:v>0.47705461868503202</c:v>
                </c:pt>
                <c:pt idx="1">
                  <c:v>0.62171538406412596</c:v>
                </c:pt>
                <c:pt idx="2">
                  <c:v>0.36559719352224501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1D-4ABE-B868-F2F8AA847FCF}"/>
            </c:ext>
          </c:extLst>
        </c:ser>
        <c:ser>
          <c:idx val="5"/>
          <c:order val="1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'MFP-PDF_All (2)'!$AD$7:$AD$9</c:f>
              <c:numCache>
                <c:formatCode>0.000000</c:formatCode>
                <c:ptCount val="3"/>
                <c:pt idx="0">
                  <c:v>0.94926009679603196</c:v>
                </c:pt>
                <c:pt idx="1">
                  <c:v>1.00506308659067</c:v>
                </c:pt>
                <c:pt idx="2">
                  <c:v>0.75516834485926099</c:v>
                </c:pt>
              </c:numCache>
            </c:numRef>
          </c:xVal>
          <c:yVal>
            <c:numRef>
              <c:f>('MFP-PDF_All (2)'!$AC$7,'MFP-PDF_All (2)'!$AC$8,'MFP-PDF_All (2)'!$AC$9)</c:f>
              <c:numCache>
                <c:formatCode>General</c:formatCode>
                <c:ptCount val="3"/>
                <c:pt idx="0">
                  <c:v>0.98602842355479803</c:v>
                </c:pt>
                <c:pt idx="1">
                  <c:v>0.78633287605038305</c:v>
                </c:pt>
                <c:pt idx="2">
                  <c:v>0.86544945017474995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1D-4ABE-B868-F2F8AA847FCF}"/>
            </c:ext>
          </c:extLst>
        </c:ser>
        <c:ser>
          <c:idx val="6"/>
          <c:order val="2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9.3845873432487625E-2"/>
                  <c:y val="9.8049462567179099E-2"/>
                </c:manualLayout>
              </c:layout>
              <c:tx>
                <c:rich>
                  <a:bodyPr/>
                  <a:lstStyle/>
                  <a:p>
                    <a:fld id="{4E0BA487-CCDC-4FE7-BE25-673E4F54B5AB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328813065033539"/>
                      <c:h val="9.793182102237219E-2"/>
                    </c:manualLayout>
                  </c15:layout>
                  <c15:dlblFieldTable>
                    <c15:dlblFTEntry>
                      <c15:txfldGUID>{4E0BA487-CCDC-4FE7-BE25-673E4F54B5AB}</c15:txfldGUID>
                      <c15:f>'MFP-PDF_All (2)'!$A$10</c15:f>
                      <c15:dlblFieldTableCache>
                        <c:ptCount val="1"/>
                        <c:pt idx="0">
                          <c:v>0.63NaCl-0.37UCl3 (ORNL)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4C1D-4ABE-B868-F2F8AA847FCF}"/>
                </c:ext>
              </c:extLst>
            </c:dLbl>
            <c:dLbl>
              <c:idx val="1"/>
              <c:layout>
                <c:manualLayout>
                  <c:x val="3.1089929548280139E-2"/>
                  <c:y val="1.568788276465432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48043BA-4F93-455A-BDFD-BB5447868CFE}" type="CELLREF">
                      <a:rPr lang="en-US"/>
                      <a:pPr>
                        <a:defRPr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342772942855827"/>
                      <c:h val="9.7931758530183724E-2"/>
                    </c:manualLayout>
                  </c15:layout>
                  <c15:dlblFieldTable>
                    <c15:dlblFTEntry>
                      <c15:txfldGUID>{F48043BA-4F93-455A-BDFD-BB5447868CFE}</c15:txfldGUID>
                      <c15:f>'MFP-PDF_All (2)'!$A$11</c15:f>
                      <c15:dlblFieldTableCache>
                        <c:ptCount val="1"/>
                        <c:pt idx="0">
                          <c:v>0.658NaCl-0.342UCl3 (ANL)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4C1D-4ABE-B868-F2F8AA847F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'MFP-PDF_All (2)'!$AD$10:$AD$11</c:f>
              <c:numCache>
                <c:formatCode>0.000000</c:formatCode>
                <c:ptCount val="2"/>
                <c:pt idx="0">
                  <c:v>0.34729589008948702</c:v>
                </c:pt>
                <c:pt idx="1">
                  <c:v>0.36148346330236197</c:v>
                </c:pt>
              </c:numCache>
            </c:numRef>
          </c:xVal>
          <c:yVal>
            <c:numRef>
              <c:f>'MFP-PDF_All (2)'!$AC$10:$AC$11</c:f>
              <c:numCache>
                <c:formatCode>General</c:formatCode>
                <c:ptCount val="2"/>
                <c:pt idx="0">
                  <c:v>0.239262577144952</c:v>
                </c:pt>
                <c:pt idx="1">
                  <c:v>0.27567442291687039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C1D-4ABE-B868-F2F8AA847FCF}"/>
            </c:ext>
          </c:extLst>
        </c:ser>
        <c:ser>
          <c:idx val="2"/>
          <c:order val="3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'MFP-PDF_All (2)'!$AD$12</c:f>
              <c:numCache>
                <c:formatCode>0.000000</c:formatCode>
                <c:ptCount val="1"/>
                <c:pt idx="0">
                  <c:v>0.53393579634110244</c:v>
                </c:pt>
              </c:numCache>
            </c:numRef>
          </c:xVal>
          <c:yVal>
            <c:numRef>
              <c:f>'MFP-PDF_All (2)'!$AC$12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C1D-4ABE-B868-F2F8AA847FCF}"/>
            </c:ext>
          </c:extLst>
        </c:ser>
        <c:ser>
          <c:idx val="3"/>
          <c:order val="4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4C1D-4ABE-B868-F2F8AA847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.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_predicted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  <c:majorUnit val="0.2"/>
      </c:valAx>
      <c:valAx>
        <c:axId val="689706896"/>
        <c:scaling>
          <c:orientation val="minMax"/>
          <c:max val="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ayout>
        <c:manualLayout>
          <c:xMode val="edge"/>
          <c:yMode val="edge"/>
          <c:x val="0.67247133581986451"/>
          <c:y val="0.32258347914843982"/>
          <c:w val="0.32205682200056962"/>
          <c:h val="0.370895304753572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PDF-max_peak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715782055020897"/>
          <c:y val="4.3650793650793648E-2"/>
          <c:w val="0.52816515991056678"/>
          <c:h val="0.82379640044994373"/>
        </c:manualLayout>
      </c:layout>
      <c:scatterChart>
        <c:scatterStyle val="lineMarker"/>
        <c:varyColors val="0"/>
        <c:ser>
          <c:idx val="4"/>
          <c:order val="0"/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'MFP-PDF_All (2)'!$BB$3:$BB$5</c:f>
              <c:numCache>
                <c:formatCode>General</c:formatCode>
                <c:ptCount val="3"/>
                <c:pt idx="0">
                  <c:v>75.247156607140113</c:v>
                </c:pt>
                <c:pt idx="1">
                  <c:v>70.212526216510966</c:v>
                </c:pt>
                <c:pt idx="2">
                  <c:v>109.64016709309757</c:v>
                </c:pt>
              </c:numCache>
            </c:numRef>
          </c:xVal>
          <c:yVal>
            <c:numRef>
              <c:f>'MFP-PDF_All (2)'!$BA$3:$BA$5</c:f>
              <c:numCache>
                <c:formatCode>0.00</c:formatCode>
                <c:ptCount val="3"/>
                <c:pt idx="0">
                  <c:v>69.62</c:v>
                </c:pt>
                <c:pt idx="1">
                  <c:v>65.02</c:v>
                </c:pt>
                <c:pt idx="2">
                  <c:v>73.599999999999994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38-4EE6-A895-BEDD11AFE286}"/>
            </c:ext>
          </c:extLst>
        </c:ser>
        <c:ser>
          <c:idx val="5"/>
          <c:order val="1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'MFP-PDF_All (2)'!$BB$7:$BB$9</c:f>
              <c:numCache>
                <c:formatCode>General</c:formatCode>
                <c:ptCount val="3"/>
                <c:pt idx="0">
                  <c:v>82.771596319074632</c:v>
                </c:pt>
                <c:pt idx="1">
                  <c:v>60.836938673427674</c:v>
                </c:pt>
                <c:pt idx="2">
                  <c:v>86.728604338817505</c:v>
                </c:pt>
              </c:numCache>
            </c:numRef>
          </c:xVal>
          <c:yVal>
            <c:numRef>
              <c:f>'MFP-PDF_All (2)'!$BA$7:$BA$9</c:f>
              <c:numCache>
                <c:formatCode>0.00</c:formatCode>
                <c:ptCount val="3"/>
                <c:pt idx="0">
                  <c:v>72.25800000000001</c:v>
                </c:pt>
                <c:pt idx="1">
                  <c:v>66.024000000000001</c:v>
                </c:pt>
                <c:pt idx="2">
                  <c:v>66.600000000000009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38-4EE6-A895-BEDD11AFE286}"/>
            </c:ext>
          </c:extLst>
        </c:ser>
        <c:ser>
          <c:idx val="6"/>
          <c:order val="2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'MFP-PDF_All (2)'!$BB$10:$BB$11</c:f>
              <c:numCache>
                <c:formatCode>General</c:formatCode>
                <c:ptCount val="2"/>
                <c:pt idx="0">
                  <c:v>68.452503761398006</c:v>
                </c:pt>
                <c:pt idx="1">
                  <c:v>74.057971941272584</c:v>
                </c:pt>
              </c:numCache>
            </c:numRef>
          </c:xVal>
          <c:yVal>
            <c:numRef>
              <c:f>'MFP-PDF_All (2)'!$BA$10:$BA$11</c:f>
              <c:numCache>
                <c:formatCode>0.00</c:formatCode>
                <c:ptCount val="2"/>
                <c:pt idx="0">
                  <c:v>99.360600000000005</c:v>
                </c:pt>
                <c:pt idx="1">
                  <c:v>97.109960000000001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538-4EE6-A895-BEDD11AFE286}"/>
            </c:ext>
          </c:extLst>
        </c:ser>
        <c:ser>
          <c:idx val="2"/>
          <c:order val="3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'MFP-PDF_All (2)'!$BB$12</c:f>
              <c:numCache>
                <c:formatCode>General</c:formatCode>
                <c:ptCount val="1"/>
                <c:pt idx="0">
                  <c:v>79.200870759720317</c:v>
                </c:pt>
              </c:numCache>
            </c:numRef>
          </c:xVal>
          <c:yVal>
            <c:numRef>
              <c:f>'MFP-PDF_All (2)'!$BA$12</c:f>
              <c:numCache>
                <c:formatCode>0.00</c:formatCode>
                <c:ptCount val="1"/>
                <c:pt idx="0">
                  <c:v>75.38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538-4EE6-A895-BEDD11AFE286}"/>
            </c:ext>
          </c:extLst>
        </c:ser>
        <c:ser>
          <c:idx val="3"/>
          <c:order val="4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.000000000000001E-2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250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8-6538-4EE6-A895-BEDD11AFE2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C_p,calc (phonon)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1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C_p,measured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635608048993876E-2"/>
              <c:y val="0.305791776027996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ayout>
        <c:manualLayout>
          <c:xMode val="edge"/>
          <c:yMode val="edge"/>
          <c:x val="0.67928926647326981"/>
          <c:y val="0.38847331583552058"/>
          <c:w val="0.32071082567580395"/>
          <c:h val="0.38088291046952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PDF-max_peak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900991542723829"/>
          <c:y val="4.3650793650793648E-2"/>
          <c:w val="0.51074058688893342"/>
          <c:h val="0.80527777777777776"/>
        </c:manualLayout>
      </c:layout>
      <c:scatterChart>
        <c:scatterStyle val="lineMarker"/>
        <c:varyColors val="0"/>
        <c:ser>
          <c:idx val="4"/>
          <c:order val="0"/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'MFP-PDF_All (2)'!$AT$3:$AT$5</c:f>
              <c:numCache>
                <c:formatCode>0.00E+00</c:formatCode>
                <c:ptCount val="3"/>
                <c:pt idx="0">
                  <c:v>1916.9791387966968</c:v>
                </c:pt>
                <c:pt idx="1">
                  <c:v>2245.5514403920206</c:v>
                </c:pt>
                <c:pt idx="2">
                  <c:v>2432.1338236700599</c:v>
                </c:pt>
              </c:numCache>
            </c:numRef>
          </c:xVal>
          <c:yVal>
            <c:numRef>
              <c:f>'MFP-PDF_All (2)'!$AQ$3:$AQ$5</c:f>
              <c:numCache>
                <c:formatCode>0.00E+00</c:formatCode>
                <c:ptCount val="3"/>
                <c:pt idx="0">
                  <c:v>1743.6799999999998</c:v>
                </c:pt>
                <c:pt idx="1">
                  <c:v>2042.3974499999999</c:v>
                </c:pt>
                <c:pt idx="2">
                  <c:v>1597.1839999999997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74-4888-99D3-7FEC1A738087}"/>
            </c:ext>
          </c:extLst>
        </c:ser>
        <c:ser>
          <c:idx val="5"/>
          <c:order val="1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'MFP-PDF_All (2)'!$AT$7:$AT$9</c:f>
              <c:numCache>
                <c:formatCode>0.00E+00</c:formatCode>
                <c:ptCount val="3"/>
                <c:pt idx="0">
                  <c:v>3598.7915199332842</c:v>
                </c:pt>
                <c:pt idx="1">
                  <c:v>1845.7321030732169</c:v>
                </c:pt>
                <c:pt idx="2">
                  <c:v>3391.23223899404</c:v>
                </c:pt>
              </c:numCache>
            </c:numRef>
          </c:xVal>
          <c:yVal>
            <c:numRef>
              <c:f>'MFP-PDF_All (2)'!$AQ$7:$AQ$9</c:f>
              <c:numCache>
                <c:formatCode>0.00E+00</c:formatCode>
                <c:ptCount val="3"/>
                <c:pt idx="0">
                  <c:v>2547.6863757231322</c:v>
                </c:pt>
                <c:pt idx="1">
                  <c:v>2012.468707779205</c:v>
                </c:pt>
                <c:pt idx="2">
                  <c:v>2298.228366828082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74-4888-99D3-7FEC1A738087}"/>
            </c:ext>
          </c:extLst>
        </c:ser>
        <c:ser>
          <c:idx val="6"/>
          <c:order val="2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'MFP-PDF_All (2)'!$AT$10:$AT$11</c:f>
              <c:numCache>
                <c:formatCode>0.00E+00</c:formatCode>
                <c:ptCount val="2"/>
                <c:pt idx="0">
                  <c:v>1002.958750815991</c:v>
                </c:pt>
                <c:pt idx="1">
                  <c:v>1124.7355158025096</c:v>
                </c:pt>
              </c:numCache>
            </c:numRef>
          </c:xVal>
          <c:yVal>
            <c:numRef>
              <c:f>'MFP-PDF_All (2)'!$AQ$10:$AQ$11</c:f>
              <c:numCache>
                <c:formatCode>0.00E+00</c:formatCode>
                <c:ptCount val="2"/>
                <c:pt idx="0">
                  <c:v>1451.7494609289899</c:v>
                </c:pt>
                <c:pt idx="1">
                  <c:v>1470.4555590061771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874-4888-99D3-7FEC1A738087}"/>
            </c:ext>
          </c:extLst>
        </c:ser>
        <c:ser>
          <c:idx val="2"/>
          <c:order val="3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'MFP-PDF_All (2)'!$AT$12</c:f>
              <c:numCache>
                <c:formatCode>0.00E+00</c:formatCode>
                <c:ptCount val="1"/>
                <c:pt idx="0">
                  <c:v>1474.1154374620271</c:v>
                </c:pt>
              </c:numCache>
            </c:numRef>
          </c:xVal>
          <c:yVal>
            <c:numRef>
              <c:f>'MFP-PDF_All (2)'!$AQ$12</c:f>
              <c:numCache>
                <c:formatCode>0.00E+00</c:formatCode>
                <c:ptCount val="1"/>
                <c:pt idx="0">
                  <c:v>1403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874-4888-99D3-7FEC1A738087}"/>
            </c:ext>
          </c:extLst>
        </c:ser>
        <c:ser>
          <c:idx val="3"/>
          <c:order val="4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6000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6000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8-E874-4888-99D3-7FEC1A738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vs_calc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v_sound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PDF-avg_peaks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995460239568026"/>
          <c:y val="2.9761956838728492E-2"/>
          <c:w val="0.48245913339779894"/>
          <c:h val="0.82313502478856815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'MFP-PDF_All (2)'!$AL$3:$AL$5</c:f>
              <c:numCache>
                <c:formatCode>General</c:formatCode>
                <c:ptCount val="3"/>
                <c:pt idx="0">
                  <c:v>4.3524260570898789E-10</c:v>
                </c:pt>
                <c:pt idx="1">
                  <c:v>3.8934456831071569E-10</c:v>
                </c:pt>
                <c:pt idx="2">
                  <c:v>4.4535930159210294E-10</c:v>
                </c:pt>
              </c:numCache>
            </c:numRef>
          </c:xVal>
          <c:yVal>
            <c:numRef>
              <c:f>'MFP-PDF_All (2)'!$AI$3:$AI$5</c:f>
              <c:numCache>
                <c:formatCode>0.00E+00</c:formatCode>
                <c:ptCount val="3"/>
                <c:pt idx="0">
                  <c:v>3.3400223720324102E-10</c:v>
                </c:pt>
                <c:pt idx="1">
                  <c:v>3.0056447474785299E-10</c:v>
                </c:pt>
                <c:pt idx="2">
                  <c:v>3.6182029353950698E-10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32-40AA-A00E-CA1CC2E0BE4F}"/>
            </c:ext>
          </c:extLst>
        </c:ser>
        <c:ser>
          <c:idx val="0"/>
          <c:order val="1"/>
          <c:tx>
            <c:v>Pure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'MFP-PDF_All (2)'!$AL$6</c:f>
              <c:numCache>
                <c:formatCode>General</c:formatCode>
                <c:ptCount val="1"/>
                <c:pt idx="0">
                  <c:v>3.3052281270883056E-10</c:v>
                </c:pt>
              </c:numCache>
            </c:numRef>
          </c:xVal>
          <c:yVal>
            <c:numRef>
              <c:f>'MFP-PDF_All (2)'!$AI$6</c:f>
              <c:numCache>
                <c:formatCode>0.00E+00</c:formatCode>
                <c:ptCount val="1"/>
                <c:pt idx="0">
                  <c:v>2.3591537099888599E-10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32-40AA-A00E-CA1CC2E0BE4F}"/>
            </c:ext>
          </c:extLst>
        </c:ser>
        <c:ser>
          <c:idx val="5"/>
          <c:order val="2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'MFP-PDF_All (2)'!$AL$7:$AL$9</c:f>
              <c:numCache>
                <c:formatCode>General</c:formatCode>
                <c:ptCount val="3"/>
                <c:pt idx="0">
                  <c:v>1.6068580151669531E-10</c:v>
                </c:pt>
                <c:pt idx="1">
                  <c:v>2.4214980323905345E-10</c:v>
                </c:pt>
                <c:pt idx="2">
                  <c:v>2.3780583138410686E-10</c:v>
                </c:pt>
              </c:numCache>
            </c:numRef>
          </c:xVal>
          <c:yVal>
            <c:numRef>
              <c:f>'MFP-PDF_All (2)'!$AI$7:$AI$9</c:f>
              <c:numCache>
                <c:formatCode>0.00E+00</c:formatCode>
                <c:ptCount val="3"/>
                <c:pt idx="0">
                  <c:v>2.06003844994128E-10</c:v>
                </c:pt>
                <c:pt idx="1">
                  <c:v>2.5955250470707202E-10</c:v>
                </c:pt>
                <c:pt idx="2">
                  <c:v>2.4173581555363199E-10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32-40AA-A00E-CA1CC2E0BE4F}"/>
            </c:ext>
          </c:extLst>
        </c:ser>
        <c:ser>
          <c:idx val="6"/>
          <c:order val="3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'MFP-PDF_All (2)'!$AL$10:$AL$11</c:f>
              <c:numCache>
                <c:formatCode>General</c:formatCode>
                <c:ptCount val="2"/>
                <c:pt idx="0">
                  <c:v>2.4552541454050528E-10</c:v>
                </c:pt>
                <c:pt idx="1">
                  <c:v>2.7178742571129298E-10</c:v>
                </c:pt>
              </c:numCache>
            </c:numRef>
          </c:xVal>
          <c:yVal>
            <c:numRef>
              <c:f>'MFP-PDF_All (2)'!$AI$10:$AI$11</c:f>
              <c:numCache>
                <c:formatCode>0.00E+00</c:formatCode>
                <c:ptCount val="2"/>
                <c:pt idx="0">
                  <c:v>3.1692440673072701E-10</c:v>
                </c:pt>
                <c:pt idx="1">
                  <c:v>3.1692440673072701E-10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832-40AA-A00E-CA1CC2E0BE4F}"/>
            </c:ext>
          </c:extLst>
        </c:ser>
        <c:ser>
          <c:idx val="2"/>
          <c:order val="4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'MFP-PDF_All (2)'!$AL$12</c:f>
              <c:numCache>
                <c:formatCode>General</c:formatCode>
                <c:ptCount val="1"/>
                <c:pt idx="0">
                  <c:v>2.8676430958411341E-10</c:v>
                </c:pt>
              </c:numCache>
            </c:numRef>
          </c:xVal>
          <c:yVal>
            <c:numRef>
              <c:f>'MFP-PDF_All (2)'!$AI$12</c:f>
              <c:numCache>
                <c:formatCode>0.00E+00</c:formatCode>
                <c:ptCount val="1"/>
                <c:pt idx="0">
                  <c:v>2.8432800000000002E-10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832-40AA-A00E-CA1CC2E0BE4F}"/>
            </c:ext>
          </c:extLst>
        </c:ser>
        <c:ser>
          <c:idx val="3"/>
          <c:order val="5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9.9999999999999994E-12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9.9999999999999994E-12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9-2832-40AA-A00E-CA1CC2E0BE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6.0000000000000031E-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MFP_calc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6.0000000000000031E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PDF-MFP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PDF-avg_peaks</a:t>
            </a:r>
          </a:p>
        </c:rich>
      </c:tx>
      <c:layout>
        <c:manualLayout>
          <c:xMode val="edge"/>
          <c:yMode val="edge"/>
          <c:x val="0.21481719390339363"/>
          <c:y val="3.33333333333333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66593759113446"/>
          <c:y val="5.9523809523809521E-2"/>
          <c:w val="0.56891659375911341"/>
          <c:h val="0.77617745698454343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'MFP-PDF_All (2)'!$AE$3:$AE$5</c:f>
              <c:numCache>
                <c:formatCode>0.000000</c:formatCode>
                <c:ptCount val="3"/>
                <c:pt idx="0">
                  <c:v>0.36608849367903401</c:v>
                </c:pt>
                <c:pt idx="1">
                  <c:v>0.48162168927176202</c:v>
                </c:pt>
                <c:pt idx="2">
                  <c:v>0.296937775746827</c:v>
                </c:pt>
              </c:numCache>
            </c:numRef>
          </c:xVal>
          <c:yVal>
            <c:numRef>
              <c:f>'MFP-PDF_All (2)'!$AC$3:$AC$5</c:f>
              <c:numCache>
                <c:formatCode>General</c:formatCode>
                <c:ptCount val="3"/>
                <c:pt idx="0">
                  <c:v>0.47705461868503202</c:v>
                </c:pt>
                <c:pt idx="1">
                  <c:v>0.62171538406412596</c:v>
                </c:pt>
                <c:pt idx="2">
                  <c:v>0.36559719352224501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4F-4F25-B71E-3580FB7D42A2}"/>
            </c:ext>
          </c:extLst>
        </c:ser>
        <c:ser>
          <c:idx val="1"/>
          <c:order val="1"/>
          <c:tx>
            <c:v>Pure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'MFP-PDF_All (2)'!$AE$6</c:f>
              <c:numCache>
                <c:formatCode>0.000000</c:formatCode>
                <c:ptCount val="1"/>
                <c:pt idx="0">
                  <c:v>0.90535258306336996</c:v>
                </c:pt>
              </c:numCache>
            </c:numRef>
          </c:xVal>
          <c:yVal>
            <c:numRef>
              <c:f>'MFP-PDF_All (2)'!$AC$6</c:f>
              <c:numCache>
                <c:formatCode>General</c:formatCode>
                <c:ptCount val="1"/>
                <c:pt idx="0">
                  <c:v>1.2682350574951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4F-4F25-B71E-3580FB7D42A2}"/>
            </c:ext>
          </c:extLst>
        </c:ser>
        <c:ser>
          <c:idx val="5"/>
          <c:order val="2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'MFP-PDF_All (2)'!$AE$7:$AE$9</c:f>
              <c:numCache>
                <c:formatCode>0.000000</c:formatCode>
                <c:ptCount val="3"/>
                <c:pt idx="0">
                  <c:v>1.2641169574941</c:v>
                </c:pt>
                <c:pt idx="1">
                  <c:v>0.84284465559077204</c:v>
                </c:pt>
                <c:pt idx="2">
                  <c:v>0.93676902087574598</c:v>
                </c:pt>
              </c:numCache>
            </c:numRef>
          </c:xVal>
          <c:yVal>
            <c:numRef>
              <c:f>('MFP-PDF_All (2)'!$AC$7,'MFP-PDF_All (2)'!$AC$8,'MFP-PDF_All (2)'!$AC$9)</c:f>
              <c:numCache>
                <c:formatCode>General</c:formatCode>
                <c:ptCount val="3"/>
                <c:pt idx="0">
                  <c:v>0.98602842355479803</c:v>
                </c:pt>
                <c:pt idx="1">
                  <c:v>0.78633287605038305</c:v>
                </c:pt>
                <c:pt idx="2">
                  <c:v>0.86544945017474995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54F-4F25-B71E-3580FB7D42A2}"/>
            </c:ext>
          </c:extLst>
        </c:ser>
        <c:ser>
          <c:idx val="6"/>
          <c:order val="3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9.3845873432487625E-2"/>
                  <c:y val="9.8049462567179099E-2"/>
                </c:manualLayout>
              </c:layout>
              <c:tx>
                <c:rich>
                  <a:bodyPr/>
                  <a:lstStyle/>
                  <a:p>
                    <a:fld id="{4E0BA487-CCDC-4FE7-BE25-673E4F54B5AB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328813065033539"/>
                      <c:h val="9.793182102237219E-2"/>
                    </c:manualLayout>
                  </c15:layout>
                  <c15:dlblFieldTable>
                    <c15:dlblFTEntry>
                      <c15:txfldGUID>{4E0BA487-CCDC-4FE7-BE25-673E4F54B5AB}</c15:txfldGUID>
                      <c15:f>'MFP-PDF_All (2)'!$A$10</c15:f>
                      <c15:dlblFieldTableCache>
                        <c:ptCount val="1"/>
                        <c:pt idx="0">
                          <c:v>0.63NaCl-0.37UCl3 (ORNL)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054F-4F25-B71E-3580FB7D42A2}"/>
                </c:ext>
              </c:extLst>
            </c:dLbl>
            <c:dLbl>
              <c:idx val="1"/>
              <c:layout>
                <c:manualLayout>
                  <c:x val="3.1089929548280139E-2"/>
                  <c:y val="1.568788276465432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48043BA-4F93-455A-BDFD-BB5447868CFE}" type="CELLREF">
                      <a:rPr lang="en-US"/>
                      <a:pPr>
                        <a:defRPr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342772942855827"/>
                      <c:h val="9.7931758530183724E-2"/>
                    </c:manualLayout>
                  </c15:layout>
                  <c15:dlblFieldTable>
                    <c15:dlblFTEntry>
                      <c15:txfldGUID>{F48043BA-4F93-455A-BDFD-BB5447868CFE}</c15:txfldGUID>
                      <c15:f>'MFP-PDF_All (2)'!$A$11</c15:f>
                      <c15:dlblFieldTableCache>
                        <c:ptCount val="1"/>
                        <c:pt idx="0">
                          <c:v>0.658NaCl-0.342UCl3 (ANL)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054F-4F25-B71E-3580FB7D42A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'MFP-PDF_All (2)'!$AE$10:$AE$11</c:f>
              <c:numCache>
                <c:formatCode>0.000000</c:formatCode>
                <c:ptCount val="2"/>
                <c:pt idx="0">
                  <c:v>0.30884033107708703</c:v>
                </c:pt>
                <c:pt idx="1">
                  <c:v>0.32145693534244602</c:v>
                </c:pt>
              </c:numCache>
            </c:numRef>
          </c:xVal>
          <c:yVal>
            <c:numRef>
              <c:f>'MFP-PDF_All (2)'!$AC$10:$AC$11</c:f>
              <c:numCache>
                <c:formatCode>General</c:formatCode>
                <c:ptCount val="2"/>
                <c:pt idx="0">
                  <c:v>0.239262577144952</c:v>
                </c:pt>
                <c:pt idx="1">
                  <c:v>0.27567442291687039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54F-4F25-B71E-3580FB7D42A2}"/>
            </c:ext>
          </c:extLst>
        </c:ser>
        <c:ser>
          <c:idx val="2"/>
          <c:order val="4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'MFP-PDF_All (2)'!$AE$12</c:f>
              <c:numCache>
                <c:formatCode>0.000000</c:formatCode>
                <c:ptCount val="1"/>
                <c:pt idx="0">
                  <c:v>0.55623382223307438</c:v>
                </c:pt>
              </c:numCache>
            </c:numRef>
          </c:xVal>
          <c:yVal>
            <c:numRef>
              <c:f>'MFP-PDF_All (2)'!$AC$12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54F-4F25-B71E-3580FB7D42A2}"/>
            </c:ext>
          </c:extLst>
        </c:ser>
        <c:ser>
          <c:idx val="3"/>
          <c:order val="5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B-054F-4F25-B71E-3580FB7D42A2}"/>
            </c:ext>
          </c:extLst>
        </c:ser>
        <c:ser>
          <c:idx val="0"/>
          <c:order val="6"/>
          <c:tx>
            <c:v>Fit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7.3715982870562233E-2"/>
                  <c:y val="0.1257578740157480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'MFP-PDF_All (2)'!$AE$3:$AE$12</c:f>
              <c:numCache>
                <c:formatCode>0.000000</c:formatCode>
                <c:ptCount val="10"/>
                <c:pt idx="0">
                  <c:v>0.36608849367903401</c:v>
                </c:pt>
                <c:pt idx="1">
                  <c:v>0.48162168927176202</c:v>
                </c:pt>
                <c:pt idx="2">
                  <c:v>0.296937775746827</c:v>
                </c:pt>
                <c:pt idx="3">
                  <c:v>0.90535258306336996</c:v>
                </c:pt>
                <c:pt idx="4">
                  <c:v>1.2641169574941</c:v>
                </c:pt>
                <c:pt idx="5">
                  <c:v>0.84284465559077204</c:v>
                </c:pt>
                <c:pt idx="6">
                  <c:v>0.93676902087574598</c:v>
                </c:pt>
                <c:pt idx="7">
                  <c:v>0.30884033107708703</c:v>
                </c:pt>
                <c:pt idx="8">
                  <c:v>0.32145693534244602</c:v>
                </c:pt>
                <c:pt idx="9">
                  <c:v>0.55623382223307438</c:v>
                </c:pt>
              </c:numCache>
            </c:numRef>
          </c:xVal>
          <c:yVal>
            <c:numRef>
              <c:f>'MFP-PDF_All (2)'!$AC$3:$AC$12</c:f>
              <c:numCache>
                <c:formatCode>General</c:formatCode>
                <c:ptCount val="10"/>
                <c:pt idx="0">
                  <c:v>0.47705461868503202</c:v>
                </c:pt>
                <c:pt idx="1">
                  <c:v>0.62171538406412596</c:v>
                </c:pt>
                <c:pt idx="2">
                  <c:v>0.36559719352224501</c:v>
                </c:pt>
                <c:pt idx="3">
                  <c:v>1.2682350574951</c:v>
                </c:pt>
                <c:pt idx="4">
                  <c:v>0.98602842355479803</c:v>
                </c:pt>
                <c:pt idx="5">
                  <c:v>0.78633287605038305</c:v>
                </c:pt>
                <c:pt idx="6">
                  <c:v>0.86544945017474995</c:v>
                </c:pt>
                <c:pt idx="7">
                  <c:v>0.239262577144952</c:v>
                </c:pt>
                <c:pt idx="8">
                  <c:v>0.27567442291687039</c:v>
                </c:pt>
                <c:pt idx="9" formatCode="0.0000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054F-4F25-B71E-3580FB7D4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.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_predicted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  <c:majorUnit val="0.2"/>
      </c:valAx>
      <c:valAx>
        <c:axId val="689706896"/>
        <c:scaling>
          <c:orientation val="minMax"/>
          <c:max val="1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  <c:minorUnit val="4.0000000000000008E-2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67247133581986451"/>
          <c:y val="0.32258347914843982"/>
          <c:w val="0.30383133029423953"/>
          <c:h val="0.546878827646544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PDF-avg_peaks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715782055020897"/>
          <c:y val="4.3650793650793648E-2"/>
          <c:w val="0.52816515991056678"/>
          <c:h val="0.82379640044994373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'MFP-PDF_All (2)'!$BC$3:$BC$5</c:f>
              <c:numCache>
                <c:formatCode>General</c:formatCode>
                <c:ptCount val="3"/>
                <c:pt idx="0">
                  <c:v>90.72271630031301</c:v>
                </c:pt>
                <c:pt idx="1">
                  <c:v>84.225468937404642</c:v>
                </c:pt>
                <c:pt idx="2">
                  <c:v>90.593162358373021</c:v>
                </c:pt>
              </c:numCache>
            </c:numRef>
          </c:xVal>
          <c:yVal>
            <c:numRef>
              <c:f>'MFP-PDF_All (2)'!$BA$3:$BA$5</c:f>
              <c:numCache>
                <c:formatCode>0.00</c:formatCode>
                <c:ptCount val="3"/>
                <c:pt idx="0">
                  <c:v>69.62</c:v>
                </c:pt>
                <c:pt idx="1">
                  <c:v>65.02</c:v>
                </c:pt>
                <c:pt idx="2">
                  <c:v>73.599999999999994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3C-4E06-A142-64E13176EAF6}"/>
            </c:ext>
          </c:extLst>
        </c:ser>
        <c:ser>
          <c:idx val="0"/>
          <c:order val="1"/>
          <c:tx>
            <c:v>Pure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'MFP-PDF_All (2)'!$BC$6</c:f>
              <c:numCache>
                <c:formatCode>General</c:formatCode>
                <c:ptCount val="1"/>
                <c:pt idx="0">
                  <c:v>89.945663506627213</c:v>
                </c:pt>
              </c:numCache>
            </c:numRef>
          </c:xVal>
          <c:yVal>
            <c:numRef>
              <c:f>'MFP-PDF_All (2)'!$BA$6</c:f>
              <c:numCache>
                <c:formatCode>0.00</c:formatCode>
                <c:ptCount val="1"/>
                <c:pt idx="0">
                  <c:v>64.2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3C-4E06-A142-64E13176EAF6}"/>
            </c:ext>
          </c:extLst>
        </c:ser>
        <c:ser>
          <c:idx val="5"/>
          <c:order val="2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'MFP-PDF_All (2)'!$BC$7:$BC$9</c:f>
              <c:numCache>
                <c:formatCode>General</c:formatCode>
                <c:ptCount val="3"/>
                <c:pt idx="0">
                  <c:v>62.155462014813253</c:v>
                </c:pt>
                <c:pt idx="1">
                  <c:v>72.54594420959431</c:v>
                </c:pt>
                <c:pt idx="2">
                  <c:v>65.517260377445623</c:v>
                </c:pt>
              </c:numCache>
            </c:numRef>
          </c:xVal>
          <c:yVal>
            <c:numRef>
              <c:f>'MFP-PDF_All (2)'!$BA$7:$BA$9</c:f>
              <c:numCache>
                <c:formatCode>0.00</c:formatCode>
                <c:ptCount val="3"/>
                <c:pt idx="0">
                  <c:v>72.25800000000001</c:v>
                </c:pt>
                <c:pt idx="1">
                  <c:v>66.024000000000001</c:v>
                </c:pt>
                <c:pt idx="2">
                  <c:v>66.600000000000009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93C-4E06-A142-64E13176EAF6}"/>
            </c:ext>
          </c:extLst>
        </c:ser>
        <c:ser>
          <c:idx val="6"/>
          <c:order val="3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'MFP-PDF_All (2)'!$BC$10:$BC$11</c:f>
              <c:numCache>
                <c:formatCode>General</c:formatCode>
                <c:ptCount val="2"/>
                <c:pt idx="0">
                  <c:v>76.975934910310812</c:v>
                </c:pt>
                <c:pt idx="1">
                  <c:v>83.279373499786757</c:v>
                </c:pt>
              </c:numCache>
            </c:numRef>
          </c:xVal>
          <c:yVal>
            <c:numRef>
              <c:f>'MFP-PDF_All (2)'!$BA$10:$BA$11</c:f>
              <c:numCache>
                <c:formatCode>0.00</c:formatCode>
                <c:ptCount val="2"/>
                <c:pt idx="0">
                  <c:v>99.360600000000005</c:v>
                </c:pt>
                <c:pt idx="1">
                  <c:v>97.109960000000001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93C-4E06-A142-64E13176EAF6}"/>
            </c:ext>
          </c:extLst>
        </c:ser>
        <c:ser>
          <c:idx val="2"/>
          <c:order val="4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'MFP-PDF_All (2)'!$BC$12</c:f>
              <c:numCache>
                <c:formatCode>General</c:formatCode>
                <c:ptCount val="1"/>
                <c:pt idx="0">
                  <c:v>76.025905491019046</c:v>
                </c:pt>
              </c:numCache>
            </c:numRef>
          </c:xVal>
          <c:yVal>
            <c:numRef>
              <c:f>'MFP-PDF_All (2)'!$BA$12</c:f>
              <c:numCache>
                <c:formatCode>0.00</c:formatCode>
                <c:ptCount val="1"/>
                <c:pt idx="0">
                  <c:v>75.38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93C-4E06-A142-64E13176EAF6}"/>
            </c:ext>
          </c:extLst>
        </c:ser>
        <c:ser>
          <c:idx val="3"/>
          <c:order val="5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.000000000000001E-2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250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9-293C-4E06-A142-64E13176EA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C_p,calc (phonon)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1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C_p,measured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635608048993876E-2"/>
              <c:y val="0.305791776027996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0.67928926647326981"/>
          <c:y val="0.38847331583552058"/>
          <c:w val="0.30383133029423953"/>
          <c:h val="0.468753280839895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PDF-avg_peaks</a:t>
            </a:r>
          </a:p>
        </c:rich>
      </c:tx>
      <c:layout>
        <c:manualLayout>
          <c:xMode val="edge"/>
          <c:yMode val="edge"/>
          <c:x val="0.19279228254362943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900991542723829"/>
          <c:y val="4.3650793650793648E-2"/>
          <c:w val="0.51074058688893342"/>
          <c:h val="0.80527777777777776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'MFP-PDF_All (2)'!$AU$3:$AU$5</c:f>
              <c:numCache>
                <c:formatCode>0.00E+00</c:formatCode>
                <c:ptCount val="3"/>
                <c:pt idx="0">
                  <c:v>2311.230914287702</c:v>
                </c:pt>
                <c:pt idx="1">
                  <c:v>2693.7162538043849</c:v>
                </c:pt>
                <c:pt idx="2">
                  <c:v>2009.61655027342</c:v>
                </c:pt>
              </c:numCache>
            </c:numRef>
          </c:xVal>
          <c:yVal>
            <c:numRef>
              <c:f>'MFP-PDF_All (2)'!$AQ$3:$AQ$5</c:f>
              <c:numCache>
                <c:formatCode>0.00E+00</c:formatCode>
                <c:ptCount val="3"/>
                <c:pt idx="0">
                  <c:v>1743.6799999999998</c:v>
                </c:pt>
                <c:pt idx="1">
                  <c:v>2042.3974499999999</c:v>
                </c:pt>
                <c:pt idx="2">
                  <c:v>1597.1839999999997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98-44A9-B9D9-309B985D6BD6}"/>
            </c:ext>
          </c:extLst>
        </c:ser>
        <c:ser>
          <c:idx val="0"/>
          <c:order val="1"/>
          <c:tx>
            <c:v>Pure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'MFP-PDF_All (2)'!$AU$6</c:f>
              <c:numCache>
                <c:formatCode>0.00E+00</c:formatCode>
                <c:ptCount val="1"/>
                <c:pt idx="0">
                  <c:v>3603.0260160657886</c:v>
                </c:pt>
              </c:numCache>
            </c:numRef>
          </c:xVal>
          <c:yVal>
            <c:numRef>
              <c:f>'MFP-PDF_All (2)'!$AQ$6</c:f>
              <c:numCache>
                <c:formatCode>0.00E+00</c:formatCode>
                <c:ptCount val="1"/>
                <c:pt idx="0">
                  <c:v>2547.8000000000002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98-44A9-B9D9-309B985D6BD6}"/>
            </c:ext>
          </c:extLst>
        </c:ser>
        <c:ser>
          <c:idx val="5"/>
          <c:order val="2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'MFP-PDF_All (2)'!$AU$7:$AU$9</c:f>
              <c:numCache>
                <c:formatCode>0.00E+00</c:formatCode>
                <c:ptCount val="3"/>
                <c:pt idx="0">
                  <c:v>2702.4312634272496</c:v>
                </c:pt>
                <c:pt idx="1">
                  <c:v>2200.9716645044032</c:v>
                </c:pt>
                <c:pt idx="2">
                  <c:v>2561.8335184383373</c:v>
                </c:pt>
              </c:numCache>
            </c:numRef>
          </c:xVal>
          <c:yVal>
            <c:numRef>
              <c:f>'MFP-PDF_All (2)'!$AQ$7:$AQ$9</c:f>
              <c:numCache>
                <c:formatCode>0.00E+00</c:formatCode>
                <c:ptCount val="3"/>
                <c:pt idx="0">
                  <c:v>2547.6863757231322</c:v>
                </c:pt>
                <c:pt idx="1">
                  <c:v>2012.468707779205</c:v>
                </c:pt>
                <c:pt idx="2">
                  <c:v>2298.228366828082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598-44A9-B9D9-309B985D6BD6}"/>
            </c:ext>
          </c:extLst>
        </c:ser>
        <c:ser>
          <c:idx val="6"/>
          <c:order val="3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'MFP-PDF_All (2)'!$AU$10:$AU$11</c:f>
              <c:numCache>
                <c:formatCode>0.00E+00</c:formatCode>
                <c:ptCount val="2"/>
                <c:pt idx="0">
                  <c:v>1127.8431507727448</c:v>
                </c:pt>
                <c:pt idx="1">
                  <c:v>1264.7830699883316</c:v>
                </c:pt>
              </c:numCache>
            </c:numRef>
          </c:xVal>
          <c:yVal>
            <c:numRef>
              <c:f>'MFP-PDF_All (2)'!$AQ$10:$AQ$11</c:f>
              <c:numCache>
                <c:formatCode>0.00E+00</c:formatCode>
                <c:ptCount val="2"/>
                <c:pt idx="0">
                  <c:v>1451.7494609289899</c:v>
                </c:pt>
                <c:pt idx="1">
                  <c:v>1470.4555590061771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598-44A9-B9D9-309B985D6BD6}"/>
            </c:ext>
          </c:extLst>
        </c:ser>
        <c:ser>
          <c:idx val="2"/>
          <c:order val="4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'MFP-PDF_All (2)'!$AU$12</c:f>
              <c:numCache>
                <c:formatCode>0.00E+00</c:formatCode>
                <c:ptCount val="1"/>
                <c:pt idx="0">
                  <c:v>1415.0218281228406</c:v>
                </c:pt>
              </c:numCache>
            </c:numRef>
          </c:xVal>
          <c:yVal>
            <c:numRef>
              <c:f>'MFP-PDF_All (2)'!$AQ$12</c:f>
              <c:numCache>
                <c:formatCode>0.00E+00</c:formatCode>
                <c:ptCount val="1"/>
                <c:pt idx="0">
                  <c:v>1403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598-44A9-B9D9-309B985D6BD6}"/>
            </c:ext>
          </c:extLst>
        </c:ser>
        <c:ser>
          <c:idx val="3"/>
          <c:order val="5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6000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6000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9-2598-44A9-B9D9-309B985D6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vs_calc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v_sound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PDF_first_peak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703066721922917"/>
          <c:y val="4.3650793650793648E-2"/>
          <c:w val="0.48245913339779894"/>
          <c:h val="0.82313502478856815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'MFP-PDF_All (2)'!$AL$3</c:f>
              <c:numCache>
                <c:formatCode>General</c:formatCode>
                <c:ptCount val="1"/>
                <c:pt idx="0">
                  <c:v>4.3524260570898789E-10</c:v>
                </c:pt>
              </c:numCache>
            </c:numRef>
          </c:xVal>
          <c:yVal>
            <c:numRef>
              <c:f>'MFP-PDF_All (2)'!$AJ$3</c:f>
              <c:numCache>
                <c:formatCode>0.00E+00</c:formatCode>
                <c:ptCount val="1"/>
                <c:pt idx="0">
                  <c:v>2.63829030993587E-10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FB-4612-846B-2477F6A1CC9C}"/>
            </c:ext>
          </c:extLst>
        </c:ser>
        <c:ser>
          <c:idx val="5"/>
          <c:order val="1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'MFP-PDF_All (2)'!$AL$7:$AL$9</c:f>
              <c:numCache>
                <c:formatCode>General</c:formatCode>
                <c:ptCount val="3"/>
                <c:pt idx="0">
                  <c:v>1.6068580151669531E-10</c:v>
                </c:pt>
                <c:pt idx="1">
                  <c:v>2.4214980323905345E-10</c:v>
                </c:pt>
                <c:pt idx="2">
                  <c:v>2.3780583138410686E-10</c:v>
                </c:pt>
              </c:numCache>
            </c:numRef>
          </c:xVal>
          <c:yVal>
            <c:numRef>
              <c:f>'MFP-PDF_All (2)'!$AJ$7:$AJ$9</c:f>
              <c:numCache>
                <c:formatCode>0.00E+00</c:formatCode>
                <c:ptCount val="3"/>
                <c:pt idx="0">
                  <c:v>1.5469393767735401E-10</c:v>
                </c:pt>
                <c:pt idx="1">
                  <c:v>1.85747165436873E-10</c:v>
                </c:pt>
                <c:pt idx="2">
                  <c:v>1.8261412703366699E-10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FB-4612-846B-2477F6A1CC9C}"/>
            </c:ext>
          </c:extLst>
        </c:ser>
        <c:ser>
          <c:idx val="6"/>
          <c:order val="2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'MFP-PDF_All (2)'!$AL$10:$AL$11</c:f>
              <c:numCache>
                <c:formatCode>General</c:formatCode>
                <c:ptCount val="2"/>
                <c:pt idx="0">
                  <c:v>2.4552541454050528E-10</c:v>
                </c:pt>
                <c:pt idx="1">
                  <c:v>2.7178742571129298E-10</c:v>
                </c:pt>
              </c:numCache>
            </c:numRef>
          </c:xVal>
          <c:yVal>
            <c:numRef>
              <c:f>'MFP-PDF_All (2)'!$AJ$10:$AJ$11</c:f>
              <c:numCache>
                <c:formatCode>0.00E+00</c:formatCode>
                <c:ptCount val="2"/>
                <c:pt idx="0">
                  <c:v>2.7737644361983898E-10</c:v>
                </c:pt>
                <c:pt idx="1">
                  <c:v>2.7737644361983898E-10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3FB-4612-846B-2477F6A1CC9C}"/>
            </c:ext>
          </c:extLst>
        </c:ser>
        <c:ser>
          <c:idx val="2"/>
          <c:order val="3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'MFP-PDF_All (2)'!$AL$12</c:f>
              <c:numCache>
                <c:formatCode>General</c:formatCode>
                <c:ptCount val="1"/>
                <c:pt idx="0">
                  <c:v>2.8676430958411341E-10</c:v>
                </c:pt>
              </c:numCache>
            </c:numRef>
          </c:xVal>
          <c:yVal>
            <c:numRef>
              <c:f>'MFP-PDF_All (2)'!$AJ$12</c:f>
              <c:numCache>
                <c:formatCode>0.00E+00</c:formatCode>
                <c:ptCount val="1"/>
                <c:pt idx="0">
                  <c:v>2.7293000000000001E-10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3FB-4612-846B-2477F6A1CC9C}"/>
            </c:ext>
          </c:extLst>
        </c:ser>
        <c:ser>
          <c:idx val="3"/>
          <c:order val="4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9.9999999999999994E-12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9.9999999999999994E-12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8-93FB-4612-846B-2477F6A1C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6.0000000000000031E-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MFP_calc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6.0000000000000031E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PDF-MFP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PDF-first_peak</a:t>
            </a:r>
          </a:p>
        </c:rich>
      </c:tx>
      <c:layout>
        <c:manualLayout>
          <c:xMode val="edge"/>
          <c:yMode val="edge"/>
          <c:x val="0.21481719390339363"/>
          <c:y val="3.33333333333333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66593759113446"/>
          <c:y val="5.9523809523809521E-2"/>
          <c:w val="0.56891659375911341"/>
          <c:h val="0.77617745698454343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'MFP-PDF_All (2)'!$AF$3</c:f>
              <c:numCache>
                <c:formatCode>0.000000</c:formatCode>
                <c:ptCount val="1"/>
                <c:pt idx="0">
                  <c:v>0.35512727904679298</c:v>
                </c:pt>
              </c:numCache>
            </c:numRef>
          </c:xVal>
          <c:yVal>
            <c:numRef>
              <c:f>'MFP-PDF_All (2)'!$AC$3</c:f>
              <c:numCache>
                <c:formatCode>General</c:formatCode>
                <c:ptCount val="1"/>
                <c:pt idx="0">
                  <c:v>0.47705461868503202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96-4141-81DC-48AF5690E6B6}"/>
            </c:ext>
          </c:extLst>
        </c:ser>
        <c:ser>
          <c:idx val="5"/>
          <c:order val="1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('MFP-PDF_All (2)'!$AF$7,'MFP-PDF_All (2)'!$AF$8,'MFP-PDF_All (2)'!$AF$9)</c:f>
              <c:numCache>
                <c:formatCode>0.000000</c:formatCode>
                <c:ptCount val="3"/>
                <c:pt idx="0">
                  <c:v>0.94926009679603196</c:v>
                </c:pt>
                <c:pt idx="1">
                  <c:v>0.60317663224360296</c:v>
                </c:pt>
                <c:pt idx="2">
                  <c:v>0.75516834485926099</c:v>
                </c:pt>
              </c:numCache>
            </c:numRef>
          </c:xVal>
          <c:yVal>
            <c:numRef>
              <c:f>('MFP-PDF_All (2)'!$AC$7,'MFP-PDF_All (2)'!$AC$8,'MFP-PDF_All (2)'!$AC$9)</c:f>
              <c:numCache>
                <c:formatCode>General</c:formatCode>
                <c:ptCount val="3"/>
                <c:pt idx="0">
                  <c:v>0.98602842355479803</c:v>
                </c:pt>
                <c:pt idx="1">
                  <c:v>0.78633287605038305</c:v>
                </c:pt>
                <c:pt idx="2">
                  <c:v>0.86544945017474995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96-4141-81DC-48AF5690E6B6}"/>
            </c:ext>
          </c:extLst>
        </c:ser>
        <c:ser>
          <c:idx val="6"/>
          <c:order val="2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9.3845873432487625E-2"/>
                  <c:y val="9.8049462567179099E-2"/>
                </c:manualLayout>
              </c:layout>
              <c:tx>
                <c:rich>
                  <a:bodyPr/>
                  <a:lstStyle/>
                  <a:p>
                    <a:fld id="{4E0BA487-CCDC-4FE7-BE25-673E4F54B5AB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328813065033539"/>
                      <c:h val="9.793182102237219E-2"/>
                    </c:manualLayout>
                  </c15:layout>
                  <c15:dlblFieldTable>
                    <c15:dlblFTEntry>
                      <c15:txfldGUID>{4E0BA487-CCDC-4FE7-BE25-673E4F54B5AB}</c15:txfldGUID>
                      <c15:f>'MFP-PDF_All (2)'!$A$10</c15:f>
                      <c15:dlblFieldTableCache>
                        <c:ptCount val="1"/>
                        <c:pt idx="0">
                          <c:v>0.63NaCl-0.37UCl3 (ORNL)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5896-4141-81DC-48AF5690E6B6}"/>
                </c:ext>
              </c:extLst>
            </c:dLbl>
            <c:dLbl>
              <c:idx val="1"/>
              <c:layout>
                <c:manualLayout>
                  <c:x val="3.1089929548280139E-2"/>
                  <c:y val="1.568788276465432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48043BA-4F93-455A-BDFD-BB5447868CFE}" type="CELLREF">
                      <a:rPr lang="en-US"/>
                      <a:pPr>
                        <a:defRPr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342772942855827"/>
                      <c:h val="9.7931758530183724E-2"/>
                    </c:manualLayout>
                  </c15:layout>
                  <c15:dlblFieldTable>
                    <c15:dlblFTEntry>
                      <c15:txfldGUID>{F48043BA-4F93-455A-BDFD-BB5447868CFE}</c15:txfldGUID>
                      <c15:f>'MFP-PDF_All (2)'!$A$11</c15:f>
                      <c15:dlblFieldTableCache>
                        <c:ptCount val="1"/>
                        <c:pt idx="0">
                          <c:v>0.658NaCl-0.342UCl3 (ANL)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5896-4141-81DC-48AF5690E6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'MFP-PDF_All (2)'!$AF$10:$AF$11</c:f>
              <c:numCache>
                <c:formatCode>0.000000</c:formatCode>
                <c:ptCount val="2"/>
                <c:pt idx="0">
                  <c:v>0.27030115340192401</c:v>
                </c:pt>
                <c:pt idx="1">
                  <c:v>0.281343372768316</c:v>
                </c:pt>
              </c:numCache>
            </c:numRef>
          </c:xVal>
          <c:yVal>
            <c:numRef>
              <c:f>'MFP-PDF_All (2)'!$AC$10:$AC$11</c:f>
              <c:numCache>
                <c:formatCode>General</c:formatCode>
                <c:ptCount val="2"/>
                <c:pt idx="0">
                  <c:v>0.239262577144952</c:v>
                </c:pt>
                <c:pt idx="1">
                  <c:v>0.27567442291687039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896-4141-81DC-48AF5690E6B6}"/>
            </c:ext>
          </c:extLst>
        </c:ser>
        <c:ser>
          <c:idx val="2"/>
          <c:order val="3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'MFP-PDF_All (2)'!$AF$12</c:f>
              <c:numCache>
                <c:formatCode>0.000000</c:formatCode>
                <c:ptCount val="1"/>
                <c:pt idx="0">
                  <c:v>0.53393579634110244</c:v>
                </c:pt>
              </c:numCache>
            </c:numRef>
          </c:xVal>
          <c:yVal>
            <c:numRef>
              <c:f>'MFP-PDF_All (2)'!$AC$12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896-4141-81DC-48AF5690E6B6}"/>
            </c:ext>
          </c:extLst>
        </c:ser>
        <c:ser>
          <c:idx val="3"/>
          <c:order val="4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5896-4141-81DC-48AF5690E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.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_predicted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  <c:majorUnit val="0.2"/>
      </c:valAx>
      <c:valAx>
        <c:axId val="689706896"/>
        <c:scaling>
          <c:orientation val="minMax"/>
          <c:max val="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ayout>
        <c:manualLayout>
          <c:xMode val="edge"/>
          <c:yMode val="edge"/>
          <c:x val="0.67247133581986451"/>
          <c:y val="0.32258347914843982"/>
          <c:w val="0.32205682200056962"/>
          <c:h val="0.370895304753572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PDF_first_peak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715782055020897"/>
          <c:y val="4.3650793650793648E-2"/>
          <c:w val="0.52816515991056678"/>
          <c:h val="0.82379640044994373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'MFP-PDF_All (2)'!$BD$3</c:f>
              <c:numCache>
                <c:formatCode>General</c:formatCode>
                <c:ptCount val="1"/>
                <c:pt idx="0">
                  <c:v>114.85313081484222</c:v>
                </c:pt>
              </c:numCache>
            </c:numRef>
          </c:xVal>
          <c:yVal>
            <c:numRef>
              <c:f>'MFP-PDF_All (2)'!$BA$3</c:f>
              <c:numCache>
                <c:formatCode>0.00</c:formatCode>
                <c:ptCount val="1"/>
                <c:pt idx="0">
                  <c:v>69.62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A8-46D2-9835-546DCD6D6375}"/>
            </c:ext>
          </c:extLst>
        </c:ser>
        <c:ser>
          <c:idx val="5"/>
          <c:order val="1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'MFP-PDF_All (2)'!$BD$7:$BD$9</c:f>
              <c:numCache>
                <c:formatCode>General</c:formatCode>
                <c:ptCount val="3"/>
                <c:pt idx="0">
                  <c:v>82.771596319074632</c:v>
                </c:pt>
                <c:pt idx="1">
                  <c:v>101.37156861399767</c:v>
                </c:pt>
                <c:pt idx="2">
                  <c:v>86.728604338817505</c:v>
                </c:pt>
              </c:numCache>
            </c:numRef>
          </c:xVal>
          <c:yVal>
            <c:numRef>
              <c:f>'MFP-PDF_All (2)'!$BA$7:$BA$9</c:f>
              <c:numCache>
                <c:formatCode>0.00</c:formatCode>
                <c:ptCount val="3"/>
                <c:pt idx="0">
                  <c:v>72.25800000000001</c:v>
                </c:pt>
                <c:pt idx="1">
                  <c:v>66.024000000000001</c:v>
                </c:pt>
                <c:pt idx="2">
                  <c:v>66.600000000000009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A8-46D2-9835-546DCD6D6375}"/>
            </c:ext>
          </c:extLst>
        </c:ser>
        <c:ser>
          <c:idx val="6"/>
          <c:order val="2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'MFP-PDF_All (2)'!$BD$10:$BD$11</c:f>
              <c:numCache>
                <c:formatCode>General</c:formatCode>
                <c:ptCount val="2"/>
                <c:pt idx="0">
                  <c:v>87.951060968352678</c:v>
                </c:pt>
                <c:pt idx="1">
                  <c:v>95.153235418578191</c:v>
                </c:pt>
              </c:numCache>
            </c:numRef>
          </c:xVal>
          <c:yVal>
            <c:numRef>
              <c:f>'MFP-PDF_All (2)'!$BA$10:$BA$11</c:f>
              <c:numCache>
                <c:formatCode>0.00</c:formatCode>
                <c:ptCount val="2"/>
                <c:pt idx="0">
                  <c:v>99.360600000000005</c:v>
                </c:pt>
                <c:pt idx="1">
                  <c:v>97.109960000000001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AA8-46D2-9835-546DCD6D6375}"/>
            </c:ext>
          </c:extLst>
        </c:ser>
        <c:ser>
          <c:idx val="2"/>
          <c:order val="3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'MFP-PDF_All (2)'!$BD$12</c:f>
              <c:numCache>
                <c:formatCode>General</c:formatCode>
                <c:ptCount val="1"/>
                <c:pt idx="0">
                  <c:v>79.200870759720317</c:v>
                </c:pt>
              </c:numCache>
            </c:numRef>
          </c:xVal>
          <c:yVal>
            <c:numRef>
              <c:f>'MFP-PDF_All (2)'!$BA$12</c:f>
              <c:numCache>
                <c:formatCode>0.00</c:formatCode>
                <c:ptCount val="1"/>
                <c:pt idx="0">
                  <c:v>75.38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AA8-46D2-9835-546DCD6D6375}"/>
            </c:ext>
          </c:extLst>
        </c:ser>
        <c:ser>
          <c:idx val="3"/>
          <c:order val="4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.000000000000001E-2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250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8-0AA8-46D2-9835-546DCD6D6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C_p,calc (phonon)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1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C_p,measured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635608048993876E-2"/>
              <c:y val="0.305791776027996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ayout>
        <c:manualLayout>
          <c:xMode val="edge"/>
          <c:yMode val="edge"/>
          <c:x val="0.67928926647326981"/>
          <c:y val="0.38847331583552058"/>
          <c:w val="0.32071082567580395"/>
          <c:h val="0.38088291046952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PDF_first_peak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900991542723829"/>
          <c:y val="4.3650793650793648E-2"/>
          <c:w val="0.51074058688893342"/>
          <c:h val="0.80527777777777776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'MFP-PDF_All (2)'!$AV$3</c:f>
              <c:numCache>
                <c:formatCode>0.00E+00</c:formatCode>
                <c:ptCount val="1"/>
                <c:pt idx="0">
                  <c:v>2925.9717672394954</c:v>
                </c:pt>
              </c:numCache>
            </c:numRef>
          </c:xVal>
          <c:yVal>
            <c:numRef>
              <c:f>'MFP-PDF_All (2)'!$AQ$3</c:f>
              <c:numCache>
                <c:formatCode>0.00E+00</c:formatCode>
                <c:ptCount val="1"/>
                <c:pt idx="0">
                  <c:v>1743.6799999999998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E3-4DFB-83B9-3B9827F9EE0D}"/>
            </c:ext>
          </c:extLst>
        </c:ser>
        <c:ser>
          <c:idx val="5"/>
          <c:order val="1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'MFP-PDF_All (2)'!$AV$7:$AV$9</c:f>
              <c:numCache>
                <c:formatCode>0.00E+00</c:formatCode>
                <c:ptCount val="3"/>
                <c:pt idx="0">
                  <c:v>3598.7915199332842</c:v>
                </c:pt>
                <c:pt idx="1">
                  <c:v>3075.5123878622944</c:v>
                </c:pt>
                <c:pt idx="2">
                  <c:v>3391.23223899404</c:v>
                </c:pt>
              </c:numCache>
            </c:numRef>
          </c:xVal>
          <c:yVal>
            <c:numRef>
              <c:f>'MFP-PDF_All (2)'!$AQ$7:$AQ$9</c:f>
              <c:numCache>
                <c:formatCode>0.00E+00</c:formatCode>
                <c:ptCount val="3"/>
                <c:pt idx="0">
                  <c:v>2547.6863757231322</c:v>
                </c:pt>
                <c:pt idx="1">
                  <c:v>2012.468707779205</c:v>
                </c:pt>
                <c:pt idx="2">
                  <c:v>2298.228366828082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E3-4DFB-83B9-3B9827F9EE0D}"/>
            </c:ext>
          </c:extLst>
        </c:ser>
        <c:ser>
          <c:idx val="6"/>
          <c:order val="2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'MFP-PDF_All (2)'!$AV$10:$AV$11</c:f>
              <c:numCache>
                <c:formatCode>0.00E+00</c:formatCode>
                <c:ptCount val="2"/>
                <c:pt idx="0">
                  <c:v>1288.6495218529099</c:v>
                </c:pt>
                <c:pt idx="1">
                  <c:v>1445.1141519735368</c:v>
                </c:pt>
              </c:numCache>
            </c:numRef>
          </c:xVal>
          <c:yVal>
            <c:numRef>
              <c:f>'MFP-PDF_All (2)'!$AQ$10:$AQ$11</c:f>
              <c:numCache>
                <c:formatCode>0.00E+00</c:formatCode>
                <c:ptCount val="2"/>
                <c:pt idx="0">
                  <c:v>1451.7494609289899</c:v>
                </c:pt>
                <c:pt idx="1">
                  <c:v>1470.4555590061771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3E3-4DFB-83B9-3B9827F9EE0D}"/>
            </c:ext>
          </c:extLst>
        </c:ser>
        <c:ser>
          <c:idx val="2"/>
          <c:order val="3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'MFP-PDF_All (2)'!$AV$12</c:f>
              <c:numCache>
                <c:formatCode>0.00E+00</c:formatCode>
                <c:ptCount val="1"/>
                <c:pt idx="0">
                  <c:v>1474.1154374620271</c:v>
                </c:pt>
              </c:numCache>
            </c:numRef>
          </c:xVal>
          <c:yVal>
            <c:numRef>
              <c:f>'MFP-PDF_All (2)'!$AQ$12</c:f>
              <c:numCache>
                <c:formatCode>0.00E+00</c:formatCode>
                <c:ptCount val="1"/>
                <c:pt idx="0">
                  <c:v>1403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3E3-4DFB-83B9-3B9827F9EE0D}"/>
            </c:ext>
          </c:extLst>
        </c:ser>
        <c:ser>
          <c:idx val="3"/>
          <c:order val="4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6000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6000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8-E3E3-4DFB-83B9-3B9827F9E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vs_calc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v_sound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PDF-avg_peak</a:t>
            </a:r>
          </a:p>
        </c:rich>
      </c:tx>
      <c:layout>
        <c:manualLayout>
          <c:xMode val="edge"/>
          <c:yMode val="edge"/>
          <c:x val="0.21481719390339363"/>
          <c:y val="3.33333333333333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66593759113446"/>
          <c:y val="5.9523809523809521E-2"/>
          <c:w val="0.56891659375911341"/>
          <c:h val="0.77617745698454343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'MFP-PDF_All (2)'!$AO$3:$AO$5</c:f>
              <c:numCache>
                <c:formatCode>0.00E+00</c:formatCode>
                <c:ptCount val="3"/>
                <c:pt idx="0">
                  <c:v>2.0640716413749399E-4</c:v>
                </c:pt>
                <c:pt idx="1">
                  <c:v>2.30802105895922E-4</c:v>
                </c:pt>
                <c:pt idx="2">
                  <c:v>1.8192385680367899E-4</c:v>
                </c:pt>
              </c:numCache>
            </c:numRef>
          </c:xVal>
          <c:yVal>
            <c:numRef>
              <c:f>'MFP-PDF_All (2)'!$AC$3:$AC$5</c:f>
              <c:numCache>
                <c:formatCode>General</c:formatCode>
                <c:ptCount val="3"/>
                <c:pt idx="0">
                  <c:v>0.47705461868503202</c:v>
                </c:pt>
                <c:pt idx="1">
                  <c:v>0.62171538406412596</c:v>
                </c:pt>
                <c:pt idx="2">
                  <c:v>0.36559719352224501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87-49C0-94BC-8041E7033C22}"/>
            </c:ext>
          </c:extLst>
        </c:ser>
        <c:ser>
          <c:idx val="5"/>
          <c:order val="1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'MFP-PDF_All (2)'!$AO$7:$AO$9</c:f>
              <c:numCache>
                <c:formatCode>0.00E+00</c:formatCode>
                <c:ptCount val="3"/>
                <c:pt idx="0">
                  <c:v>3.64867161248093E-4</c:v>
                </c:pt>
                <c:pt idx="1">
                  <c:v>3.5726624232913199E-4</c:v>
                </c:pt>
                <c:pt idx="2">
                  <c:v>3.3782423562883098E-4</c:v>
                </c:pt>
              </c:numCache>
            </c:numRef>
          </c:xVal>
          <c:yVal>
            <c:numRef>
              <c:f>('MFP-PDF_All (2)'!$AC$7,'MFP-PDF_All (2)'!$AC$8,'MFP-PDF_All (2)'!$AC$9)</c:f>
              <c:numCache>
                <c:formatCode>General</c:formatCode>
                <c:ptCount val="3"/>
                <c:pt idx="0">
                  <c:v>0.98602842355479803</c:v>
                </c:pt>
                <c:pt idx="1">
                  <c:v>0.78633287605038305</c:v>
                </c:pt>
                <c:pt idx="2">
                  <c:v>0.86544945017474995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87-49C0-94BC-8041E7033C22}"/>
            </c:ext>
          </c:extLst>
        </c:ser>
        <c:ser>
          <c:idx val="6"/>
          <c:order val="2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9.3845873432487625E-2"/>
                  <c:y val="9.8049462567179099E-2"/>
                </c:manualLayout>
              </c:layout>
              <c:tx>
                <c:rich>
                  <a:bodyPr/>
                  <a:lstStyle/>
                  <a:p>
                    <a:fld id="{4E0BA487-CCDC-4FE7-BE25-673E4F54B5AB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328813065033539"/>
                      <c:h val="9.793182102237219E-2"/>
                    </c:manualLayout>
                  </c15:layout>
                  <c15:dlblFieldTable>
                    <c15:dlblFTEntry>
                      <c15:txfldGUID>{4E0BA487-CCDC-4FE7-BE25-673E4F54B5AB}</c15:txfldGUID>
                      <c15:f>'MFP-PDF_All (2)'!$A$10</c15:f>
                      <c15:dlblFieldTableCache>
                        <c:ptCount val="1"/>
                        <c:pt idx="0">
                          <c:v>0.63NaCl-0.37UCl3 (ORNL)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7C87-49C0-94BC-8041E7033C22}"/>
                </c:ext>
              </c:extLst>
            </c:dLbl>
            <c:dLbl>
              <c:idx val="1"/>
              <c:layout>
                <c:manualLayout>
                  <c:x val="3.1089929548280139E-2"/>
                  <c:y val="1.568788276465432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48043BA-4F93-455A-BDFD-BB5447868CFE}" type="CELLREF">
                      <a:rPr lang="en-US"/>
                      <a:pPr>
                        <a:defRPr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342772942855827"/>
                      <c:h val="9.7931758530183724E-2"/>
                    </c:manualLayout>
                  </c15:layout>
                  <c15:dlblFieldTable>
                    <c15:dlblFTEntry>
                      <c15:txfldGUID>{F48043BA-4F93-455A-BDFD-BB5447868CFE}</c15:txfldGUID>
                      <c15:f>'MFP-PDF_All (2)'!$A$11</c15:f>
                      <c15:dlblFieldTableCache>
                        <c:ptCount val="1"/>
                        <c:pt idx="0">
                          <c:v>0.658NaCl-0.342UCl3 (ANL)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7C87-49C0-94BC-8041E7033C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'MFP-PDF_All (2)'!$AO$10:$AO$11</c:f>
              <c:numCache>
                <c:formatCode>0.00E+00</c:formatCode>
                <c:ptCount val="2"/>
                <c:pt idx="0">
                  <c:v>2.12141712241654E-4</c:v>
                </c:pt>
                <c:pt idx="1">
                  <c:v>2.1796182243284901E-4</c:v>
                </c:pt>
              </c:numCache>
            </c:numRef>
          </c:xVal>
          <c:yVal>
            <c:numRef>
              <c:f>'MFP-PDF_All (2)'!$AC$10:$AC$11</c:f>
              <c:numCache>
                <c:formatCode>General</c:formatCode>
                <c:ptCount val="2"/>
                <c:pt idx="0">
                  <c:v>0.239262577144952</c:v>
                </c:pt>
                <c:pt idx="1">
                  <c:v>0.27567442291687039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C87-49C0-94BC-8041E7033C22}"/>
            </c:ext>
          </c:extLst>
        </c:ser>
        <c:ser>
          <c:idx val="2"/>
          <c:order val="3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'MFP-PDF_All (2)'!$AO$12</c:f>
              <c:numCache>
                <c:formatCode>0.00E+00</c:formatCode>
                <c:ptCount val="1"/>
                <c:pt idx="0">
                  <c:v>3.9646031520532745E-4</c:v>
                </c:pt>
              </c:numCache>
            </c:numRef>
          </c:xVal>
          <c:yVal>
            <c:numRef>
              <c:f>'MFP-PDF_All (2)'!$AC$12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C87-49C0-94BC-8041E7033C22}"/>
            </c:ext>
          </c:extLst>
        </c:ser>
        <c:ser>
          <c:idx val="3"/>
          <c:order val="4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1"/>
            <c:dispEq val="0"/>
            <c:trendlineLbl>
              <c:layout>
                <c:manualLayout>
                  <c:x val="-0.14856331023774766"/>
                  <c:y val="0.108100029163021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'MFP-PDF_All (2)'!$AO$3:$AO$12</c:f>
              <c:numCache>
                <c:formatCode>0.00E+00</c:formatCode>
                <c:ptCount val="10"/>
                <c:pt idx="0">
                  <c:v>2.0640716413749399E-4</c:v>
                </c:pt>
                <c:pt idx="1">
                  <c:v>2.30802105895922E-4</c:v>
                </c:pt>
                <c:pt idx="2">
                  <c:v>1.8192385680367899E-4</c:v>
                </c:pt>
                <c:pt idx="3">
                  <c:v>3.5199164586657898E-4</c:v>
                </c:pt>
                <c:pt idx="4">
                  <c:v>3.64867161248093E-4</c:v>
                </c:pt>
                <c:pt idx="5">
                  <c:v>3.5726624232913199E-4</c:v>
                </c:pt>
                <c:pt idx="6">
                  <c:v>3.3782423562883098E-4</c:v>
                </c:pt>
                <c:pt idx="7">
                  <c:v>2.12141712241654E-4</c:v>
                </c:pt>
                <c:pt idx="8">
                  <c:v>2.1796182243284901E-4</c:v>
                </c:pt>
                <c:pt idx="9">
                  <c:v>3.9646031520532745E-4</c:v>
                </c:pt>
              </c:numCache>
            </c:numRef>
          </c:xVal>
          <c:yVal>
            <c:numRef>
              <c:f>'MFP-PDF_All (2)'!$AC$3:$AC$12</c:f>
              <c:numCache>
                <c:formatCode>General</c:formatCode>
                <c:ptCount val="10"/>
                <c:pt idx="0">
                  <c:v>0.47705461868503202</c:v>
                </c:pt>
                <c:pt idx="1">
                  <c:v>0.62171538406412596</c:v>
                </c:pt>
                <c:pt idx="2">
                  <c:v>0.36559719352224501</c:v>
                </c:pt>
                <c:pt idx="3">
                  <c:v>1.2682350574951</c:v>
                </c:pt>
                <c:pt idx="4">
                  <c:v>0.98602842355479803</c:v>
                </c:pt>
                <c:pt idx="5">
                  <c:v>0.78633287605038305</c:v>
                </c:pt>
                <c:pt idx="6">
                  <c:v>0.86544945017474995</c:v>
                </c:pt>
                <c:pt idx="7">
                  <c:v>0.239262577144952</c:v>
                </c:pt>
                <c:pt idx="8">
                  <c:v>0.27567442291687039</c:v>
                </c:pt>
                <c:pt idx="9" formatCode="0.0000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C87-49C0-94BC-8041E7033C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1/3*cp*MFP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ayout>
        <c:manualLayout>
          <c:xMode val="edge"/>
          <c:yMode val="edge"/>
          <c:x val="0.67247133581986451"/>
          <c:y val="0.32258347914843982"/>
          <c:w val="0.32205682200056962"/>
          <c:h val="0.370895304753572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66593759113446"/>
          <c:y val="5.9523809523809521E-2"/>
          <c:w val="0.56891659375911341"/>
          <c:h val="0.77617745698454343"/>
        </c:manualLayout>
      </c:layout>
      <c:scatterChart>
        <c:scatterStyle val="lineMarker"/>
        <c:varyColors val="0"/>
        <c:ser>
          <c:idx val="4"/>
          <c:order val="0"/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'MFP-PDF_All (2)'!$AG$3:$AG$5</c:f>
              <c:numCache>
                <c:formatCode>0.00E+00</c:formatCode>
                <c:ptCount val="3"/>
                <c:pt idx="0">
                  <c:v>1096065992.68455</c:v>
                </c:pt>
                <c:pt idx="1">
                  <c:v>1596825626.1070199</c:v>
                </c:pt>
                <c:pt idx="2">
                  <c:v>820903913.34655297</c:v>
                </c:pt>
              </c:numCache>
            </c:numRef>
          </c:xVal>
          <c:yVal>
            <c:numRef>
              <c:f>'MFP-PDF_All (2)'!$AC$3:$AC$5</c:f>
              <c:numCache>
                <c:formatCode>General</c:formatCode>
                <c:ptCount val="3"/>
                <c:pt idx="0">
                  <c:v>0.47705461868503202</c:v>
                </c:pt>
                <c:pt idx="1">
                  <c:v>0.62171538406412596</c:v>
                </c:pt>
                <c:pt idx="2">
                  <c:v>0.36559719352224501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9D-4B12-A225-F8C03453AB6B}"/>
            </c:ext>
          </c:extLst>
        </c:ser>
        <c:ser>
          <c:idx val="5"/>
          <c:order val="1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'MFP-PDF_All (2)'!$AG$7:$AG$9</c:f>
              <c:numCache>
                <c:formatCode>0.00E+00</c:formatCode>
                <c:ptCount val="3"/>
                <c:pt idx="0">
                  <c:v>6136375549.3502598</c:v>
                </c:pt>
                <c:pt idx="1">
                  <c:v>3247299256.6262999</c:v>
                </c:pt>
                <c:pt idx="2">
                  <c:v>3639311303.4173899</c:v>
                </c:pt>
              </c:numCache>
            </c:numRef>
          </c:xVal>
          <c:yVal>
            <c:numRef>
              <c:f>('MFP-PDF_All (2)'!$AC$7,'MFP-PDF_All (2)'!$AC$8,'MFP-PDF_All (2)'!$AC$9)</c:f>
              <c:numCache>
                <c:formatCode>General</c:formatCode>
                <c:ptCount val="3"/>
                <c:pt idx="0">
                  <c:v>0.98602842355479803</c:v>
                </c:pt>
                <c:pt idx="1">
                  <c:v>0.78633287605038305</c:v>
                </c:pt>
                <c:pt idx="2">
                  <c:v>0.86544945017474995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9D-4B12-A225-F8C03453AB6B}"/>
            </c:ext>
          </c:extLst>
        </c:ser>
        <c:ser>
          <c:idx val="6"/>
          <c:order val="2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9.3845873432487625E-2"/>
                  <c:y val="9.8049462567179099E-2"/>
                </c:manualLayout>
              </c:layout>
              <c:tx>
                <c:rich>
                  <a:bodyPr/>
                  <a:lstStyle/>
                  <a:p>
                    <a:fld id="{4E0BA487-CCDC-4FE7-BE25-673E4F54B5AB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328813065033539"/>
                      <c:h val="9.793182102237219E-2"/>
                    </c:manualLayout>
                  </c15:layout>
                  <c15:dlblFieldTable>
                    <c15:dlblFTEntry>
                      <c15:txfldGUID>{4E0BA487-CCDC-4FE7-BE25-673E4F54B5AB}</c15:txfldGUID>
                      <c15:f>'MFP-PDF_All (2)'!$A$10</c15:f>
                      <c15:dlblFieldTableCache>
                        <c:ptCount val="1"/>
                        <c:pt idx="0">
                          <c:v>0.63NaCl-0.37UCl3 (ORNL)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9B9D-4B12-A225-F8C03453AB6B}"/>
                </c:ext>
              </c:extLst>
            </c:dLbl>
            <c:dLbl>
              <c:idx val="1"/>
              <c:layout>
                <c:manualLayout>
                  <c:x val="3.1089929548280139E-2"/>
                  <c:y val="1.568788276465432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48043BA-4F93-455A-BDFD-BB5447868CFE}" type="CELLREF">
                      <a:rPr lang="en-US"/>
                      <a:pPr>
                        <a:defRPr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342772942855827"/>
                      <c:h val="9.7931758530183724E-2"/>
                    </c:manualLayout>
                  </c15:layout>
                  <c15:dlblFieldTable>
                    <c15:dlblFTEntry>
                      <c15:txfldGUID>{F48043BA-4F93-455A-BDFD-BB5447868CFE}</c15:txfldGUID>
                      <c15:f>'MFP-PDF_All (2)'!$A$11</c15:f>
                      <c15:dlblFieldTableCache>
                        <c:ptCount val="1"/>
                        <c:pt idx="0">
                          <c:v>0.658NaCl-0.342UCl3 (ANL)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9B9D-4B12-A225-F8C03453AB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'MFP-PDF_All (2)'!$AG$10:$AG$11</c:f>
              <c:numCache>
                <c:formatCode>0.00E+00</c:formatCode>
                <c:ptCount val="2"/>
                <c:pt idx="0">
                  <c:v>974492101.32778299</c:v>
                </c:pt>
                <c:pt idx="1">
                  <c:v>1014301607.94012</c:v>
                </c:pt>
              </c:numCache>
            </c:numRef>
          </c:xVal>
          <c:yVal>
            <c:numRef>
              <c:f>'MFP-PDF_All (2)'!$AC$10:$AC$11</c:f>
              <c:numCache>
                <c:formatCode>General</c:formatCode>
                <c:ptCount val="2"/>
                <c:pt idx="0">
                  <c:v>0.239262577144952</c:v>
                </c:pt>
                <c:pt idx="1">
                  <c:v>0.27567442291687039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B9D-4B12-A225-F8C03453AB6B}"/>
            </c:ext>
          </c:extLst>
        </c:ser>
        <c:ser>
          <c:idx val="2"/>
          <c:order val="3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'MFP-PDF_All (2)'!$AG$12</c:f>
              <c:numCache>
                <c:formatCode>0.00E+00</c:formatCode>
                <c:ptCount val="1"/>
                <c:pt idx="0">
                  <c:v>1956310395.8564556</c:v>
                </c:pt>
              </c:numCache>
            </c:numRef>
          </c:xVal>
          <c:yVal>
            <c:numRef>
              <c:f>'MFP-PDF_All (2)'!$AC$12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B9D-4B12-A225-F8C03453A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4"/>
                <c:tx>
                  <c:v>Ideal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noFill/>
                    <a:ln w="9525">
                      <a:noFill/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4"/>
                      </a:solidFill>
                      <a:prstDash val="sysDot"/>
                    </a:ln>
                    <a:effectLst/>
                  </c:spPr>
                  <c:trendlineType val="linear"/>
                  <c:forward val="1.0000000000000005E-9"/>
                  <c:intercept val="0"/>
                  <c:dispRSqr val="0"/>
                  <c:dispEq val="0"/>
                </c:trendline>
                <c:x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2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2</c:v>
                    </c:pt>
                  </c:numLit>
                </c:yVal>
                <c:smooth val="0"/>
                <c:extLst>
                  <c:ext xmlns:c16="http://schemas.microsoft.com/office/drawing/2014/chart" uri="{C3380CC4-5D6E-409C-BE32-E72D297353CC}">
                    <c16:uniqueId val="{0000000A-9B9D-4B12-A225-F8C03453AB6B}"/>
                  </c:ext>
                </c:extLst>
              </c15:ser>
            </c15:filteredScatterSeries>
          </c:ext>
        </c:extLst>
      </c:scatterChart>
      <c:valAx>
        <c:axId val="75714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1/3*cp*vs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>
        <c:manualLayout>
          <c:xMode val="edge"/>
          <c:yMode val="edge"/>
          <c:x val="0.67247133581986451"/>
          <c:y val="0.32258347914843982"/>
          <c:w val="0.32205682200056962"/>
          <c:h val="0.370895304753572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PDF-avg_peak</a:t>
            </a:r>
          </a:p>
        </c:rich>
      </c:tx>
      <c:layout>
        <c:manualLayout>
          <c:xMode val="edge"/>
          <c:yMode val="edge"/>
          <c:x val="0.21481719390339363"/>
          <c:y val="3.33333333333333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66593759113446"/>
          <c:y val="5.9523809523809521E-2"/>
          <c:w val="0.56891659375911341"/>
          <c:h val="0.77617745698454343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'MFP-PDF_All (2)'!$AX$3:$AX$5</c:f>
              <c:numCache>
                <c:formatCode>General</c:formatCode>
                <c:ptCount val="3"/>
                <c:pt idx="0">
                  <c:v>5.2583811215029296E-3</c:v>
                </c:pt>
                <c:pt idx="1">
                  <c:v>7.3815603748811102E-3</c:v>
                </c:pt>
                <c:pt idx="2">
                  <c:v>4.0355936806355996E-3</c:v>
                </c:pt>
              </c:numCache>
            </c:numRef>
          </c:xVal>
          <c:yVal>
            <c:numRef>
              <c:f>'MFP-PDF_All (2)'!$AC$3:$AC$5</c:f>
              <c:numCache>
                <c:formatCode>General</c:formatCode>
                <c:ptCount val="3"/>
                <c:pt idx="0">
                  <c:v>0.47705461868503202</c:v>
                </c:pt>
                <c:pt idx="1">
                  <c:v>0.62171538406412596</c:v>
                </c:pt>
                <c:pt idx="2">
                  <c:v>0.36559719352224501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26-4F75-B2F9-9C9108A2696C}"/>
            </c:ext>
          </c:extLst>
        </c:ser>
        <c:ser>
          <c:idx val="5"/>
          <c:order val="1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'MFP-PDF_All (2)'!$AX$7:$AX$9</c:f>
              <c:numCache>
                <c:formatCode>General</c:formatCode>
                <c:ptCount val="3"/>
                <c:pt idx="0">
                  <c:v>1.58639062697306E-2</c:v>
                </c:pt>
                <c:pt idx="1">
                  <c:v>1.0839101821854699E-2</c:v>
                </c:pt>
                <c:pt idx="2">
                  <c:v>1.32094877775549E-2</c:v>
                </c:pt>
              </c:numCache>
            </c:numRef>
          </c:xVal>
          <c:yVal>
            <c:numRef>
              <c:f>('MFP-PDF_All (2)'!$AC$7,'MFP-PDF_All (2)'!$AC$8,'MFP-PDF_All (2)'!$AC$9)</c:f>
              <c:numCache>
                <c:formatCode>General</c:formatCode>
                <c:ptCount val="3"/>
                <c:pt idx="0">
                  <c:v>0.98602842355479803</c:v>
                </c:pt>
                <c:pt idx="1">
                  <c:v>0.78633287605038305</c:v>
                </c:pt>
                <c:pt idx="2">
                  <c:v>0.86544945017474995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26-4F75-B2F9-9C9108A2696C}"/>
            </c:ext>
          </c:extLst>
        </c:ser>
        <c:ser>
          <c:idx val="6"/>
          <c:order val="2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9.3845873432487625E-2"/>
                  <c:y val="9.8049462567179099E-2"/>
                </c:manualLayout>
              </c:layout>
              <c:tx>
                <c:rich>
                  <a:bodyPr/>
                  <a:lstStyle/>
                  <a:p>
                    <a:fld id="{4E0BA487-CCDC-4FE7-BE25-673E4F54B5AB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328813065033539"/>
                      <c:h val="9.793182102237219E-2"/>
                    </c:manualLayout>
                  </c15:layout>
                  <c15:dlblFieldTable>
                    <c15:dlblFTEntry>
                      <c15:txfldGUID>{4E0BA487-CCDC-4FE7-BE25-673E4F54B5AB}</c15:txfldGUID>
                      <c15:f>'MFP-PDF_All (2)'!$A$10</c15:f>
                      <c15:dlblFieldTableCache>
                        <c:ptCount val="1"/>
                        <c:pt idx="0">
                          <c:v>0.63NaCl-0.37UCl3 (ORNL)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9326-4F75-B2F9-9C9108A2696C}"/>
                </c:ext>
              </c:extLst>
            </c:dLbl>
            <c:dLbl>
              <c:idx val="1"/>
              <c:layout>
                <c:manualLayout>
                  <c:x val="3.1089929548280139E-2"/>
                  <c:y val="1.568788276465432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48043BA-4F93-455A-BDFD-BB5447868CFE}" type="CELLREF">
                      <a:rPr lang="en-US"/>
                      <a:pPr>
                        <a:defRPr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342772942855827"/>
                      <c:h val="9.7931758530183724E-2"/>
                    </c:manualLayout>
                  </c15:layout>
                  <c15:dlblFieldTable>
                    <c15:dlblFTEntry>
                      <c15:txfldGUID>{F48043BA-4F93-455A-BDFD-BB5447868CFE}</c15:txfldGUID>
                      <c15:f>'MFP-PDF_All (2)'!$A$11</c15:f>
                      <c15:dlblFieldTableCache>
                        <c:ptCount val="1"/>
                        <c:pt idx="0">
                          <c:v>0.658NaCl-0.342UCl3 (ANL)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9326-4F75-B2F9-9C9108A269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'MFP-PDF_All (2)'!$AX$10:$AX$11</c:f>
              <c:numCache>
                <c:formatCode>General</c:formatCode>
                <c:ptCount val="2"/>
                <c:pt idx="0">
                  <c:v>3.1082776379881701E-3</c:v>
                </c:pt>
                <c:pt idx="1">
                  <c:v>3.3102365127371698E-3</c:v>
                </c:pt>
              </c:numCache>
            </c:numRef>
          </c:xVal>
          <c:yVal>
            <c:numRef>
              <c:f>'MFP-PDF_All (2)'!$AC$10:$AC$11</c:f>
              <c:numCache>
                <c:formatCode>General</c:formatCode>
                <c:ptCount val="2"/>
                <c:pt idx="0">
                  <c:v>0.239262577144952</c:v>
                </c:pt>
                <c:pt idx="1">
                  <c:v>0.27567442291687039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326-4F75-B2F9-9C9108A2696C}"/>
            </c:ext>
          </c:extLst>
        </c:ser>
        <c:ser>
          <c:idx val="2"/>
          <c:order val="3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'MFP-PDF_All (2)'!$AX$12</c:f>
              <c:numCache>
                <c:formatCode>General</c:formatCode>
                <c:ptCount val="1"/>
                <c:pt idx="0">
                  <c:v>7.3790637069922312E-3</c:v>
                </c:pt>
              </c:numCache>
            </c:numRef>
          </c:xVal>
          <c:yVal>
            <c:numRef>
              <c:f>'MFP-PDF_All (2)'!$AC$12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326-4F75-B2F9-9C9108A2696C}"/>
            </c:ext>
          </c:extLst>
        </c:ser>
        <c:ser>
          <c:idx val="3"/>
          <c:order val="4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1"/>
            <c:dispEq val="0"/>
            <c:trendlineLbl>
              <c:layout>
                <c:manualLayout>
                  <c:x val="-0.12863286825988857"/>
                  <c:y val="0.1167629046369203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'MFP-PDF_All (2)'!$AX$3:$AX$12</c:f>
              <c:numCache>
                <c:formatCode>General</c:formatCode>
                <c:ptCount val="10"/>
                <c:pt idx="0">
                  <c:v>5.2583811215029296E-3</c:v>
                </c:pt>
                <c:pt idx="1">
                  <c:v>7.3815603748811102E-3</c:v>
                </c:pt>
                <c:pt idx="2">
                  <c:v>4.0355936806355996E-3</c:v>
                </c:pt>
                <c:pt idx="3">
                  <c:v>1.4100013364198E-2</c:v>
                </c:pt>
                <c:pt idx="4">
                  <c:v>1.58639062697306E-2</c:v>
                </c:pt>
                <c:pt idx="5">
                  <c:v>1.0839101821854699E-2</c:v>
                </c:pt>
                <c:pt idx="6">
                  <c:v>1.32094877775549E-2</c:v>
                </c:pt>
                <c:pt idx="7">
                  <c:v>3.1082776379881701E-3</c:v>
                </c:pt>
                <c:pt idx="8">
                  <c:v>3.3102365127371698E-3</c:v>
                </c:pt>
                <c:pt idx="9">
                  <c:v>7.3790637069922312E-3</c:v>
                </c:pt>
              </c:numCache>
            </c:numRef>
          </c:xVal>
          <c:yVal>
            <c:numRef>
              <c:f>'MFP-PDF_All (2)'!$AC$3:$AC$12</c:f>
              <c:numCache>
                <c:formatCode>General</c:formatCode>
                <c:ptCount val="10"/>
                <c:pt idx="0">
                  <c:v>0.47705461868503202</c:v>
                </c:pt>
                <c:pt idx="1">
                  <c:v>0.62171538406412596</c:v>
                </c:pt>
                <c:pt idx="2">
                  <c:v>0.36559719352224501</c:v>
                </c:pt>
                <c:pt idx="3">
                  <c:v>1.2682350574951</c:v>
                </c:pt>
                <c:pt idx="4">
                  <c:v>0.98602842355479803</c:v>
                </c:pt>
                <c:pt idx="5">
                  <c:v>0.78633287605038305</c:v>
                </c:pt>
                <c:pt idx="6">
                  <c:v>0.86544945017474995</c:v>
                </c:pt>
                <c:pt idx="7">
                  <c:v>0.239262577144952</c:v>
                </c:pt>
                <c:pt idx="8">
                  <c:v>0.27567442291687039</c:v>
                </c:pt>
                <c:pt idx="9" formatCode="0.00000">
                  <c:v>0.56100000000000005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9326-4F75-B2F9-9C9108A26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  <c:extLst/>
      </c:scatterChart>
      <c:valAx>
        <c:axId val="75714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1/3*vs*MFP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ayout>
        <c:manualLayout>
          <c:xMode val="edge"/>
          <c:yMode val="edge"/>
          <c:x val="0.67247133581986451"/>
          <c:y val="0.32258347914843982"/>
          <c:w val="0.32205682200056962"/>
          <c:h val="0.370895304753572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PDF-avg_peak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703066721922917"/>
          <c:y val="4.3650793650793648E-2"/>
          <c:w val="0.53801468895335458"/>
          <c:h val="0.82313502478856815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'MFP-PDF_All (2)'!$BE$3:$BE$5</c:f>
              <c:numCache>
                <c:formatCode>0.00E+00</c:formatCode>
                <c:ptCount val="3"/>
                <c:pt idx="0">
                  <c:v>3.7944326183477726E-10</c:v>
                </c:pt>
                <c:pt idx="1">
                  <c:v>5.0986492855295244E-10</c:v>
                </c:pt>
                <c:pt idx="2">
                  <c:v>4.5335791979318428E-10</c:v>
                </c:pt>
              </c:numCache>
            </c:numRef>
          </c:xVal>
          <c:yVal>
            <c:numRef>
              <c:f>'MFP-PDF_All (2)'!$AI$3:$AI$5</c:f>
              <c:numCache>
                <c:formatCode>0.00E+00</c:formatCode>
                <c:ptCount val="3"/>
                <c:pt idx="0">
                  <c:v>3.3400223720324102E-10</c:v>
                </c:pt>
                <c:pt idx="1">
                  <c:v>3.0056447474785299E-10</c:v>
                </c:pt>
                <c:pt idx="2">
                  <c:v>3.6182029353950698E-10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33-4A0D-B8A6-76CDFB58789B}"/>
            </c:ext>
          </c:extLst>
        </c:ser>
        <c:ser>
          <c:idx val="5"/>
          <c:order val="1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'MFP-PDF_All (2)'!$BE$7:$BE$9</c:f>
              <c:numCache>
                <c:formatCode>0.00E+00</c:formatCode>
                <c:ptCount val="3"/>
                <c:pt idx="0">
                  <c:v>3.8338347353322035E-9</c:v>
                </c:pt>
                <c:pt idx="1">
                  <c:v>2.8369914793196441E-9</c:v>
                </c:pt>
                <c:pt idx="2">
                  <c:v>8.4406168446792717E-10</c:v>
                </c:pt>
              </c:numCache>
            </c:numRef>
          </c:xVal>
          <c:yVal>
            <c:numRef>
              <c:f>'MFP-PDF_All (2)'!$AI$7:$AI$9</c:f>
              <c:numCache>
                <c:formatCode>0.00E+00</c:formatCode>
                <c:ptCount val="3"/>
                <c:pt idx="0">
                  <c:v>2.06003844994128E-10</c:v>
                </c:pt>
                <c:pt idx="1">
                  <c:v>2.5955250470707202E-10</c:v>
                </c:pt>
                <c:pt idx="2">
                  <c:v>2.4173581555363199E-10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33-4A0D-B8A6-76CDFB58789B}"/>
            </c:ext>
          </c:extLst>
        </c:ser>
        <c:ser>
          <c:idx val="6"/>
          <c:order val="2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'MFP-PDF_All (2)'!$BE$10:$BE$11</c:f>
              <c:numCache>
                <c:formatCode>0.00E+00</c:formatCode>
                <c:ptCount val="2"/>
                <c:pt idx="0">
                  <c:v>1.8511567318115176E-9</c:v>
                </c:pt>
                <c:pt idx="1">
                  <c:v>1.3749528367298905E-9</c:v>
                </c:pt>
              </c:numCache>
            </c:numRef>
          </c:xVal>
          <c:yVal>
            <c:numRef>
              <c:f>'MFP-PDF_All (2)'!$AI$10:$AI$11</c:f>
              <c:numCache>
                <c:formatCode>0.00E+00</c:formatCode>
                <c:ptCount val="2"/>
                <c:pt idx="0">
                  <c:v>3.1692440673072701E-10</c:v>
                </c:pt>
                <c:pt idx="1">
                  <c:v>3.1692440673072701E-10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C33-4A0D-B8A6-76CDFB58789B}"/>
            </c:ext>
          </c:extLst>
        </c:ser>
        <c:ser>
          <c:idx val="2"/>
          <c:order val="3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'MFP-PDF_All (2)'!$BE$12</c:f>
              <c:numCache>
                <c:formatCode>0.00E+00</c:formatCode>
                <c:ptCount val="1"/>
                <c:pt idx="0">
                  <c:v>1.2781802750592626E-9</c:v>
                </c:pt>
              </c:numCache>
            </c:numRef>
          </c:xVal>
          <c:yVal>
            <c:numRef>
              <c:f>'MFP-PDF_All (2)'!$AI$12</c:f>
              <c:numCache>
                <c:formatCode>0.00E+00</c:formatCode>
                <c:ptCount val="1"/>
                <c:pt idx="0">
                  <c:v>2.8432800000000002E-10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C33-4A0D-B8A6-76CDFB587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4"/>
                <c:tx>
                  <c:v>Ideal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noFill/>
                    <a:ln w="9525">
                      <a:noFill/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4"/>
                      </a:solidFill>
                      <a:prstDash val="sysDot"/>
                    </a:ln>
                    <a:effectLst/>
                  </c:spPr>
                  <c:trendlineType val="linear"/>
                  <c:forward val="1.0000000000000005E-9"/>
                  <c:intercept val="0"/>
                  <c:dispRSqr val="0"/>
                  <c:dispEq val="0"/>
                </c:trendline>
                <c:x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9.9999999999999994E-12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9.9999999999999994E-12</c:v>
                    </c:pt>
                  </c:numLit>
                </c:yVal>
                <c:smooth val="0"/>
                <c:extLst>
                  <c:ext xmlns:c16="http://schemas.microsoft.com/office/drawing/2014/chart" uri="{C3380CC4-5D6E-409C-BE32-E72D297353CC}">
                    <c16:uniqueId val="{00000008-FC33-4A0D-B8A6-76CDFB58789B}"/>
                  </c:ext>
                </c:extLst>
              </c15:ser>
            </c15:filteredScatterSeries>
          </c:ext>
        </c:extLst>
      </c:scatterChart>
      <c:valAx>
        <c:axId val="75714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Visc/(Dens*vsound)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6.0000000000000031E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PDF-avg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PDF-avg_peaks</a:t>
            </a:r>
          </a:p>
        </c:rich>
      </c:tx>
      <c:layout>
        <c:manualLayout>
          <c:xMode val="edge"/>
          <c:yMode val="edge"/>
          <c:x val="0.19279228254362943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900991542723829"/>
          <c:y val="4.3650793650793648E-2"/>
          <c:w val="0.51074058688893342"/>
          <c:h val="0.80527777777777776"/>
        </c:manualLayout>
      </c:layout>
      <c:scatterChart>
        <c:scatterStyle val="lineMarker"/>
        <c:varyColors val="0"/>
        <c:ser>
          <c:idx val="4"/>
          <c:order val="0"/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'MFP-PDF_All (2)'!$AU$3:$AU$5</c:f>
              <c:numCache>
                <c:formatCode>0.00E+00</c:formatCode>
                <c:ptCount val="3"/>
                <c:pt idx="0">
                  <c:v>2311.230914287702</c:v>
                </c:pt>
                <c:pt idx="1">
                  <c:v>2693.7162538043849</c:v>
                </c:pt>
                <c:pt idx="2">
                  <c:v>2009.61655027342</c:v>
                </c:pt>
              </c:numCache>
            </c:numRef>
          </c:xVal>
          <c:yVal>
            <c:numRef>
              <c:f>'MFP-PDF_All (2)'!$AR$3:$AR$5</c:f>
              <c:numCache>
                <c:formatCode>0.00E+00</c:formatCode>
                <c:ptCount val="3"/>
                <c:pt idx="0">
                  <c:v>2471.84</c:v>
                </c:pt>
                <c:pt idx="1">
                  <c:v>3406.1987250000002</c:v>
                </c:pt>
                <c:pt idx="2">
                  <c:v>1813.5919999999999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66-474F-A6ED-A94FA35F7C3A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'MFP-PDF_All (2)'!$AU$6</c:f>
              <c:numCache>
                <c:formatCode>0.00E+00</c:formatCode>
                <c:ptCount val="1"/>
                <c:pt idx="0">
                  <c:v>3603.0260160657886</c:v>
                </c:pt>
              </c:numCache>
            </c:numRef>
          </c:xVal>
          <c:yVal>
            <c:numRef>
              <c:f>'MFP-PDF_All (2)'!$AR$6</c:f>
              <c:numCache>
                <c:formatCode>0.00E+00</c:formatCode>
                <c:ptCount val="1"/>
                <c:pt idx="0">
                  <c:v>3658.9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66-474F-A6ED-A94FA35F7C3A}"/>
            </c:ext>
          </c:extLst>
        </c:ser>
        <c:ser>
          <c:idx val="5"/>
          <c:order val="2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'MFP-PDF_All (2)'!$AU$7:$AU$9</c:f>
              <c:numCache>
                <c:formatCode>0.00E+00</c:formatCode>
                <c:ptCount val="3"/>
                <c:pt idx="0">
                  <c:v>2702.4312634272496</c:v>
                </c:pt>
                <c:pt idx="1">
                  <c:v>2200.9716645044032</c:v>
                </c:pt>
                <c:pt idx="2">
                  <c:v>2561.8335184383373</c:v>
                </c:pt>
              </c:numCache>
            </c:numRef>
          </c:xVal>
          <c:yVal>
            <c:numRef>
              <c:f>'MFP-PDF_All (2)'!$AQ$7:$AQ$9</c:f>
              <c:numCache>
                <c:formatCode>0.00E+00</c:formatCode>
                <c:ptCount val="3"/>
                <c:pt idx="0">
                  <c:v>2547.6863757231322</c:v>
                </c:pt>
                <c:pt idx="1">
                  <c:v>2012.468707779205</c:v>
                </c:pt>
                <c:pt idx="2">
                  <c:v>2298.228366828082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D66-474F-A6ED-A94FA35F7C3A}"/>
            </c:ext>
          </c:extLst>
        </c:ser>
        <c:ser>
          <c:idx val="6"/>
          <c:order val="3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'MFP-PDF_All (2)'!$AU$10:$AU$11</c:f>
              <c:numCache>
                <c:formatCode>0.00E+00</c:formatCode>
                <c:ptCount val="2"/>
                <c:pt idx="0">
                  <c:v>1127.8431507727448</c:v>
                </c:pt>
                <c:pt idx="1">
                  <c:v>1264.7830699883316</c:v>
                </c:pt>
              </c:numCache>
            </c:numRef>
          </c:xVal>
          <c:yVal>
            <c:numRef>
              <c:f>'MFP-PDF_All (2)'!$AQ$10:$AQ$11</c:f>
              <c:numCache>
                <c:formatCode>0.00E+00</c:formatCode>
                <c:ptCount val="2"/>
                <c:pt idx="0">
                  <c:v>1451.7494609289899</c:v>
                </c:pt>
                <c:pt idx="1">
                  <c:v>1470.4555590061771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D66-474F-A6ED-A94FA35F7C3A}"/>
            </c:ext>
          </c:extLst>
        </c:ser>
        <c:ser>
          <c:idx val="2"/>
          <c:order val="4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'MFP-PDF_All (2)'!$AU$12</c:f>
              <c:numCache>
                <c:formatCode>0.00E+00</c:formatCode>
                <c:ptCount val="1"/>
                <c:pt idx="0">
                  <c:v>1415.0218281228406</c:v>
                </c:pt>
              </c:numCache>
            </c:numRef>
          </c:xVal>
          <c:yVal>
            <c:numRef>
              <c:f>'MFP-PDF_All (2)'!$AQ$12</c:f>
              <c:numCache>
                <c:formatCode>0.00E+00</c:formatCode>
                <c:ptCount val="1"/>
                <c:pt idx="0">
                  <c:v>1403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D66-474F-A6ED-A94FA35F7C3A}"/>
            </c:ext>
          </c:extLst>
        </c:ser>
        <c:ser>
          <c:idx val="3"/>
          <c:order val="5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6000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6000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9-9D66-474F-A6ED-A94FA35F7C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vs_calc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v_sound_metal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PDF-avg_peaks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715782055020897"/>
          <c:y val="4.3650793650793648E-2"/>
          <c:w val="0.52816515991056678"/>
          <c:h val="0.82379640044994373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'MFP-PDF_All (2)'!$BC$3:$BC$5</c:f>
              <c:numCache>
                <c:formatCode>General</c:formatCode>
                <c:ptCount val="3"/>
                <c:pt idx="0">
                  <c:v>90.72271630031301</c:v>
                </c:pt>
                <c:pt idx="1">
                  <c:v>84.225468937404642</c:v>
                </c:pt>
                <c:pt idx="2">
                  <c:v>90.593162358373021</c:v>
                </c:pt>
              </c:numCache>
            </c:numRef>
          </c:xVal>
          <c:yVal>
            <c:numRef>
              <c:f>'MFP-PDF_All (2)'!$BA$3:$BA$5</c:f>
              <c:numCache>
                <c:formatCode>0.00</c:formatCode>
                <c:ptCount val="3"/>
                <c:pt idx="0">
                  <c:v>69.62</c:v>
                </c:pt>
                <c:pt idx="1">
                  <c:v>65.02</c:v>
                </c:pt>
                <c:pt idx="2">
                  <c:v>73.599999999999994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F5-424D-99E1-D04636DF6A44}"/>
            </c:ext>
          </c:extLst>
        </c:ser>
        <c:ser>
          <c:idx val="0"/>
          <c:order val="1"/>
          <c:tx>
            <c:v>Pure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'MFP-PDF_All (2)'!$BC$6</c:f>
              <c:numCache>
                <c:formatCode>General</c:formatCode>
                <c:ptCount val="1"/>
                <c:pt idx="0">
                  <c:v>89.945663506627213</c:v>
                </c:pt>
              </c:numCache>
            </c:numRef>
          </c:xVal>
          <c:yVal>
            <c:numRef>
              <c:f>'MFP-PDF_All (2)'!$BA$6</c:f>
              <c:numCache>
                <c:formatCode>0.00</c:formatCode>
                <c:ptCount val="1"/>
                <c:pt idx="0">
                  <c:v>64.2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F5-424D-99E1-D04636DF6A44}"/>
            </c:ext>
          </c:extLst>
        </c:ser>
        <c:ser>
          <c:idx val="5"/>
          <c:order val="2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'MFP-PDF_All (2)'!$BC$7:$BC$9</c:f>
              <c:numCache>
                <c:formatCode>General</c:formatCode>
                <c:ptCount val="3"/>
                <c:pt idx="0">
                  <c:v>62.155462014813253</c:v>
                </c:pt>
                <c:pt idx="1">
                  <c:v>72.54594420959431</c:v>
                </c:pt>
                <c:pt idx="2">
                  <c:v>65.517260377445623</c:v>
                </c:pt>
              </c:numCache>
            </c:numRef>
          </c:xVal>
          <c:yVal>
            <c:numRef>
              <c:f>'MFP-PDF_All (2)'!$BA$7:$BA$9</c:f>
              <c:numCache>
                <c:formatCode>0.00</c:formatCode>
                <c:ptCount val="3"/>
                <c:pt idx="0">
                  <c:v>72.25800000000001</c:v>
                </c:pt>
                <c:pt idx="1">
                  <c:v>66.024000000000001</c:v>
                </c:pt>
                <c:pt idx="2">
                  <c:v>66.600000000000009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CF5-424D-99E1-D04636DF6A44}"/>
            </c:ext>
          </c:extLst>
        </c:ser>
        <c:ser>
          <c:idx val="6"/>
          <c:order val="3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'MFP-PDF_All (2)'!$BC$10:$BC$11</c:f>
              <c:numCache>
                <c:formatCode>General</c:formatCode>
                <c:ptCount val="2"/>
                <c:pt idx="0">
                  <c:v>76.975934910310812</c:v>
                </c:pt>
                <c:pt idx="1">
                  <c:v>83.279373499786757</c:v>
                </c:pt>
              </c:numCache>
            </c:numRef>
          </c:xVal>
          <c:yVal>
            <c:numRef>
              <c:f>'MFP-PDF_All (2)'!$BA$10:$BA$11</c:f>
              <c:numCache>
                <c:formatCode>0.00</c:formatCode>
                <c:ptCount val="2"/>
                <c:pt idx="0">
                  <c:v>99.360600000000005</c:v>
                </c:pt>
                <c:pt idx="1">
                  <c:v>97.109960000000001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CF5-424D-99E1-D04636DF6A44}"/>
            </c:ext>
          </c:extLst>
        </c:ser>
        <c:ser>
          <c:idx val="2"/>
          <c:order val="4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'MFP-PDF_All (2)'!$BC$12</c:f>
              <c:numCache>
                <c:formatCode>General</c:formatCode>
                <c:ptCount val="1"/>
                <c:pt idx="0">
                  <c:v>76.025905491019046</c:v>
                </c:pt>
              </c:numCache>
            </c:numRef>
          </c:xVal>
          <c:yVal>
            <c:numRef>
              <c:f>'MFP-PDF_All (2)'!$BA$12</c:f>
              <c:numCache>
                <c:formatCode>0.00</c:formatCode>
                <c:ptCount val="1"/>
                <c:pt idx="0">
                  <c:v>75.38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CF5-424D-99E1-D04636DF6A44}"/>
            </c:ext>
          </c:extLst>
        </c:ser>
        <c:ser>
          <c:idx val="3"/>
          <c:order val="5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.000000000000001E-2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250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9-ACF5-424D-99E1-D04636DF6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C_p,calc_VsoundMetal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1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C_p,measured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635608048993876E-2"/>
              <c:y val="0.305791776027996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0.67928926647326981"/>
          <c:y val="0.38847331583552058"/>
          <c:w val="0.30383133029423953"/>
          <c:h val="0.468753280839895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109329139426395"/>
          <c:y val="6.446887934443872E-2"/>
          <c:w val="0.72586269612425591"/>
          <c:h val="0.7838820417944776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NaF-KF-UF4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Sheet4!$C$2:$E$2</c:f>
              <c:strCache>
                <c:ptCount val="3"/>
                <c:pt idx="0">
                  <c:v>Cp_vol</c:v>
                </c:pt>
                <c:pt idx="1">
                  <c:v>v_sound</c:v>
                </c:pt>
                <c:pt idx="2">
                  <c:v>MFP</c:v>
                </c:pt>
              </c:strCache>
            </c:strRef>
          </c:cat>
          <c:val>
            <c:numRef>
              <c:f>Sheet4!$C$3:$E$3</c:f>
              <c:numCache>
                <c:formatCode>General</c:formatCode>
                <c:ptCount val="3"/>
                <c:pt idx="0">
                  <c:v>1.2076162918723299</c:v>
                </c:pt>
                <c:pt idx="1">
                  <c:v>0.9472073801876506</c:v>
                </c:pt>
                <c:pt idx="2">
                  <c:v>0.83748771317368176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97-41B7-90D5-6849BD3CC3ED}"/>
            </c:ext>
          </c:extLst>
        </c:ser>
        <c:ser>
          <c:idx val="1"/>
          <c:order val="1"/>
          <c:tx>
            <c:strRef>
              <c:f>Sheet4!$B$4</c:f>
              <c:strCache>
                <c:ptCount val="1"/>
                <c:pt idx="0">
                  <c:v>NaCl-UCl3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Sheet4!$C$2:$E$2</c:f>
              <c:strCache>
                <c:ptCount val="3"/>
                <c:pt idx="0">
                  <c:v>Cp_vol</c:v>
                </c:pt>
                <c:pt idx="1">
                  <c:v>v_sound</c:v>
                </c:pt>
                <c:pt idx="2">
                  <c:v>MFP</c:v>
                </c:pt>
              </c:strCache>
            </c:strRef>
          </c:cat>
          <c:val>
            <c:numRef>
              <c:f>Sheet4!$C$4:$E$4</c:f>
              <c:numCache>
                <c:formatCode>General</c:formatCode>
                <c:ptCount val="3"/>
                <c:pt idx="0">
                  <c:v>0.79238370812766989</c:v>
                </c:pt>
                <c:pt idx="1">
                  <c:v>1.0527926198123494</c:v>
                </c:pt>
                <c:pt idx="2">
                  <c:v>1.1625122868263182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97-41B7-90D5-6849BD3CC3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931078719"/>
        <c:axId val="1838304543"/>
      </c:barChart>
      <c:catAx>
        <c:axId val="1931078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304543"/>
        <c:crosses val="autoZero"/>
        <c:auto val="1"/>
        <c:lblAlgn val="ctr"/>
        <c:lblOffset val="100"/>
        <c:noMultiLvlLbl val="0"/>
      </c:catAx>
      <c:valAx>
        <c:axId val="183830454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931078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Pure Salts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663695203635465"/>
                  <c:y val="-0.15127041411490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'MFP-PDF_Avg (2)'!$BO$6</c:f>
              <c:numCache>
                <c:formatCode>General</c:formatCode>
                <c:ptCount val="1"/>
                <c:pt idx="0">
                  <c:v>4.2561305898873879E-10</c:v>
                </c:pt>
              </c:numCache>
            </c:numRef>
          </c:xVal>
          <c:yVal>
            <c:numRef>
              <c:f>'MFP-PDF_Avg (2)'!$AP$6</c:f>
              <c:numCache>
                <c:formatCode>General</c:formatCode>
                <c:ptCount val="1"/>
                <c:pt idx="0">
                  <c:v>0.46649999999999997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60-4BF3-A023-600920533A0C}"/>
            </c:ext>
          </c:extLst>
        </c:ser>
        <c:ser>
          <c:idx val="1"/>
          <c:order val="1"/>
          <c:tx>
            <c:v>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 (2)'!$BO$18:$BO$22</c:f>
              <c:numCache>
                <c:formatCode>General</c:formatCode>
                <c:ptCount val="5"/>
                <c:pt idx="0">
                  <c:v>1.7925891125038326E-10</c:v>
                </c:pt>
                <c:pt idx="1">
                  <c:v>2.6008382143302827E-10</c:v>
                </c:pt>
                <c:pt idx="2">
                  <c:v>2.4028944916294775E-10</c:v>
                </c:pt>
                <c:pt idx="3">
                  <c:v>2.9017778590838672E-10</c:v>
                </c:pt>
                <c:pt idx="4">
                  <c:v>2.2336229748837205E-10</c:v>
                </c:pt>
              </c:numCache>
            </c:numRef>
          </c:xVal>
          <c:yVal>
            <c:numRef>
              <c:f>'MFP-PDF_Avg (2)'!$AP$18:$AP$22</c:f>
              <c:numCache>
                <c:formatCode>General</c:formatCode>
                <c:ptCount val="5"/>
                <c:pt idx="0">
                  <c:v>1.1000000000000001</c:v>
                </c:pt>
                <c:pt idx="1">
                  <c:v>0.84457000000000004</c:v>
                </c:pt>
                <c:pt idx="2">
                  <c:v>0.87448810843065394</c:v>
                </c:pt>
                <c:pt idx="3">
                  <c:v>0.28277596034850733</c:v>
                </c:pt>
                <c:pt idx="4">
                  <c:v>0.22655673749565519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60-4BF3-A023-600920533A0C}"/>
            </c:ext>
          </c:extLst>
        </c:ser>
        <c:ser>
          <c:idx val="2"/>
          <c:order val="2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'MFP-PDF_Avg (2)'!$BO$23</c:f>
              <c:numCache>
                <c:formatCode>0.00E+00</c:formatCode>
                <c:ptCount val="1"/>
                <c:pt idx="0">
                  <c:v>3.0715984604116529E-10</c:v>
                </c:pt>
              </c:numCache>
            </c:numRef>
          </c:xVal>
          <c:yVal>
            <c:numRef>
              <c:f>'MFP-PDF_Avg (2)'!$AP$23</c:f>
              <c:numCache>
                <c:formatCode>General</c:formatCode>
                <c:ptCount val="1"/>
                <c:pt idx="0">
                  <c:v>0.60089999999999999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60-4BF3-A023-600920533A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MFP_calc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baseline="0">
                    <a:effectLst/>
                  </a:rPr>
                  <a:t>λ</a:t>
                </a:r>
                <a:r>
                  <a:rPr lang="en-US" sz="1000" b="0" i="0" u="none" strike="noStrike" baseline="0">
                    <a:effectLst/>
                  </a:rPr>
                  <a:t>_measured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95460239568026"/>
          <c:y val="2.9761956838728492E-2"/>
          <c:w val="0.48245913339779894"/>
          <c:h val="0.82313502478856815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 (2)'!$BO$5:$BO$7</c:f>
              <c:numCache>
                <c:formatCode>General</c:formatCode>
                <c:ptCount val="3"/>
                <c:pt idx="0" formatCode="0.00E+00">
                  <c:v>3.8363612781784311E-10</c:v>
                </c:pt>
                <c:pt idx="1">
                  <c:v>4.2561305898873879E-10</c:v>
                </c:pt>
                <c:pt idx="2">
                  <c:v>4.3251103354176857E-10</c:v>
                </c:pt>
              </c:numCache>
            </c:numRef>
          </c:xVal>
          <c:yVal>
            <c:numRef>
              <c:f>'MFP-PDF_Avg (2)'!$BL$5:$BL$7</c:f>
              <c:numCache>
                <c:formatCode>0.00E+00</c:formatCode>
                <c:ptCount val="3"/>
                <c:pt idx="0">
                  <c:v>3.0056447474785299E-10</c:v>
                </c:pt>
                <c:pt idx="1">
                  <c:v>3.3400223720324102E-10</c:v>
                </c:pt>
                <c:pt idx="2">
                  <c:v>3.6182029353950698E-10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41-4667-A455-D87E33F20C8F}"/>
            </c:ext>
          </c:extLst>
        </c:ser>
        <c:ser>
          <c:idx val="0"/>
          <c:order val="1"/>
          <c:tx>
            <c:v>Pure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 (2)'!$BO$8:$BO$10</c:f>
              <c:numCache>
                <c:formatCode>0.00E+00</c:formatCode>
                <c:ptCount val="3"/>
                <c:pt idx="0">
                  <c:v>3.4694553806744197E-10</c:v>
                </c:pt>
                <c:pt idx="1">
                  <c:v>3.662234640967553E-10</c:v>
                </c:pt>
                <c:pt idx="2">
                  <c:v>4.242378367893328E-10</c:v>
                </c:pt>
              </c:numCache>
            </c:numRef>
          </c:xVal>
          <c:yVal>
            <c:numRef>
              <c:f>'MFP-PDF_Avg (2)'!$BL$8:$BL$10</c:f>
              <c:numCache>
                <c:formatCode>0.00E+00</c:formatCode>
                <c:ptCount val="3"/>
                <c:pt idx="0">
                  <c:v>2.3591537099888599E-10</c:v>
                </c:pt>
                <c:pt idx="1">
                  <c:v>2.7110331264484899E-10</c:v>
                </c:pt>
                <c:pt idx="2">
                  <c:v>3.1522574455637898E-10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41-4667-A455-D87E33F20C8F}"/>
            </c:ext>
          </c:extLst>
        </c:ser>
        <c:ser>
          <c:idx val="1"/>
          <c:order val="2"/>
          <c:tx>
            <c:v>Alkaline Earth Chlorides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'MFP-PDF_Avg (2)'!$BO$13:$BO$15</c:f>
              <c:numCache>
                <c:formatCode>0.00E+00</c:formatCode>
                <c:ptCount val="3"/>
                <c:pt idx="0">
                  <c:v>4.0043715924854475E-10</c:v>
                </c:pt>
                <c:pt idx="1">
                  <c:v>3.323174158907707E-10</c:v>
                </c:pt>
                <c:pt idx="2">
                  <c:v>3.3553552242144723E-10</c:v>
                </c:pt>
              </c:numCache>
            </c:numRef>
          </c:xVal>
          <c:yVal>
            <c:numRef>
              <c:f>'MFP-PDF_Avg (2)'!$BL$13:$BL$15</c:f>
              <c:numCache>
                <c:formatCode>0.00E+00</c:formatCode>
                <c:ptCount val="3"/>
                <c:pt idx="0">
                  <c:v>3.08759615447175E-10</c:v>
                </c:pt>
                <c:pt idx="1">
                  <c:v>3.3211022612034601E-10</c:v>
                </c:pt>
                <c:pt idx="2">
                  <c:v>4.2994626258483001E-10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341-4667-A455-D87E33F20C8F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'MFP-PDF_Avg (2)'!$BO$18:$BO$20</c:f>
              <c:numCache>
                <c:formatCode>General</c:formatCode>
                <c:ptCount val="3"/>
                <c:pt idx="0">
                  <c:v>1.7925891125038326E-10</c:v>
                </c:pt>
                <c:pt idx="1">
                  <c:v>2.6008382143302827E-10</c:v>
                </c:pt>
                <c:pt idx="2">
                  <c:v>2.4028944916294775E-10</c:v>
                </c:pt>
              </c:numCache>
            </c:numRef>
          </c:xVal>
          <c:yVal>
            <c:numRef>
              <c:f>'MFP-PDF_Avg (2)'!$BL$18:$BL$20</c:f>
              <c:numCache>
                <c:formatCode>0.00E+00</c:formatCode>
                <c:ptCount val="3"/>
                <c:pt idx="0">
                  <c:v>2.06003844994128E-10</c:v>
                </c:pt>
                <c:pt idx="1">
                  <c:v>2.5955250470707202E-10</c:v>
                </c:pt>
                <c:pt idx="2">
                  <c:v>2.4173581555363199E-10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341-4667-A455-D87E33F20C8F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'MFP-PDF_Avg (2)'!$BO$21:$BO$22</c:f>
              <c:numCache>
                <c:formatCode>General</c:formatCode>
                <c:ptCount val="2"/>
                <c:pt idx="0">
                  <c:v>2.9017778590838672E-10</c:v>
                </c:pt>
                <c:pt idx="1">
                  <c:v>2.2336229748837205E-10</c:v>
                </c:pt>
              </c:numCache>
            </c:numRef>
          </c:xVal>
          <c:yVal>
            <c:numRef>
              <c:f>'MFP-PDF_Avg (2)'!$BL$21:$BL$22</c:f>
              <c:numCache>
                <c:formatCode>0.00E+00</c:formatCode>
                <c:ptCount val="2"/>
                <c:pt idx="0">
                  <c:v>3.1692440673072701E-10</c:v>
                </c:pt>
                <c:pt idx="1">
                  <c:v>3.1692440673072701E-10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341-4667-A455-D87E33F20C8F}"/>
            </c:ext>
          </c:extLst>
        </c:ser>
        <c:ser>
          <c:idx val="2"/>
          <c:order val="5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 (2)'!$BO$23</c:f>
              <c:numCache>
                <c:formatCode>0.00E+00</c:formatCode>
                <c:ptCount val="1"/>
                <c:pt idx="0">
                  <c:v>3.0715984604116529E-10</c:v>
                </c:pt>
              </c:numCache>
            </c:numRef>
          </c:xVal>
          <c:yVal>
            <c:numRef>
              <c:f>'MFP-PDF_Avg (2)'!$BL$23</c:f>
              <c:numCache>
                <c:formatCode>0.00E+00</c:formatCode>
                <c:ptCount val="1"/>
                <c:pt idx="0">
                  <c:v>2.8432800000000002E-10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341-4667-A455-D87E33F20C8F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9.9999999999999994E-12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9.9999999999999994E-12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A341-4667-A455-D87E33F20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6.0000000000000031E-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MFP_calc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6.0000000000000031E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PDF-MFP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66593759113446"/>
          <c:y val="5.9523809523809521E-2"/>
          <c:w val="0.56891659375911341"/>
          <c:h val="0.77617745698454343"/>
        </c:manualLayout>
      </c:layout>
      <c:scatterChart>
        <c:scatterStyle val="lineMarker"/>
        <c:varyColors val="0"/>
        <c:ser>
          <c:idx val="4"/>
          <c:order val="0"/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 (2)'!$AW$5:$AW$7</c:f>
              <c:numCache>
                <c:formatCode>General</c:formatCode>
                <c:ptCount val="3"/>
                <c:pt idx="0">
                  <c:v>0.78670723632944894</c:v>
                </c:pt>
                <c:pt idx="1">
                  <c:v>0.53084165353214496</c:v>
                </c:pt>
                <c:pt idx="2">
                  <c:v>0.41602860665791702</c:v>
                </c:pt>
              </c:numCache>
            </c:numRef>
          </c:xVal>
          <c:yVal>
            <c:numRef>
              <c:f>'MFP-PDF_Avg (2)'!$AP$5:$AP$7</c:f>
              <c:numCache>
                <c:formatCode>General</c:formatCode>
                <c:ptCount val="3"/>
                <c:pt idx="0">
                  <c:v>0.61260000000000003</c:v>
                </c:pt>
                <c:pt idx="1">
                  <c:v>0.46649999999999997</c:v>
                </c:pt>
                <c:pt idx="2">
                  <c:v>0.35505000000000003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07-4919-9563-6FB4F30376F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 (2)'!$AW$8:$AW$10</c:f>
              <c:numCache>
                <c:formatCode>General</c:formatCode>
                <c:ptCount val="3"/>
                <c:pt idx="0">
                  <c:v>1.22987712739888</c:v>
                </c:pt>
                <c:pt idx="1">
                  <c:v>0.78264084714836502</c:v>
                </c:pt>
                <c:pt idx="2">
                  <c:v>0.51980918395456199</c:v>
                </c:pt>
              </c:numCache>
            </c:numRef>
          </c:xVal>
          <c:yVal>
            <c:numRef>
              <c:f>'MFP-PDF_Avg (2)'!$AP$8:$AP$10</c:f>
              <c:numCache>
                <c:formatCode>General</c:formatCode>
                <c:ptCount val="3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07-4919-9563-6FB4F30376FB}"/>
            </c:ext>
          </c:extLst>
        </c:ser>
        <c:ser>
          <c:idx val="7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'MFP-PDF_Avg (2)'!$AW$13:$AW$15</c:f>
              <c:numCache>
                <c:formatCode>General</c:formatCode>
                <c:ptCount val="3"/>
                <c:pt idx="0">
                  <c:v>0.54002025954196298</c:v>
                </c:pt>
                <c:pt idx="1">
                  <c:v>0.42656474196147098</c:v>
                </c:pt>
              </c:numCache>
            </c:numRef>
          </c:xVal>
          <c:yVal>
            <c:numRef>
              <c:f>'MFP-PDF_Avg (2)'!$AP$13:$AP$15</c:f>
              <c:numCache>
                <c:formatCode>General</c:formatCode>
                <c:ptCount val="3"/>
                <c:pt idx="0">
                  <c:v>0.45680000000000004</c:v>
                </c:pt>
                <c:pt idx="1">
                  <c:v>0.44125000000000003</c:v>
                </c:pt>
                <c:pt idx="2">
                  <c:v>0.37705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C07-4919-9563-6FB4F30376FB}"/>
            </c:ext>
          </c:extLst>
        </c:ser>
        <c:ser>
          <c:idx val="5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'MFP-PDF_Avg (2)'!$AW$18:$AW$20</c:f>
              <c:numCache>
                <c:formatCode>General</c:formatCode>
                <c:ptCount val="3"/>
                <c:pt idx="0">
                  <c:v>1.28305844543897</c:v>
                </c:pt>
                <c:pt idx="1">
                  <c:v>0.85046707066330796</c:v>
                </c:pt>
                <c:pt idx="2">
                  <c:v>0.73223097949286997</c:v>
                </c:pt>
              </c:numCache>
            </c:numRef>
          </c:xVal>
          <c:yVal>
            <c:numRef>
              <c:f>('MFP-PDF_Avg (2)'!$AP$18,'MFP-PDF_Avg (2)'!$AP$19,'MFP-PDF_Avg (2)'!$AP$20)</c:f>
              <c:numCache>
                <c:formatCode>General</c:formatCode>
                <c:ptCount val="3"/>
                <c:pt idx="0">
                  <c:v>1.1000000000000001</c:v>
                </c:pt>
                <c:pt idx="1">
                  <c:v>0.84457000000000004</c:v>
                </c:pt>
                <c:pt idx="2">
                  <c:v>0.87448810843065394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C07-4919-9563-6FB4F30376FB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8.5943333609889649E-2"/>
                  <c:y val="0.104994167395742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E0BA487-CCDC-4FE7-BE25-673E4F54B5AB}" type="CELLREF">
                      <a:rPr lang="en-US"/>
                      <a:pPr>
                        <a:defRPr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597216460632209"/>
                      <c:h val="0.11182086614173228"/>
                    </c:manualLayout>
                  </c15:layout>
                  <c15:dlblFieldTable>
                    <c15:dlblFTEntry>
                      <c15:txfldGUID>{4E0BA487-CCDC-4FE7-BE25-673E4F54B5AB}</c15:txfldGUID>
                      <c15:f>'MFP-PDF_Avg (2)'!$A$21</c15:f>
                      <c15:dlblFieldTableCache>
                        <c:ptCount val="1"/>
                        <c:pt idx="0">
                          <c:v>0.63NaCl-0.37UCl3 (ORNL)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AC07-4919-9563-6FB4F30376FB}"/>
                </c:ext>
              </c:extLst>
            </c:dLbl>
            <c:dLbl>
              <c:idx val="1"/>
              <c:layout>
                <c:manualLayout>
                  <c:x val="3.1089929548280139E-2"/>
                  <c:y val="1.568788276465432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48043BA-4F93-455A-BDFD-BB5447868CFE}" type="CELLREF">
                      <a:rPr lang="en-US"/>
                      <a:pPr>
                        <a:defRPr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342772942855827"/>
                      <c:h val="9.7931758530183724E-2"/>
                    </c:manualLayout>
                  </c15:layout>
                  <c15:dlblFieldTable>
                    <c15:dlblFTEntry>
                      <c15:txfldGUID>{F48043BA-4F93-455A-BDFD-BB5447868CFE}</c15:txfldGUID>
                      <c15:f>'MFP-PDF_Avg (2)'!$A$22</c15:f>
                      <c15:dlblFieldTableCache>
                        <c:ptCount val="1"/>
                        <c:pt idx="0">
                          <c:v>0.658NaCl-0.342UCl3 (ANL)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AC07-4919-9563-6FB4F30376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'MFP-PDF_Avg (2)'!$AW$21:$AW$22</c:f>
              <c:numCache>
                <c:formatCode>General</c:formatCode>
                <c:ptCount val="2"/>
                <c:pt idx="0">
                  <c:v>0.29301529878909899</c:v>
                </c:pt>
                <c:pt idx="1">
                  <c:v>0.316517898560285</c:v>
                </c:pt>
              </c:numCache>
            </c:numRef>
          </c:xVal>
          <c:yVal>
            <c:numRef>
              <c:f>'MFP-PDF_Avg (2)'!$AP$21:$AP$22</c:f>
              <c:numCache>
                <c:formatCode>General</c:formatCode>
                <c:ptCount val="2"/>
                <c:pt idx="0">
                  <c:v>0.28277596034850733</c:v>
                </c:pt>
                <c:pt idx="1">
                  <c:v>0.22655673749565519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C07-4919-9563-6FB4F30376FB}"/>
            </c:ext>
          </c:extLst>
        </c:ser>
        <c:ser>
          <c:idx val="2"/>
          <c:order val="5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 (2)'!$BC$23</c:f>
              <c:numCache>
                <c:formatCode>0.000000</c:formatCode>
                <c:ptCount val="1"/>
                <c:pt idx="0">
                  <c:v>0.55623382223307438</c:v>
                </c:pt>
              </c:numCache>
            </c:numRef>
          </c:xVal>
          <c:yVal>
            <c:numRef>
              <c:f>'MFP-PDF_Avg (2)'!$AP$23</c:f>
              <c:numCache>
                <c:formatCode>General</c:formatCode>
                <c:ptCount val="1"/>
                <c:pt idx="0">
                  <c:v>0.60089999999999999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C07-4919-9563-6FB4F30376FB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C-AC07-4919-9563-6FB4F30376FB}"/>
            </c:ext>
          </c:extLst>
        </c:ser>
        <c:ser>
          <c:idx val="0"/>
          <c:order val="7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5761315046934277"/>
                  <c:y val="-2.292578011081948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'MFP-PDF_Avg (2)'!$AW$5:$AW$23</c:f>
              <c:numCache>
                <c:formatCode>General</c:formatCode>
                <c:ptCount val="19"/>
                <c:pt idx="0">
                  <c:v>0.78670723632944894</c:v>
                </c:pt>
                <c:pt idx="1">
                  <c:v>0.53084165353214496</c:v>
                </c:pt>
                <c:pt idx="2">
                  <c:v>0.41602860665791702</c:v>
                </c:pt>
                <c:pt idx="3">
                  <c:v>1.22987712739888</c:v>
                </c:pt>
                <c:pt idx="4">
                  <c:v>0.78264084714836502</c:v>
                </c:pt>
                <c:pt idx="5">
                  <c:v>0.51980918395456199</c:v>
                </c:pt>
                <c:pt idx="8">
                  <c:v>0.54002025954196298</c:v>
                </c:pt>
                <c:pt idx="9">
                  <c:v>0.42656474196147098</c:v>
                </c:pt>
                <c:pt idx="11">
                  <c:v>0.54571904518309799</c:v>
                </c:pt>
                <c:pt idx="13">
                  <c:v>1.28305844543897</c:v>
                </c:pt>
                <c:pt idx="14">
                  <c:v>0.85046707066330796</c:v>
                </c:pt>
                <c:pt idx="15">
                  <c:v>0.73223097949286997</c:v>
                </c:pt>
                <c:pt idx="16">
                  <c:v>0.29301529878909899</c:v>
                </c:pt>
                <c:pt idx="17">
                  <c:v>0.316517898560285</c:v>
                </c:pt>
              </c:numCache>
            </c:numRef>
          </c:xVal>
          <c:yVal>
            <c:numRef>
              <c:f>'MFP-PDF_Avg (2)'!$AP$5:$AP$23</c:f>
              <c:numCache>
                <c:formatCode>General</c:formatCode>
                <c:ptCount val="19"/>
                <c:pt idx="0">
                  <c:v>0.61260000000000003</c:v>
                </c:pt>
                <c:pt idx="1">
                  <c:v>0.46649999999999997</c:v>
                </c:pt>
                <c:pt idx="2">
                  <c:v>0.35505000000000003</c:v>
                </c:pt>
                <c:pt idx="3">
                  <c:v>1.33125</c:v>
                </c:pt>
                <c:pt idx="4">
                  <c:v>0.82789999999999997</c:v>
                </c:pt>
                <c:pt idx="5">
                  <c:v>0.56999999999999995</c:v>
                </c:pt>
                <c:pt idx="6">
                  <c:v>0.48965000000000003</c:v>
                </c:pt>
                <c:pt idx="7">
                  <c:v>0.36715000000000003</c:v>
                </c:pt>
                <c:pt idx="8">
                  <c:v>0.45680000000000004</c:v>
                </c:pt>
                <c:pt idx="9">
                  <c:v>0.44125000000000003</c:v>
                </c:pt>
                <c:pt idx="10">
                  <c:v>0.37705</c:v>
                </c:pt>
                <c:pt idx="11">
                  <c:v>0.51224999999999998</c:v>
                </c:pt>
                <c:pt idx="12">
                  <c:v>0.40920000000000001</c:v>
                </c:pt>
                <c:pt idx="13">
                  <c:v>1.1000000000000001</c:v>
                </c:pt>
                <c:pt idx="14">
                  <c:v>0.84457000000000004</c:v>
                </c:pt>
                <c:pt idx="15">
                  <c:v>0.87448810843065394</c:v>
                </c:pt>
                <c:pt idx="16">
                  <c:v>0.28277596034850733</c:v>
                </c:pt>
                <c:pt idx="17">
                  <c:v>0.22655673749565519</c:v>
                </c:pt>
                <c:pt idx="18">
                  <c:v>0.60089999999999999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AC07-4919-9563-6FB4F3037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.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_predicted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  <c:majorUnit val="0.2"/>
      </c:valAx>
      <c:valAx>
        <c:axId val="689706896"/>
        <c:scaling>
          <c:orientation val="minMax"/>
          <c:max val="1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  <c:minorUnit val="4.0000000000000008E-2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0.71601650001853678"/>
          <c:y val="0.1836945902595509"/>
          <c:w val="0.28398349998146333"/>
          <c:h val="0.763893263342082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27133121517705"/>
          <c:y val="4.3650793650793648E-2"/>
          <c:w val="0.47260970668140168"/>
          <c:h val="0.82379640044994373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 (2)'!$CH$5:$CH$7</c:f>
              <c:numCache>
                <c:formatCode>General</c:formatCode>
                <c:ptCount val="3"/>
                <c:pt idx="0">
                  <c:v>2934445.5377642317</c:v>
                </c:pt>
                <c:pt idx="1">
                  <c:v>2356321.8337948439</c:v>
                </c:pt>
                <c:pt idx="2">
                  <c:v>1801384.5285115675</c:v>
                </c:pt>
              </c:numCache>
            </c:numRef>
          </c:xVal>
          <c:yVal>
            <c:numRef>
              <c:f>'MFP-PDF_Avg (2)'!$CA$5:$CA$7</c:f>
              <c:numCache>
                <c:formatCode>0.00E+00</c:formatCode>
                <c:ptCount val="3"/>
                <c:pt idx="0">
                  <c:v>2299027.692598009</c:v>
                </c:pt>
                <c:pt idx="1">
                  <c:v>1849136.7861885792</c:v>
                </c:pt>
                <c:pt idx="2">
                  <c:v>1506961.5069615068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4D-4489-B85E-A974855171D0}"/>
            </c:ext>
          </c:extLst>
        </c:ser>
        <c:ser>
          <c:idx val="0"/>
          <c:order val="1"/>
          <c:tx>
            <c:v>Pure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 (2)'!$CH$8:$CH$10</c:f>
              <c:numCache>
                <c:formatCode>General</c:formatCode>
                <c:ptCount val="3"/>
                <c:pt idx="0">
                  <c:v>6648929.8682542378</c:v>
                </c:pt>
                <c:pt idx="1">
                  <c:v>4403494.191886411</c:v>
                </c:pt>
                <c:pt idx="2">
                  <c:v>2959168.7727243449</c:v>
                </c:pt>
              </c:numCache>
            </c:numRef>
          </c:xVal>
          <c:yVal>
            <c:numRef>
              <c:f>'MFP-PDF_Avg (2)'!$CA$8:$CA$10</c:f>
              <c:numCache>
                <c:formatCode>0.00E+00</c:formatCode>
                <c:ptCount val="3"/>
                <c:pt idx="0">
                  <c:v>4521126.760563381</c:v>
                </c:pt>
                <c:pt idx="1">
                  <c:v>3250000</c:v>
                </c:pt>
                <c:pt idx="2">
                  <c:v>2200657.8947368423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4D-4489-B85E-A974855171D0}"/>
            </c:ext>
          </c:extLst>
        </c:ser>
        <c:ser>
          <c:idx val="1"/>
          <c:order val="2"/>
          <c:tx>
            <c:v>Alkaline Earth Chlorides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'MFP-PDF_Avg (2)'!$CH$13:$CH$15</c:f>
              <c:numCache>
                <c:formatCode>General</c:formatCode>
                <c:ptCount val="3"/>
                <c:pt idx="0">
                  <c:v>2112519.887785173</c:v>
                </c:pt>
                <c:pt idx="1">
                  <c:v>1930177.9921222366</c:v>
                </c:pt>
                <c:pt idx="2">
                  <c:v>1404552.9045622179</c:v>
                </c:pt>
              </c:numCache>
            </c:numRef>
          </c:xVal>
          <c:yVal>
            <c:numRef>
              <c:f>'MFP-PDF_Avg (2)'!$CA$13:$CA$15</c:f>
              <c:numCache>
                <c:formatCode>0.00E+00</c:formatCode>
                <c:ptCount val="3"/>
                <c:pt idx="0">
                  <c:v>1628871.8794256966</c:v>
                </c:pt>
                <c:pt idx="1">
                  <c:v>1928974.5850302745</c:v>
                </c:pt>
                <c:pt idx="2">
                  <c:v>1799756.6027023955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54D-4489-B85E-A974855171D0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'MFP-PDF_Avg (2)'!$CH$18:$CH$20</c:f>
              <c:numCache>
                <c:formatCode>General</c:formatCode>
                <c:ptCount val="3"/>
                <c:pt idx="0">
                  <c:v>4148562.4961009878</c:v>
                </c:pt>
                <c:pt idx="1">
                  <c:v>4015277.2732061055</c:v>
                </c:pt>
                <c:pt idx="2">
                  <c:v>4167395.8887993586</c:v>
                </c:pt>
              </c:numCache>
            </c:numRef>
          </c:xVal>
          <c:yVal>
            <c:numRef>
              <c:f>'MFP-PDF_Avg (2)'!$CA$18:$CA$20</c:f>
              <c:numCache>
                <c:formatCode>0.00E+00</c:formatCode>
                <c:ptCount val="3"/>
                <c:pt idx="0">
                  <c:v>4323157.1595853949</c:v>
                </c:pt>
                <c:pt idx="1">
                  <c:v>3402318.9027080508</c:v>
                </c:pt>
                <c:pt idx="2">
                  <c:v>4192480.558023226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54D-4489-B85E-A974855171D0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'MFP-PDF_Avg (2)'!$CH$21:$CH$22</c:f>
              <c:numCache>
                <c:formatCode>General</c:formatCode>
                <c:ptCount val="2"/>
                <c:pt idx="0">
                  <c:v>1974353.8841670761</c:v>
                </c:pt>
                <c:pt idx="1">
                  <c:v>1515117.258248803</c:v>
                </c:pt>
              </c:numCache>
            </c:numRef>
          </c:xVal>
          <c:yVal>
            <c:numRef>
              <c:f>'MFP-PDF_Avg (2)'!$CA$21:$CA$22</c:f>
              <c:numCache>
                <c:formatCode>0.00E+00</c:formatCode>
                <c:ptCount val="2"/>
                <c:pt idx="0">
                  <c:v>2156336.4385642763</c:v>
                </c:pt>
                <c:pt idx="1">
                  <c:v>2149770.3220167966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54D-4489-B85E-A974855171D0}"/>
            </c:ext>
          </c:extLst>
        </c:ser>
        <c:ser>
          <c:idx val="2"/>
          <c:order val="5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 (2)'!$CH$23</c:f>
              <c:numCache>
                <c:formatCode>General</c:formatCode>
                <c:ptCount val="1"/>
                <c:pt idx="0">
                  <c:v>4519039.7092508962</c:v>
                </c:pt>
              </c:numCache>
            </c:numRef>
          </c:xVal>
          <c:yVal>
            <c:numRef>
              <c:f>'MFP-PDF_Avg (2)'!$CA$23</c:f>
              <c:numCache>
                <c:formatCode>0.00E+00</c:formatCode>
                <c:ptCount val="1"/>
                <c:pt idx="0">
                  <c:v>4183129.8557158709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54D-4489-B85E-A974855171D0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.000000000000001E-2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7000000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7000000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654D-4489-B85E-A97485517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70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C_p,calc (phonon)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E+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  <c:majorUnit val="1000000"/>
      </c:valAx>
      <c:valAx>
        <c:axId val="689706896"/>
        <c:scaling>
          <c:orientation val="minMax"/>
          <c:max val="7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C_p,measured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635608048993876E-2"/>
              <c:y val="0.305791776027996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68536096836723448"/>
          <c:y val="8.2917760279965003E-2"/>
          <c:w val="0.30430796313330477"/>
          <c:h val="0.745785943423738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00991542723829"/>
          <c:y val="4.3650793650793648E-2"/>
          <c:w val="0.51074058688893342"/>
          <c:h val="0.80527777777777776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 (2)'!$BX$5:$BX$7</c:f>
              <c:numCache>
                <c:formatCode>0.00E+00</c:formatCode>
                <c:ptCount val="3"/>
                <c:pt idx="0">
                  <c:v>2654.2218825171644</c:v>
                </c:pt>
                <c:pt idx="1">
                  <c:v>2260.0959707447478</c:v>
                </c:pt>
                <c:pt idx="2">
                  <c:v>1951.6406821956732</c:v>
                </c:pt>
              </c:numCache>
            </c:numRef>
          </c:xVal>
          <c:yVal>
            <c:numRef>
              <c:f>'MFP-PDF_Avg (2)'!$BT$5:$BT$7</c:f>
              <c:numCache>
                <c:formatCode>0.0000E+00</c:formatCode>
                <c:ptCount val="3"/>
                <c:pt idx="0">
                  <c:v>2042.3974499999999</c:v>
                </c:pt>
                <c:pt idx="1">
                  <c:v>1743.6799999999998</c:v>
                </c:pt>
                <c:pt idx="2">
                  <c:v>1597.1839999999997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E0-442A-9EA2-480FC6961A3F}"/>
            </c:ext>
          </c:extLst>
        </c:ser>
        <c:ser>
          <c:idx val="0"/>
          <c:order val="1"/>
          <c:tx>
            <c:v>Pure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 (2)'!$BX$8:$BX$10</c:f>
              <c:numCache>
                <c:formatCode>0.00E+00</c:formatCode>
                <c:ptCount val="3"/>
                <c:pt idx="0">
                  <c:v>3782.0499879267163</c:v>
                </c:pt>
                <c:pt idx="1">
                  <c:v>2810.4652972558115</c:v>
                </c:pt>
                <c:pt idx="2">
                  <c:v>2467.1321700698095</c:v>
                </c:pt>
              </c:numCache>
            </c:numRef>
          </c:xVal>
          <c:yVal>
            <c:numRef>
              <c:f>'MFP-PDF_Avg (2)'!$BT$8:$BT$10</c:f>
              <c:numCache>
                <c:formatCode>0.0000E+00</c:formatCode>
                <c:ptCount val="3"/>
                <c:pt idx="0">
                  <c:v>2547.8000000000002</c:v>
                </c:pt>
                <c:pt idx="1">
                  <c:v>2085.5</c:v>
                </c:pt>
                <c:pt idx="2">
                  <c:v>1816.4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E0-442A-9EA2-480FC6961A3F}"/>
            </c:ext>
          </c:extLst>
        </c:ser>
        <c:ser>
          <c:idx val="1"/>
          <c:order val="2"/>
          <c:tx>
            <c:v>Alkaline Earth Chlorides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'MFP-PDF_Avg (2)'!$BX$13:$BX$15</c:f>
              <c:numCache>
                <c:formatCode>0.00E+00</c:formatCode>
                <c:ptCount val="3"/>
                <c:pt idx="0">
                  <c:v>2724.8332666910214</c:v>
                </c:pt>
                <c:pt idx="1">
                  <c:v>2066.3182864120718</c:v>
                </c:pt>
                <c:pt idx="2">
                  <c:v>1461.8144354476785</c:v>
                </c:pt>
              </c:numCache>
            </c:numRef>
          </c:xVal>
          <c:yVal>
            <c:numRef>
              <c:f>'MFP-PDF_Avg (2)'!$BT$13:$BT$15</c:f>
              <c:numCache>
                <c:formatCode>0.0000E+00</c:formatCode>
                <c:ptCount val="3"/>
                <c:pt idx="0">
                  <c:v>2101</c:v>
                </c:pt>
                <c:pt idx="1">
                  <c:v>2065.0300000000002</c:v>
                </c:pt>
                <c:pt idx="2">
                  <c:v>1873.13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6E0-442A-9EA2-480FC6961A3F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'MFP-PDF_Avg (2)'!$BX$18:$BX$20</c:f>
              <c:numCache>
                <c:formatCode>0.00E+00</c:formatCode>
                <c:ptCount val="3"/>
                <c:pt idx="0">
                  <c:v>3014.7958403196781</c:v>
                </c:pt>
                <c:pt idx="1">
                  <c:v>2363.979295927822</c:v>
                </c:pt>
                <c:pt idx="2">
                  <c:v>2588.5890241203952</c:v>
                </c:pt>
              </c:numCache>
            </c:numRef>
          </c:xVal>
          <c:yVal>
            <c:numRef>
              <c:f>'MFP-PDF_Avg (2)'!$BT$18:$BT$20</c:f>
              <c:numCache>
                <c:formatCode>0.0000E+00</c:formatCode>
                <c:ptCount val="3"/>
                <c:pt idx="0">
                  <c:v>2547.6863757231322</c:v>
                </c:pt>
                <c:pt idx="1">
                  <c:v>2012.468707779205</c:v>
                </c:pt>
                <c:pt idx="2">
                  <c:v>2298.228366828082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6E0-442A-9EA2-480FC6961A3F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'MFP-PDF_Avg (2)'!$BX$21:$BX$22</c:f>
              <c:numCache>
                <c:formatCode>0.00E+00</c:formatCode>
                <c:ptCount val="2"/>
                <c:pt idx="0">
                  <c:v>1332.9578486026016</c:v>
                </c:pt>
                <c:pt idx="1">
                  <c:v>1039.4331216672322</c:v>
                </c:pt>
              </c:numCache>
            </c:numRef>
          </c:xVal>
          <c:yVal>
            <c:numRef>
              <c:f>'MFP-PDF_Avg (2)'!$BT$21:$BT$22</c:f>
              <c:numCache>
                <c:formatCode>0.0000E+00</c:formatCode>
                <c:ptCount val="2"/>
                <c:pt idx="0">
                  <c:v>1451.7494609289899</c:v>
                </c:pt>
                <c:pt idx="1">
                  <c:v>1470.4555590061771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6E0-442A-9EA2-480FC6961A3F}"/>
            </c:ext>
          </c:extLst>
        </c:ser>
        <c:ser>
          <c:idx val="2"/>
          <c:order val="5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 (2)'!$BX$23</c:f>
              <c:numCache>
                <c:formatCode>0.00E+00</c:formatCode>
                <c:ptCount val="1"/>
                <c:pt idx="0">
                  <c:v>1515.6624180374595</c:v>
                </c:pt>
              </c:numCache>
            </c:numRef>
          </c:xVal>
          <c:yVal>
            <c:numRef>
              <c:f>'MFP-PDF_Avg (2)'!$BT$23</c:f>
              <c:numCache>
                <c:formatCode>0.0000E+00</c:formatCode>
                <c:ptCount val="1"/>
                <c:pt idx="0">
                  <c:v>1403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6E0-442A-9EA2-480FC6961A3F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6000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6000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26E0-442A-9EA2-480FC6961A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vs_calc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v_sound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PDF-avg_peak</a:t>
            </a:r>
          </a:p>
        </c:rich>
      </c:tx>
      <c:layout>
        <c:manualLayout>
          <c:xMode val="edge"/>
          <c:yMode val="edge"/>
          <c:x val="0.21481719390339363"/>
          <c:y val="3.33333333333333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66593759113446"/>
          <c:y val="5.9523809523809521E-2"/>
          <c:w val="0.56891659375911341"/>
          <c:h val="0.77617745698454343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 (2)'!$BR$5:$BR$7</c:f>
              <c:numCache>
                <c:formatCode>0.00E+00</c:formatCode>
                <c:ptCount val="3"/>
                <c:pt idx="0">
                  <c:v>2.30802105895922E-4</c:v>
                </c:pt>
                <c:pt idx="1">
                  <c:v>2.0640716413749399E-4</c:v>
                </c:pt>
                <c:pt idx="2">
                  <c:v>1.8192385680367899E-4</c:v>
                </c:pt>
              </c:numCache>
            </c:numRef>
          </c:xVal>
          <c:yVal>
            <c:numRef>
              <c:f>'MFP-PDF_Avg (2)'!$AP$5:$AP$7</c:f>
              <c:numCache>
                <c:formatCode>General</c:formatCode>
                <c:ptCount val="3"/>
                <c:pt idx="0">
                  <c:v>0.61260000000000003</c:v>
                </c:pt>
                <c:pt idx="1">
                  <c:v>0.46649999999999997</c:v>
                </c:pt>
                <c:pt idx="2">
                  <c:v>0.35505000000000003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CB-4138-8DB6-38704214D611}"/>
            </c:ext>
          </c:extLst>
        </c:ser>
        <c:ser>
          <c:idx val="5"/>
          <c:order val="1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'MFP-PDF_Avg (2)'!$BR$18:$BR$20</c:f>
              <c:numCache>
                <c:formatCode>0.00E+00</c:formatCode>
                <c:ptCount val="3"/>
                <c:pt idx="0">
                  <c:v>3.64867161248093E-4</c:v>
                </c:pt>
                <c:pt idx="1">
                  <c:v>3.5726624232913199E-4</c:v>
                </c:pt>
                <c:pt idx="2">
                  <c:v>3.3782423562883098E-4</c:v>
                </c:pt>
              </c:numCache>
            </c:numRef>
          </c:xVal>
          <c:yVal>
            <c:numRef>
              <c:f>('MFP-PDF_Avg (2)'!$AP$18,'MFP-PDF_Avg (2)'!$AP$19,'MFP-PDF_Avg (2)'!$AP$20)</c:f>
              <c:numCache>
                <c:formatCode>General</c:formatCode>
                <c:ptCount val="3"/>
                <c:pt idx="0">
                  <c:v>1.1000000000000001</c:v>
                </c:pt>
                <c:pt idx="1">
                  <c:v>0.84457000000000004</c:v>
                </c:pt>
                <c:pt idx="2">
                  <c:v>0.87448810843065394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CB-4138-8DB6-38704214D611}"/>
            </c:ext>
          </c:extLst>
        </c:ser>
        <c:ser>
          <c:idx val="6"/>
          <c:order val="2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9.3845873432487625E-2"/>
                  <c:y val="9.8049462567179099E-2"/>
                </c:manualLayout>
              </c:layout>
              <c:tx>
                <c:rich>
                  <a:bodyPr/>
                  <a:lstStyle/>
                  <a:p>
                    <a:fld id="{4E0BA487-CCDC-4FE7-BE25-673E4F54B5AB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328813065033539"/>
                      <c:h val="9.793182102237219E-2"/>
                    </c:manualLayout>
                  </c15:layout>
                  <c15:dlblFieldTable>
                    <c15:dlblFTEntry>
                      <c15:txfldGUID>{4E0BA487-CCDC-4FE7-BE25-673E4F54B5AB}</c15:txfldGUID>
                      <c15:f>'MFP-PDF_Avg (2)'!$A$21</c15:f>
                      <c15:dlblFieldTableCache>
                        <c:ptCount val="1"/>
                        <c:pt idx="0">
                          <c:v>0.63NaCl-0.37UCl3 (ORNL)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A6CB-4138-8DB6-38704214D611}"/>
                </c:ext>
              </c:extLst>
            </c:dLbl>
            <c:dLbl>
              <c:idx val="1"/>
              <c:layout>
                <c:manualLayout>
                  <c:x val="3.1089929548280139E-2"/>
                  <c:y val="1.568788276465432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48043BA-4F93-455A-BDFD-BB5447868CFE}" type="CELLREF">
                      <a:rPr lang="en-US"/>
                      <a:pPr>
                        <a:defRPr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342772942855827"/>
                      <c:h val="9.7931758530183724E-2"/>
                    </c:manualLayout>
                  </c15:layout>
                  <c15:dlblFieldTable>
                    <c15:dlblFTEntry>
                      <c15:txfldGUID>{F48043BA-4F93-455A-BDFD-BB5447868CFE}</c15:txfldGUID>
                      <c15:f>'MFP-PDF_Avg (2)'!$A$22</c15:f>
                      <c15:dlblFieldTableCache>
                        <c:ptCount val="1"/>
                        <c:pt idx="0">
                          <c:v>0.658NaCl-0.342UCl3 (ANL)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A6CB-4138-8DB6-38704214D61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'MFP-PDF_Avg (2)'!$BR$21:$BR$22</c:f>
              <c:numCache>
                <c:formatCode>0.00E+00</c:formatCode>
                <c:ptCount val="2"/>
                <c:pt idx="0">
                  <c:v>2.12141712241654E-4</c:v>
                </c:pt>
                <c:pt idx="1">
                  <c:v>2.1796182243284901E-4</c:v>
                </c:pt>
              </c:numCache>
            </c:numRef>
          </c:xVal>
          <c:yVal>
            <c:numRef>
              <c:f>'MFP-PDF_Avg (2)'!$AP$21:$AP$22</c:f>
              <c:numCache>
                <c:formatCode>General</c:formatCode>
                <c:ptCount val="2"/>
                <c:pt idx="0">
                  <c:v>0.28277596034850733</c:v>
                </c:pt>
                <c:pt idx="1">
                  <c:v>0.22655673749565519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6CB-4138-8DB6-38704214D611}"/>
            </c:ext>
          </c:extLst>
        </c:ser>
        <c:ser>
          <c:idx val="2"/>
          <c:order val="3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 (2)'!$BR$23</c:f>
              <c:numCache>
                <c:formatCode>0.00E+00</c:formatCode>
                <c:ptCount val="1"/>
                <c:pt idx="0">
                  <c:v>3.9646031520532745E-4</c:v>
                </c:pt>
              </c:numCache>
            </c:numRef>
          </c:xVal>
          <c:yVal>
            <c:numRef>
              <c:f>'MFP-PDF_Avg (2)'!$AP$23</c:f>
              <c:numCache>
                <c:formatCode>General</c:formatCode>
                <c:ptCount val="1"/>
                <c:pt idx="0">
                  <c:v>0.60089999999999999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6CB-4138-8DB6-38704214D611}"/>
            </c:ext>
          </c:extLst>
        </c:ser>
        <c:ser>
          <c:idx val="3"/>
          <c:order val="4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1"/>
            <c:dispEq val="0"/>
            <c:trendlineLbl>
              <c:layout>
                <c:manualLayout>
                  <c:x val="-0.14856331023774766"/>
                  <c:y val="0.108100029163021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'MFP-PDF_Avg (2)'!$BR$5:$BR$23</c:f>
              <c:numCache>
                <c:formatCode>0.00E+00</c:formatCode>
                <c:ptCount val="19"/>
                <c:pt idx="0">
                  <c:v>2.30802105895922E-4</c:v>
                </c:pt>
                <c:pt idx="1">
                  <c:v>2.0640716413749399E-4</c:v>
                </c:pt>
                <c:pt idx="2">
                  <c:v>1.8192385680367899E-4</c:v>
                </c:pt>
                <c:pt idx="3">
                  <c:v>3.5199164586657898E-4</c:v>
                </c:pt>
                <c:pt idx="4">
                  <c:v>2.9457755653783602E-4</c:v>
                </c:pt>
                <c:pt idx="5">
                  <c:v>2.3103748024325401E-4</c:v>
                </c:pt>
                <c:pt idx="8">
                  <c:v>1.6764328503473099E-4</c:v>
                </c:pt>
                <c:pt idx="9">
                  <c:v>2.13544061871601E-4</c:v>
                </c:pt>
                <c:pt idx="10">
                  <c:v>2.57932874964755E-4</c:v>
                </c:pt>
                <c:pt idx="13">
                  <c:v>3.64867161248093E-4</c:v>
                </c:pt>
                <c:pt idx="14">
                  <c:v>3.5726624232913199E-4</c:v>
                </c:pt>
                <c:pt idx="15">
                  <c:v>3.3782423562883098E-4</c:v>
                </c:pt>
                <c:pt idx="16">
                  <c:v>2.12141712241654E-4</c:v>
                </c:pt>
                <c:pt idx="17">
                  <c:v>2.1796182243284901E-4</c:v>
                </c:pt>
                <c:pt idx="18">
                  <c:v>3.9646031520532745E-4</c:v>
                </c:pt>
              </c:numCache>
            </c:numRef>
          </c:xVal>
          <c:yVal>
            <c:numRef>
              <c:f>'MFP-PDF_Avg (2)'!$AP$5:$AP$23</c:f>
              <c:numCache>
                <c:formatCode>General</c:formatCode>
                <c:ptCount val="19"/>
                <c:pt idx="0">
                  <c:v>0.61260000000000003</c:v>
                </c:pt>
                <c:pt idx="1">
                  <c:v>0.46649999999999997</c:v>
                </c:pt>
                <c:pt idx="2">
                  <c:v>0.35505000000000003</c:v>
                </c:pt>
                <c:pt idx="3">
                  <c:v>1.33125</c:v>
                </c:pt>
                <c:pt idx="4">
                  <c:v>0.82789999999999997</c:v>
                </c:pt>
                <c:pt idx="5">
                  <c:v>0.56999999999999995</c:v>
                </c:pt>
                <c:pt idx="6">
                  <c:v>0.48965000000000003</c:v>
                </c:pt>
                <c:pt idx="7">
                  <c:v>0.36715000000000003</c:v>
                </c:pt>
                <c:pt idx="8">
                  <c:v>0.45680000000000004</c:v>
                </c:pt>
                <c:pt idx="9">
                  <c:v>0.44125000000000003</c:v>
                </c:pt>
                <c:pt idx="10">
                  <c:v>0.37705</c:v>
                </c:pt>
                <c:pt idx="11">
                  <c:v>0.51224999999999998</c:v>
                </c:pt>
                <c:pt idx="12">
                  <c:v>0.40920000000000001</c:v>
                </c:pt>
                <c:pt idx="13">
                  <c:v>1.1000000000000001</c:v>
                </c:pt>
                <c:pt idx="14">
                  <c:v>0.84457000000000004</c:v>
                </c:pt>
                <c:pt idx="15">
                  <c:v>0.87448810843065394</c:v>
                </c:pt>
                <c:pt idx="16">
                  <c:v>0.28277596034850733</c:v>
                </c:pt>
                <c:pt idx="17">
                  <c:v>0.22655673749565519</c:v>
                </c:pt>
                <c:pt idx="18">
                  <c:v>0.60089999999999999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6CB-4138-8DB6-38704214D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1/3*cp*MFP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ayout>
        <c:manualLayout>
          <c:xMode val="edge"/>
          <c:yMode val="edge"/>
          <c:x val="0.67247133581986451"/>
          <c:y val="0.32258347914843982"/>
          <c:w val="0.32205682200056962"/>
          <c:h val="0.370895304753572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66593759113446"/>
          <c:y val="5.9523809523809521E-2"/>
          <c:w val="0.56891659375911341"/>
          <c:h val="0.77617745698454343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 (2)'!$BI$5:$BI$7</c:f>
              <c:numCache>
                <c:formatCode>0.00E+00</c:formatCode>
                <c:ptCount val="3"/>
                <c:pt idx="0">
                  <c:v>1596825626.1070199</c:v>
                </c:pt>
                <c:pt idx="1">
                  <c:v>1096065992.68455</c:v>
                </c:pt>
                <c:pt idx="2">
                  <c:v>820903913.34655297</c:v>
                </c:pt>
              </c:numCache>
            </c:numRef>
          </c:xVal>
          <c:yVal>
            <c:numRef>
              <c:f>'MFP-PDF_Avg (2)'!$AP$5:$AP$7</c:f>
              <c:numCache>
                <c:formatCode>General</c:formatCode>
                <c:ptCount val="3"/>
                <c:pt idx="0">
                  <c:v>0.61260000000000003</c:v>
                </c:pt>
                <c:pt idx="1">
                  <c:v>0.46649999999999997</c:v>
                </c:pt>
                <c:pt idx="2">
                  <c:v>0.35505000000000003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7F-4617-AAC9-443FABBB0A2D}"/>
            </c:ext>
          </c:extLst>
        </c:ser>
        <c:ser>
          <c:idx val="5"/>
          <c:order val="1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'MFP-PDF_Avg (2)'!$BI$18:$BI$20</c:f>
              <c:numCache>
                <c:formatCode>0.00E+00</c:formatCode>
                <c:ptCount val="3"/>
                <c:pt idx="0">
                  <c:v>6136375549.3502598</c:v>
                </c:pt>
                <c:pt idx="1">
                  <c:v>3247299256.6262999</c:v>
                </c:pt>
                <c:pt idx="2">
                  <c:v>3639311303.4173899</c:v>
                </c:pt>
              </c:numCache>
            </c:numRef>
          </c:xVal>
          <c:yVal>
            <c:numRef>
              <c:f>('MFP-PDF_Avg (2)'!$AP$18,'MFP-PDF_Avg (2)'!$AP$19,'MFP-PDF_Avg (2)'!$AP$20)</c:f>
              <c:numCache>
                <c:formatCode>General</c:formatCode>
                <c:ptCount val="3"/>
                <c:pt idx="0">
                  <c:v>1.1000000000000001</c:v>
                </c:pt>
                <c:pt idx="1">
                  <c:v>0.84457000000000004</c:v>
                </c:pt>
                <c:pt idx="2">
                  <c:v>0.87448810843065394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7F-4617-AAC9-443FABBB0A2D}"/>
            </c:ext>
          </c:extLst>
        </c:ser>
        <c:ser>
          <c:idx val="6"/>
          <c:order val="2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9.3845873432487625E-2"/>
                  <c:y val="9.8049462567179099E-2"/>
                </c:manualLayout>
              </c:layout>
              <c:tx>
                <c:rich>
                  <a:bodyPr/>
                  <a:lstStyle/>
                  <a:p>
                    <a:fld id="{4E0BA487-CCDC-4FE7-BE25-673E4F54B5AB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328813065033539"/>
                      <c:h val="9.793182102237219E-2"/>
                    </c:manualLayout>
                  </c15:layout>
                  <c15:dlblFieldTable>
                    <c15:dlblFTEntry>
                      <c15:txfldGUID>{4E0BA487-CCDC-4FE7-BE25-673E4F54B5AB}</c15:txfldGUID>
                      <c15:f>'MFP-PDF_Avg (2)'!$A$21</c15:f>
                      <c15:dlblFieldTableCache>
                        <c:ptCount val="1"/>
                        <c:pt idx="0">
                          <c:v>0.63NaCl-0.37UCl3 (ORNL)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2E7F-4617-AAC9-443FABBB0A2D}"/>
                </c:ext>
              </c:extLst>
            </c:dLbl>
            <c:dLbl>
              <c:idx val="1"/>
              <c:layout>
                <c:manualLayout>
                  <c:x val="3.1089929548280139E-2"/>
                  <c:y val="1.568788276465432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48043BA-4F93-455A-BDFD-BB5447868CFE}" type="CELLREF">
                      <a:rPr lang="en-US"/>
                      <a:pPr>
                        <a:defRPr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342772942855827"/>
                      <c:h val="9.7931758530183724E-2"/>
                    </c:manualLayout>
                  </c15:layout>
                  <c15:dlblFieldTable>
                    <c15:dlblFTEntry>
                      <c15:txfldGUID>{F48043BA-4F93-455A-BDFD-BB5447868CFE}</c15:txfldGUID>
                      <c15:f>'MFP-PDF_Avg (2)'!$A$22</c15:f>
                      <c15:dlblFieldTableCache>
                        <c:ptCount val="1"/>
                        <c:pt idx="0">
                          <c:v>0.658NaCl-0.342UCl3 (ANL)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2E7F-4617-AAC9-443FABBB0A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'MFP-PDF_Avg (2)'!$BI$21:$BI$22</c:f>
              <c:numCache>
                <c:formatCode>0.00E+00</c:formatCode>
                <c:ptCount val="2"/>
                <c:pt idx="0">
                  <c:v>974492101.32778299</c:v>
                </c:pt>
                <c:pt idx="1">
                  <c:v>1014301607.94012</c:v>
                </c:pt>
              </c:numCache>
            </c:numRef>
          </c:xVal>
          <c:yVal>
            <c:numRef>
              <c:f>'MFP-PDF_Avg (2)'!$AP$21:$AP$22</c:f>
              <c:numCache>
                <c:formatCode>General</c:formatCode>
                <c:ptCount val="2"/>
                <c:pt idx="0">
                  <c:v>0.28277596034850733</c:v>
                </c:pt>
                <c:pt idx="1">
                  <c:v>0.22655673749565519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E7F-4617-AAC9-443FABBB0A2D}"/>
            </c:ext>
          </c:extLst>
        </c:ser>
        <c:ser>
          <c:idx val="2"/>
          <c:order val="3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 (2)'!$BI$23</c:f>
              <c:numCache>
                <c:formatCode>0.00E+00</c:formatCode>
                <c:ptCount val="1"/>
                <c:pt idx="0">
                  <c:v>1956310395.8564556</c:v>
                </c:pt>
              </c:numCache>
            </c:numRef>
          </c:xVal>
          <c:yVal>
            <c:numRef>
              <c:f>'MFP-PDF_Avg (2)'!$AP$23</c:f>
              <c:numCache>
                <c:formatCode>General</c:formatCode>
                <c:ptCount val="1"/>
                <c:pt idx="0">
                  <c:v>0.60089999999999999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E7F-4617-AAC9-443FABBB0A2D}"/>
            </c:ext>
          </c:extLst>
        </c:ser>
        <c:ser>
          <c:idx val="0"/>
          <c:order val="5"/>
          <c:tx>
            <c:v>Pure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'MFP-PDF_Avg (2)'!$BI$8</c:f>
              <c:numCache>
                <c:formatCode>0.00E+00</c:formatCode>
                <c:ptCount val="1"/>
                <c:pt idx="0">
                  <c:v>3837057560.7207298</c:v>
                </c:pt>
              </c:numCache>
            </c:numRef>
          </c:xVal>
          <c:yVal>
            <c:numRef>
              <c:f>'MFP-PDF_Avg (2)'!$AP$8</c:f>
              <c:numCache>
                <c:formatCode>General</c:formatCode>
                <c:ptCount val="1"/>
                <c:pt idx="0">
                  <c:v>1.33125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E7F-4617-AAC9-443FABBB0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4"/>
                <c:tx>
                  <c:v>Ideal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noFill/>
                    <a:ln w="9525">
                      <a:noFill/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4"/>
                      </a:solidFill>
                      <a:prstDash val="sysDot"/>
                    </a:ln>
                    <a:effectLst/>
                  </c:spPr>
                  <c:trendlineType val="linear"/>
                  <c:forward val="1.0000000000000005E-9"/>
                  <c:intercept val="0"/>
                  <c:dispRSqr val="0"/>
                  <c:dispEq val="0"/>
                </c:trendline>
                <c:x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2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2</c:v>
                    </c:pt>
                  </c:numLit>
                </c:yVal>
                <c:smooth val="0"/>
                <c:extLst>
                  <c:ext xmlns:c16="http://schemas.microsoft.com/office/drawing/2014/chart" uri="{C3380CC4-5D6E-409C-BE32-E72D297353CC}">
                    <c16:uniqueId val="{0000000B-2E7F-4617-AAC9-443FABBB0A2D}"/>
                  </c:ext>
                </c:extLst>
              </c15:ser>
            </c15:filteredScatterSeries>
          </c:ext>
        </c:extLst>
      </c:scatterChart>
      <c:valAx>
        <c:axId val="75714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1/3*cp*vs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ayout>
        <c:manualLayout>
          <c:xMode val="edge"/>
          <c:yMode val="edge"/>
          <c:x val="0.67247133581986451"/>
          <c:y val="0.32258347914843982"/>
          <c:w val="0.24063406547865726"/>
          <c:h val="0.303353371560249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PDF-avg_peak</a:t>
            </a:r>
          </a:p>
        </c:rich>
      </c:tx>
      <c:layout>
        <c:manualLayout>
          <c:xMode val="edge"/>
          <c:yMode val="edge"/>
          <c:x val="0.21481719390339363"/>
          <c:y val="3.33333333333333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66593759113446"/>
          <c:y val="5.9523809523809521E-2"/>
          <c:w val="0.56891659375911341"/>
          <c:h val="0.77617745698454343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 (2)'!$CB$5:$CB$7</c:f>
              <c:numCache>
                <c:formatCode>0.00E+00</c:formatCode>
                <c:ptCount val="3"/>
                <c:pt idx="0" formatCode="General">
                  <c:v>2.0876175485837878E-7</c:v>
                </c:pt>
                <c:pt idx="1">
                  <c:v>1.9797804922458501E-7</c:v>
                </c:pt>
                <c:pt idx="2" formatCode="General">
                  <c:v>1.9709839536224268E-7</c:v>
                </c:pt>
              </c:numCache>
            </c:numRef>
          </c:xVal>
          <c:yVal>
            <c:numRef>
              <c:f>'MFP-PDF_Avg (2)'!$AP$5:$AP$7</c:f>
              <c:numCache>
                <c:formatCode>General</c:formatCode>
                <c:ptCount val="3"/>
                <c:pt idx="0">
                  <c:v>0.61260000000000003</c:v>
                </c:pt>
                <c:pt idx="1">
                  <c:v>0.46649999999999997</c:v>
                </c:pt>
                <c:pt idx="2">
                  <c:v>0.35505000000000003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FF-4B91-B45E-97F78BAC79B3}"/>
            </c:ext>
          </c:extLst>
        </c:ser>
        <c:ser>
          <c:idx val="5"/>
          <c:order val="1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'MFP-PDF_Avg (2)'!$CB$18:$CB$20</c:f>
              <c:numCache>
                <c:formatCode>General</c:formatCode>
                <c:ptCount val="3"/>
                <c:pt idx="0">
                  <c:v>2.6515208606205915E-7</c:v>
                </c:pt>
                <c:pt idx="1">
                  <c:v>2.1033914784311533E-7</c:v>
                </c:pt>
                <c:pt idx="2">
                  <c:v>2.0984042115629121E-7</c:v>
                </c:pt>
              </c:numCache>
            </c:numRef>
          </c:xVal>
          <c:yVal>
            <c:numRef>
              <c:f>('MFP-PDF_Avg (2)'!$AP$18,'MFP-PDF_Avg (2)'!$AP$19,'MFP-PDF_Avg (2)'!$AP$20)</c:f>
              <c:numCache>
                <c:formatCode>General</c:formatCode>
                <c:ptCount val="3"/>
                <c:pt idx="0">
                  <c:v>1.1000000000000001</c:v>
                </c:pt>
                <c:pt idx="1">
                  <c:v>0.84457000000000004</c:v>
                </c:pt>
                <c:pt idx="2">
                  <c:v>0.87448810843065394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FF-4B91-B45E-97F78BAC79B3}"/>
            </c:ext>
          </c:extLst>
        </c:ser>
        <c:ser>
          <c:idx val="6"/>
          <c:order val="2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9.3845873432487625E-2"/>
                  <c:y val="9.8049462567179099E-2"/>
                </c:manualLayout>
              </c:layout>
              <c:tx>
                <c:rich>
                  <a:bodyPr/>
                  <a:lstStyle/>
                  <a:p>
                    <a:fld id="{4E0BA487-CCDC-4FE7-BE25-673E4F54B5AB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328813065033539"/>
                      <c:h val="9.793182102237219E-2"/>
                    </c:manualLayout>
                  </c15:layout>
                  <c15:dlblFieldTable>
                    <c15:dlblFTEntry>
                      <c15:txfldGUID>{4E0BA487-CCDC-4FE7-BE25-673E4F54B5AB}</c15:txfldGUID>
                      <c15:f>'MFP-PDF_Avg (2)'!$A$21</c15:f>
                      <c15:dlblFieldTableCache>
                        <c:ptCount val="1"/>
                        <c:pt idx="0">
                          <c:v>0.63NaCl-0.37UCl3 (ORNL)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2FFF-4B91-B45E-97F78BAC79B3}"/>
                </c:ext>
              </c:extLst>
            </c:dLbl>
            <c:dLbl>
              <c:idx val="1"/>
              <c:layout>
                <c:manualLayout>
                  <c:x val="3.1089929548280139E-2"/>
                  <c:y val="1.568788276465432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48043BA-4F93-455A-BDFD-BB5447868CFE}" type="CELLREF">
                      <a:rPr lang="en-US"/>
                      <a:pPr>
                        <a:defRPr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342772942855827"/>
                      <c:h val="9.7931758530183724E-2"/>
                    </c:manualLayout>
                  </c15:layout>
                  <c15:dlblFieldTable>
                    <c15:dlblFTEntry>
                      <c15:txfldGUID>{F48043BA-4F93-455A-BDFD-BB5447868CFE}</c15:txfldGUID>
                      <c15:f>'MFP-PDF_Avg (2)'!$A$22</c15:f>
                      <c15:dlblFieldTableCache>
                        <c:ptCount val="1"/>
                        <c:pt idx="0">
                          <c:v>0.658NaCl-0.342UCl3 (ANL)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2FFF-4B91-B45E-97F78BAC79B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'MFP-PDF_Avg (2)'!$CB$21:$CB$22</c:f>
              <c:numCache>
                <c:formatCode>General</c:formatCode>
                <c:ptCount val="2"/>
                <c:pt idx="0">
                  <c:v>1.4322455696325306E-7</c:v>
                </c:pt>
                <c:pt idx="1">
                  <c:v>1.4953082757272077E-7</c:v>
                </c:pt>
              </c:numCache>
            </c:numRef>
          </c:xVal>
          <c:yVal>
            <c:numRef>
              <c:f>'MFP-PDF_Avg (2)'!$AP$21:$AP$22</c:f>
              <c:numCache>
                <c:formatCode>General</c:formatCode>
                <c:ptCount val="2"/>
                <c:pt idx="0">
                  <c:v>0.28277596034850733</c:v>
                </c:pt>
                <c:pt idx="1">
                  <c:v>0.22655673749565519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FFF-4B91-B45E-97F78BAC79B3}"/>
            </c:ext>
          </c:extLst>
        </c:ser>
        <c:ser>
          <c:idx val="2"/>
          <c:order val="3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 (2)'!$CB$23</c:f>
              <c:numCache>
                <c:formatCode>General</c:formatCode>
                <c:ptCount val="1"/>
                <c:pt idx="0">
                  <c:v>1.32970728E-7</c:v>
                </c:pt>
              </c:numCache>
            </c:numRef>
          </c:xVal>
          <c:yVal>
            <c:numRef>
              <c:f>'MFP-PDF_Avg (2)'!$AP$23</c:f>
              <c:numCache>
                <c:formatCode>General</c:formatCode>
                <c:ptCount val="1"/>
                <c:pt idx="0">
                  <c:v>0.60089999999999999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FFF-4B91-B45E-97F78BAC79B3}"/>
            </c:ext>
          </c:extLst>
        </c:ser>
        <c:ser>
          <c:idx val="3"/>
          <c:order val="4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1"/>
            <c:dispEq val="0"/>
            <c:trendlineLbl>
              <c:layout>
                <c:manualLayout>
                  <c:x val="-0.12863286825988857"/>
                  <c:y val="0.1167629046369203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'MFP-PDF_Avg (2)'!$CB$5:$CB$23</c:f>
              <c:numCache>
                <c:formatCode>0.00E+00</c:formatCode>
                <c:ptCount val="19"/>
                <c:pt idx="0" formatCode="General">
                  <c:v>2.0876175485837878E-7</c:v>
                </c:pt>
                <c:pt idx="1">
                  <c:v>1.9797804922458501E-7</c:v>
                </c:pt>
                <c:pt idx="2" formatCode="General">
                  <c:v>1.9709839536224268E-7</c:v>
                </c:pt>
                <c:pt idx="3" formatCode="General">
                  <c:v>2.002201897716116E-7</c:v>
                </c:pt>
                <c:pt idx="4">
                  <c:v>1.8800978584811899E-7</c:v>
                </c:pt>
                <c:pt idx="5">
                  <c:v>1.9262165958693599E-7</c:v>
                </c:pt>
                <c:pt idx="8">
                  <c:v>2.16234650684838E-7</c:v>
                </c:pt>
                <c:pt idx="9">
                  <c:v>2.2860586008176599E-7</c:v>
                </c:pt>
                <c:pt idx="10">
                  <c:v>2.68448414278508E-7</c:v>
                </c:pt>
                <c:pt idx="13" formatCode="General">
                  <c:v>2.6515208606205915E-7</c:v>
                </c:pt>
                <c:pt idx="14" formatCode="General">
                  <c:v>2.1033914784311533E-7</c:v>
                </c:pt>
                <c:pt idx="15" formatCode="General">
                  <c:v>2.0984042115629121E-7</c:v>
                </c:pt>
                <c:pt idx="16" formatCode="General">
                  <c:v>1.4322455696325306E-7</c:v>
                </c:pt>
                <c:pt idx="17" formatCode="General">
                  <c:v>1.4953082757272077E-7</c:v>
                </c:pt>
                <c:pt idx="18" formatCode="General">
                  <c:v>1.32970728E-7</c:v>
                </c:pt>
              </c:numCache>
            </c:numRef>
          </c:xVal>
          <c:yVal>
            <c:numRef>
              <c:f>'MFP-PDF_Avg (2)'!$AP$5:$AP$23</c:f>
              <c:numCache>
                <c:formatCode>General</c:formatCode>
                <c:ptCount val="19"/>
                <c:pt idx="0">
                  <c:v>0.61260000000000003</c:v>
                </c:pt>
                <c:pt idx="1">
                  <c:v>0.46649999999999997</c:v>
                </c:pt>
                <c:pt idx="2">
                  <c:v>0.35505000000000003</c:v>
                </c:pt>
                <c:pt idx="3">
                  <c:v>1.33125</c:v>
                </c:pt>
                <c:pt idx="4">
                  <c:v>0.82789999999999997</c:v>
                </c:pt>
                <c:pt idx="5">
                  <c:v>0.56999999999999995</c:v>
                </c:pt>
                <c:pt idx="6">
                  <c:v>0.48965000000000003</c:v>
                </c:pt>
                <c:pt idx="7">
                  <c:v>0.36715000000000003</c:v>
                </c:pt>
                <c:pt idx="8">
                  <c:v>0.45680000000000004</c:v>
                </c:pt>
                <c:pt idx="9">
                  <c:v>0.44125000000000003</c:v>
                </c:pt>
                <c:pt idx="10">
                  <c:v>0.37705</c:v>
                </c:pt>
                <c:pt idx="11">
                  <c:v>0.51224999999999998</c:v>
                </c:pt>
                <c:pt idx="12">
                  <c:v>0.40920000000000001</c:v>
                </c:pt>
                <c:pt idx="13">
                  <c:v>1.1000000000000001</c:v>
                </c:pt>
                <c:pt idx="14">
                  <c:v>0.84457000000000004</c:v>
                </c:pt>
                <c:pt idx="15">
                  <c:v>0.87448810843065394</c:v>
                </c:pt>
                <c:pt idx="16">
                  <c:v>0.28277596034850733</c:v>
                </c:pt>
                <c:pt idx="17">
                  <c:v>0.22655673749565519</c:v>
                </c:pt>
                <c:pt idx="18">
                  <c:v>0.60089999999999999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2FFF-4B91-B45E-97F78BAC7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  <c:extLst/>
      </c:scatterChart>
      <c:valAx>
        <c:axId val="75714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1/3*vs*MFP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ayout>
        <c:manualLayout>
          <c:xMode val="edge"/>
          <c:yMode val="edge"/>
          <c:x val="0.67247133581986451"/>
          <c:y val="0.32258347914843982"/>
          <c:w val="0.32205682200056962"/>
          <c:h val="0.370895304753572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PDF-avg_peak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703066721922917"/>
          <c:y val="4.3650793650793648E-2"/>
          <c:w val="0.53801468895335458"/>
          <c:h val="0.82313502478856815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 (2)'!$CO$5:$CO$7</c:f>
              <c:numCache>
                <c:formatCode>0.00E+00</c:formatCode>
                <c:ptCount val="3"/>
                <c:pt idx="0">
                  <c:v>5.0986492855295244E-10</c:v>
                </c:pt>
                <c:pt idx="1">
                  <c:v>3.7944326183477726E-10</c:v>
                </c:pt>
                <c:pt idx="2">
                  <c:v>4.5335791979318428E-10</c:v>
                </c:pt>
              </c:numCache>
            </c:numRef>
          </c:xVal>
          <c:yVal>
            <c:numRef>
              <c:f>'MFP-PDF_Avg (2)'!$BL$5:$BL$7</c:f>
              <c:numCache>
                <c:formatCode>0.00E+00</c:formatCode>
                <c:ptCount val="3"/>
                <c:pt idx="0">
                  <c:v>3.0056447474785299E-10</c:v>
                </c:pt>
                <c:pt idx="1">
                  <c:v>3.3400223720324102E-10</c:v>
                </c:pt>
                <c:pt idx="2">
                  <c:v>3.6182029353950698E-10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D3-4F4A-AA61-4C7BB99F6F97}"/>
            </c:ext>
          </c:extLst>
        </c:ser>
        <c:ser>
          <c:idx val="5"/>
          <c:order val="1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'MFP-PDF_Avg (2)'!$CO$18:$CO$20</c:f>
              <c:numCache>
                <c:formatCode>0.00E+00</c:formatCode>
                <c:ptCount val="3"/>
                <c:pt idx="0">
                  <c:v>3.8338347353322035E-9</c:v>
                </c:pt>
                <c:pt idx="1">
                  <c:v>2.8369914793196441E-9</c:v>
                </c:pt>
                <c:pt idx="2">
                  <c:v>8.4406168446792717E-10</c:v>
                </c:pt>
              </c:numCache>
            </c:numRef>
          </c:xVal>
          <c:yVal>
            <c:numRef>
              <c:f>'MFP-PDF_Avg (2)'!$BL$18:$BL$20</c:f>
              <c:numCache>
                <c:formatCode>0.00E+00</c:formatCode>
                <c:ptCount val="3"/>
                <c:pt idx="0">
                  <c:v>2.06003844994128E-10</c:v>
                </c:pt>
                <c:pt idx="1">
                  <c:v>2.5955250470707202E-10</c:v>
                </c:pt>
                <c:pt idx="2">
                  <c:v>2.4173581555363199E-10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D3-4F4A-AA61-4C7BB99F6F97}"/>
            </c:ext>
          </c:extLst>
        </c:ser>
        <c:ser>
          <c:idx val="6"/>
          <c:order val="2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'MFP-PDF_Avg (2)'!$CO$21:$CO$22</c:f>
              <c:numCache>
                <c:formatCode>0.00E+00</c:formatCode>
                <c:ptCount val="2"/>
                <c:pt idx="0">
                  <c:v>1.8511567318115176E-9</c:v>
                </c:pt>
                <c:pt idx="1">
                  <c:v>1.3749528367298905E-9</c:v>
                </c:pt>
              </c:numCache>
            </c:numRef>
          </c:xVal>
          <c:yVal>
            <c:numRef>
              <c:f>'MFP-PDF_Avg (2)'!$BL$21:$BL$22</c:f>
              <c:numCache>
                <c:formatCode>0.00E+00</c:formatCode>
                <c:ptCount val="2"/>
                <c:pt idx="0">
                  <c:v>3.1692440673072701E-10</c:v>
                </c:pt>
                <c:pt idx="1">
                  <c:v>3.1692440673072701E-10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BD3-4F4A-AA61-4C7BB99F6F97}"/>
            </c:ext>
          </c:extLst>
        </c:ser>
        <c:ser>
          <c:idx val="2"/>
          <c:order val="3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 (2)'!$CO$23</c:f>
              <c:numCache>
                <c:formatCode>0.00E+00</c:formatCode>
                <c:ptCount val="1"/>
                <c:pt idx="0">
                  <c:v>1.2781802750592626E-9</c:v>
                </c:pt>
              </c:numCache>
            </c:numRef>
          </c:xVal>
          <c:yVal>
            <c:numRef>
              <c:f>'MFP-PDF_Avg (2)'!$BL$23</c:f>
              <c:numCache>
                <c:formatCode>0.00E+00</c:formatCode>
                <c:ptCount val="1"/>
                <c:pt idx="0">
                  <c:v>2.8432800000000002E-10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BD3-4F4A-AA61-4C7BB99F6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4"/>
                <c:tx>
                  <c:v>Ideal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noFill/>
                    <a:ln w="9525">
                      <a:noFill/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4"/>
                      </a:solidFill>
                      <a:prstDash val="sysDot"/>
                    </a:ln>
                    <a:effectLst/>
                  </c:spPr>
                  <c:trendlineType val="linear"/>
                  <c:forward val="1.0000000000000005E-9"/>
                  <c:intercept val="0"/>
                  <c:dispRSqr val="0"/>
                  <c:dispEq val="0"/>
                </c:trendline>
                <c:x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9.9999999999999994E-12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9.9999999999999994E-12</c:v>
                    </c:pt>
                  </c:numLit>
                </c:yVal>
                <c:smooth val="0"/>
                <c:extLst>
                  <c:ext xmlns:c16="http://schemas.microsoft.com/office/drawing/2014/chart" uri="{C3380CC4-5D6E-409C-BE32-E72D297353CC}">
                    <c16:uniqueId val="{00000008-6BD3-4F4A-AA61-4C7BB99F6F97}"/>
                  </c:ext>
                </c:extLst>
              </c15:ser>
            </c15:filteredScatterSeries>
          </c:ext>
        </c:extLst>
      </c:scatterChart>
      <c:valAx>
        <c:axId val="75714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Visc/(Dens*vsound)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6.0000000000000031E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PDF-avg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00991542723829"/>
          <c:y val="4.3650793650793648E-2"/>
          <c:w val="0.51074058688893342"/>
          <c:h val="0.80527777777777776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 (2)'!$BX$5:$BX$7</c:f>
              <c:numCache>
                <c:formatCode>0.00E+00</c:formatCode>
                <c:ptCount val="3"/>
                <c:pt idx="0">
                  <c:v>2654.2218825171644</c:v>
                </c:pt>
                <c:pt idx="1">
                  <c:v>2260.0959707447478</c:v>
                </c:pt>
                <c:pt idx="2">
                  <c:v>1951.6406821956732</c:v>
                </c:pt>
              </c:numCache>
            </c:numRef>
          </c:xVal>
          <c:yVal>
            <c:numRef>
              <c:f>'MFP-PDF_Avg (2)'!$BV$5:$BV$7</c:f>
              <c:numCache>
                <c:formatCode>0.000E+00</c:formatCode>
                <c:ptCount val="3"/>
                <c:pt idx="0">
                  <c:v>3500</c:v>
                </c:pt>
                <c:pt idx="1">
                  <c:v>2720</c:v>
                </c:pt>
                <c:pt idx="2">
                  <c:v>2360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EB-4A11-9B4E-1D45CA253AF9}"/>
            </c:ext>
          </c:extLst>
        </c:ser>
        <c:ser>
          <c:idx val="0"/>
          <c:order val="1"/>
          <c:tx>
            <c:v>Pure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 (2)'!$BX$8:$BX$10</c:f>
              <c:numCache>
                <c:formatCode>0.00E+00</c:formatCode>
                <c:ptCount val="3"/>
                <c:pt idx="0">
                  <c:v>3782.0499879267163</c:v>
                </c:pt>
                <c:pt idx="1">
                  <c:v>2810.4652972558115</c:v>
                </c:pt>
                <c:pt idx="2">
                  <c:v>2467.1321700698095</c:v>
                </c:pt>
              </c:numCache>
            </c:numRef>
          </c:xVal>
          <c:yVal>
            <c:numRef>
              <c:f>'MFP-PDF_Avg (2)'!$BV$8:$BV$10</c:f>
              <c:numCache>
                <c:formatCode>0.000E+00</c:formatCode>
                <c:ptCount val="3"/>
                <c:pt idx="0">
                  <c:v>3500</c:v>
                </c:pt>
                <c:pt idx="1">
                  <c:v>2720</c:v>
                </c:pt>
                <c:pt idx="2">
                  <c:v>2360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EB-4A11-9B4E-1D45CA253AF9}"/>
            </c:ext>
          </c:extLst>
        </c:ser>
        <c:ser>
          <c:idx val="1"/>
          <c:order val="2"/>
          <c:tx>
            <c:v>Alkaline Earth Chlorides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'MFP-PDF_Avg (2)'!$BX$13:$BX$15</c:f>
              <c:numCache>
                <c:formatCode>0.00E+00</c:formatCode>
                <c:ptCount val="3"/>
                <c:pt idx="0">
                  <c:v>2724.8332666910214</c:v>
                </c:pt>
                <c:pt idx="1">
                  <c:v>2066.3182864120718</c:v>
                </c:pt>
                <c:pt idx="2">
                  <c:v>1461.8144354476785</c:v>
                </c:pt>
              </c:numCache>
            </c:numRef>
          </c:xVal>
          <c:yVal>
            <c:numRef>
              <c:f>'MFP-PDF_Avg (2)'!$BV$13:$BV$15</c:f>
              <c:numCache>
                <c:formatCode>0.000E+00</c:formatCode>
                <c:ptCount val="3"/>
                <c:pt idx="0">
                  <c:v>3400</c:v>
                </c:pt>
                <c:pt idx="1">
                  <c:v>2200</c:v>
                </c:pt>
                <c:pt idx="2" formatCode="0.00E+00">
                  <c:v>1873.13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1EB-4A11-9B4E-1D45CA253AF9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'MFP-PDF_Avg (2)'!$BX$18:$BX$20</c:f>
              <c:numCache>
                <c:formatCode>0.00E+00</c:formatCode>
                <c:ptCount val="3"/>
                <c:pt idx="0">
                  <c:v>3014.7958403196781</c:v>
                </c:pt>
                <c:pt idx="1">
                  <c:v>2363.979295927822</c:v>
                </c:pt>
                <c:pt idx="2">
                  <c:v>2588.5890241203952</c:v>
                </c:pt>
              </c:numCache>
            </c:numRef>
          </c:xVal>
          <c:yVal>
            <c:numRef>
              <c:f>'MFP-PDF_Avg (2)'!$BT$18:$BT$20</c:f>
              <c:numCache>
                <c:formatCode>0.0000E+00</c:formatCode>
                <c:ptCount val="3"/>
                <c:pt idx="0">
                  <c:v>2547.6863757231322</c:v>
                </c:pt>
                <c:pt idx="1">
                  <c:v>2012.468707779205</c:v>
                </c:pt>
                <c:pt idx="2">
                  <c:v>2298.228366828082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1EB-4A11-9B4E-1D45CA253AF9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'MFP-PDF_Avg (2)'!$BX$21:$BX$22</c:f>
              <c:numCache>
                <c:formatCode>0.00E+00</c:formatCode>
                <c:ptCount val="2"/>
                <c:pt idx="0">
                  <c:v>1332.9578486026016</c:v>
                </c:pt>
                <c:pt idx="1">
                  <c:v>1039.4331216672322</c:v>
                </c:pt>
              </c:numCache>
            </c:numRef>
          </c:xVal>
          <c:yVal>
            <c:numRef>
              <c:f>'MFP-PDF_Avg (2)'!$BT$21:$BT$22</c:f>
              <c:numCache>
                <c:formatCode>0.0000E+00</c:formatCode>
                <c:ptCount val="2"/>
                <c:pt idx="0">
                  <c:v>1451.7494609289899</c:v>
                </c:pt>
                <c:pt idx="1">
                  <c:v>1470.4555590061771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1EB-4A11-9B4E-1D45CA253AF9}"/>
            </c:ext>
          </c:extLst>
        </c:ser>
        <c:ser>
          <c:idx val="2"/>
          <c:order val="5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 (2)'!$BX$23</c:f>
              <c:numCache>
                <c:formatCode>0.00E+00</c:formatCode>
                <c:ptCount val="1"/>
                <c:pt idx="0">
                  <c:v>1515.6624180374595</c:v>
                </c:pt>
              </c:numCache>
            </c:numRef>
          </c:xVal>
          <c:yVal>
            <c:numRef>
              <c:f>'MFP-PDF_Avg (2)'!$BT$23</c:f>
              <c:numCache>
                <c:formatCode>0.0000E+00</c:formatCode>
                <c:ptCount val="1"/>
                <c:pt idx="0">
                  <c:v>1403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1EB-4A11-9B4E-1D45CA253AF9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6000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6000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81EB-4A11-9B4E-1D45CA253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vs_calc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v_sound_metal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978933554358339"/>
          <c:y val="4.3650793650793648E-2"/>
          <c:w val="0.47553368328958878"/>
          <c:h val="0.82379640044994373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 (2)'!$CI$5:$CI$7</c:f>
              <c:numCache>
                <c:formatCode>General</c:formatCode>
                <c:ptCount val="3"/>
                <c:pt idx="0" formatCode="0.00E+00">
                  <c:v>1746998.5923193845</c:v>
                </c:pt>
                <c:pt idx="1">
                  <c:v>1540474.8876290959</c:v>
                </c:pt>
                <c:pt idx="2">
                  <c:v>1247400.3084446422</c:v>
                </c:pt>
              </c:numCache>
            </c:numRef>
          </c:xVal>
          <c:yVal>
            <c:numRef>
              <c:f>'MFP-PDF_Avg (2)'!$CA$5:$CA$7</c:f>
              <c:numCache>
                <c:formatCode>0.00E+00</c:formatCode>
                <c:ptCount val="3"/>
                <c:pt idx="0">
                  <c:v>2299027.692598009</c:v>
                </c:pt>
                <c:pt idx="1">
                  <c:v>1849136.7861885792</c:v>
                </c:pt>
                <c:pt idx="2">
                  <c:v>1506961.5069615068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D1-4497-B2C0-D2DB26037B35}"/>
            </c:ext>
          </c:extLst>
        </c:ser>
        <c:ser>
          <c:idx val="0"/>
          <c:order val="1"/>
          <c:tx>
            <c:v>Pure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 (2)'!$CI$8:$CI$10</c:f>
              <c:numCache>
                <c:formatCode>General</c:formatCode>
                <c:ptCount val="3"/>
                <c:pt idx="0">
                  <c:v>4836782.8842183277</c:v>
                </c:pt>
                <c:pt idx="1">
                  <c:v>3368180.9015598893</c:v>
                </c:pt>
                <c:pt idx="2" formatCode="0.00E+00">
                  <c:v>2298594.8441684092</c:v>
                </c:pt>
              </c:numCache>
            </c:numRef>
          </c:xVal>
          <c:yVal>
            <c:numRef>
              <c:f>'MFP-PDF_Avg (2)'!$CA$8:$CA$10</c:f>
              <c:numCache>
                <c:formatCode>0.00E+00</c:formatCode>
                <c:ptCount val="3"/>
                <c:pt idx="0">
                  <c:v>4521126.760563381</c:v>
                </c:pt>
                <c:pt idx="1">
                  <c:v>3250000</c:v>
                </c:pt>
                <c:pt idx="2">
                  <c:v>2200657.8947368423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D1-4497-B2C0-D2DB26037B35}"/>
            </c:ext>
          </c:extLst>
        </c:ser>
        <c:ser>
          <c:idx val="1"/>
          <c:order val="2"/>
          <c:tx>
            <c:v>Alkaline Earth Chlorides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'MFP-PDF_Avg (2)'!$CI$13:$CI$15</c:f>
              <c:numCache>
                <c:formatCode>0.00E+00</c:formatCode>
                <c:ptCount val="3"/>
                <c:pt idx="0">
                  <c:v>1305413.0247754836</c:v>
                </c:pt>
                <c:pt idx="1">
                  <c:v>1811761.5723055371</c:v>
                </c:pt>
              </c:numCache>
            </c:numRef>
          </c:xVal>
          <c:yVal>
            <c:numRef>
              <c:f>'MFP-PDF_Avg (2)'!$CA$13:$CA$15</c:f>
              <c:numCache>
                <c:formatCode>0.00E+00</c:formatCode>
                <c:ptCount val="3"/>
                <c:pt idx="0">
                  <c:v>1628871.8794256966</c:v>
                </c:pt>
                <c:pt idx="1">
                  <c:v>1928974.5850302745</c:v>
                </c:pt>
                <c:pt idx="2">
                  <c:v>1799756.6027023955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FD1-4497-B2C0-D2DB26037B35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'MFP-PDF_Avg (2)'!$CH$18:$CH$20</c:f>
              <c:numCache>
                <c:formatCode>General</c:formatCode>
                <c:ptCount val="3"/>
                <c:pt idx="0">
                  <c:v>4148562.4961009878</c:v>
                </c:pt>
                <c:pt idx="1">
                  <c:v>4015277.2732061055</c:v>
                </c:pt>
                <c:pt idx="2">
                  <c:v>4167395.8887993586</c:v>
                </c:pt>
              </c:numCache>
            </c:numRef>
          </c:xVal>
          <c:yVal>
            <c:numRef>
              <c:f>'MFP-PDF_Avg (2)'!$CA$18:$CA$20</c:f>
              <c:numCache>
                <c:formatCode>0.00E+00</c:formatCode>
                <c:ptCount val="3"/>
                <c:pt idx="0">
                  <c:v>4323157.1595853949</c:v>
                </c:pt>
                <c:pt idx="1">
                  <c:v>3402318.9027080508</c:v>
                </c:pt>
                <c:pt idx="2">
                  <c:v>4192480.558023226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FD1-4497-B2C0-D2DB26037B35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'MFP-PDF_Avg (2)'!$CH$21:$CH$22</c:f>
              <c:numCache>
                <c:formatCode>General</c:formatCode>
                <c:ptCount val="2"/>
                <c:pt idx="0">
                  <c:v>1974353.8841670761</c:v>
                </c:pt>
                <c:pt idx="1">
                  <c:v>1515117.258248803</c:v>
                </c:pt>
              </c:numCache>
            </c:numRef>
          </c:xVal>
          <c:yVal>
            <c:numRef>
              <c:f>'MFP-PDF_Avg (2)'!$CA$21:$CA$22</c:f>
              <c:numCache>
                <c:formatCode>0.00E+00</c:formatCode>
                <c:ptCount val="2"/>
                <c:pt idx="0">
                  <c:v>2156336.4385642763</c:v>
                </c:pt>
                <c:pt idx="1">
                  <c:v>2149770.3220167966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FD1-4497-B2C0-D2DB26037B35}"/>
            </c:ext>
          </c:extLst>
        </c:ser>
        <c:ser>
          <c:idx val="2"/>
          <c:order val="5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 (2)'!$CH$23</c:f>
              <c:numCache>
                <c:formatCode>General</c:formatCode>
                <c:ptCount val="1"/>
                <c:pt idx="0">
                  <c:v>4519039.7092508962</c:v>
                </c:pt>
              </c:numCache>
            </c:numRef>
          </c:xVal>
          <c:yVal>
            <c:numRef>
              <c:f>'MFP-PDF_Avg (2)'!$CA$23</c:f>
              <c:numCache>
                <c:formatCode>0.00E+00</c:formatCode>
                <c:ptCount val="1"/>
                <c:pt idx="0">
                  <c:v>4183129.8557158709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FD1-4497-B2C0-D2DB26037B35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.000000000000001E-2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7000000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7000000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1FD1-4497-B2C0-D2DB26037B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70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C_p,calc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E+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  <c:majorUnit val="1000000"/>
      </c:valAx>
      <c:valAx>
        <c:axId val="689706896"/>
        <c:scaling>
          <c:orientation val="minMax"/>
          <c:max val="7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C_p,measured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635608048993876E-2"/>
              <c:y val="0.305791776027996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67928926647326981"/>
          <c:y val="0.28199183435403907"/>
          <c:w val="0.30383133029423953"/>
          <c:h val="0.575234762321376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66593759113446"/>
          <c:y val="5.9523809523809521E-2"/>
          <c:w val="0.56891659375911341"/>
          <c:h val="0.77617745698454343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 (2)'!$BD$5:$BD$7</c:f>
              <c:numCache>
                <c:formatCode>0.000000</c:formatCode>
                <c:ptCount val="3"/>
                <c:pt idx="0">
                  <c:v>0.82534176315739483</c:v>
                </c:pt>
                <c:pt idx="1">
                  <c:v>0.57106848894692408</c:v>
                </c:pt>
                <c:pt idx="2">
                  <c:v>0.43875542878122487</c:v>
                </c:pt>
              </c:numCache>
            </c:numRef>
          </c:xVal>
          <c:yVal>
            <c:numRef>
              <c:f>'MFP-PDF_Avg (2)'!$AP$5:$AP$7</c:f>
              <c:numCache>
                <c:formatCode>General</c:formatCode>
                <c:ptCount val="3"/>
                <c:pt idx="0">
                  <c:v>0.61260000000000003</c:v>
                </c:pt>
                <c:pt idx="1">
                  <c:v>0.46649999999999997</c:v>
                </c:pt>
                <c:pt idx="2">
                  <c:v>0.35505000000000003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AF-4029-BDE6-E3ABD5A35EBA}"/>
            </c:ext>
          </c:extLst>
        </c:ser>
        <c:ser>
          <c:idx val="1"/>
          <c:order val="1"/>
          <c:tx>
            <c:v>Pure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 (2)'!$BD$8:$BD$10</c:f>
              <c:numCache>
                <c:formatCode>0.000000</c:formatCode>
                <c:ptCount val="3"/>
                <c:pt idx="0">
                  <c:v>1.2437138082745092</c:v>
                </c:pt>
                <c:pt idx="1">
                  <c:v>0.79932841253490206</c:v>
                </c:pt>
                <c:pt idx="2">
                  <c:v>0.55028496232740676</c:v>
                </c:pt>
              </c:numCache>
            </c:numRef>
          </c:xVal>
          <c:yVal>
            <c:numRef>
              <c:f>'MFP-PDF_Avg (2)'!$AP$8:$AP$10</c:f>
              <c:numCache>
                <c:formatCode>General</c:formatCode>
                <c:ptCount val="3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AF-4029-BDE6-E3ABD5A35EBA}"/>
            </c:ext>
          </c:extLst>
        </c:ser>
        <c:ser>
          <c:idx val="7"/>
          <c:order val="2"/>
          <c:tx>
            <c:v>Alkaline Earth Chlorides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'MFP-PDF_Avg (2)'!$BD$13:$BD$15</c:f>
              <c:numCache>
                <c:formatCode>0.000000</c:formatCode>
                <c:ptCount val="3"/>
                <c:pt idx="0">
                  <c:v>0.56998716911808733</c:v>
                </c:pt>
                <c:pt idx="1">
                  <c:v>0.46979693611752404</c:v>
                </c:pt>
              </c:numCache>
            </c:numRef>
          </c:xVal>
          <c:yVal>
            <c:numRef>
              <c:f>'MFP-PDF_Avg (2)'!$AP$13:$AP$15</c:f>
              <c:numCache>
                <c:formatCode>General</c:formatCode>
                <c:ptCount val="3"/>
                <c:pt idx="0">
                  <c:v>0.45680000000000004</c:v>
                </c:pt>
                <c:pt idx="1">
                  <c:v>0.44125000000000003</c:v>
                </c:pt>
                <c:pt idx="2">
                  <c:v>0.37705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AF-4029-BDE6-E3ABD5A35EBA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'MFP-PDF_Avg (2)'!$BC$18:$BC$20</c:f>
              <c:numCache>
                <c:formatCode>0.000000</c:formatCode>
                <c:ptCount val="3"/>
                <c:pt idx="0">
                  <c:v>1.2641169574941</c:v>
                </c:pt>
                <c:pt idx="1">
                  <c:v>0.84284465559077204</c:v>
                </c:pt>
                <c:pt idx="2">
                  <c:v>0.93676902087574598</c:v>
                </c:pt>
              </c:numCache>
            </c:numRef>
          </c:xVal>
          <c:yVal>
            <c:numRef>
              <c:f>('MFP-PDF_Avg (2)'!$AP$18,'MFP-PDF_Avg (2)'!$AP$19,'MFP-PDF_Avg (2)'!$AP$20)</c:f>
              <c:numCache>
                <c:formatCode>General</c:formatCode>
                <c:ptCount val="3"/>
                <c:pt idx="0">
                  <c:v>1.1000000000000001</c:v>
                </c:pt>
                <c:pt idx="1">
                  <c:v>0.84457000000000004</c:v>
                </c:pt>
                <c:pt idx="2">
                  <c:v>0.87448810843065394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AF-4029-BDE6-E3ABD5A35EBA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9.3845873432487625E-2"/>
                  <c:y val="9.8049462567179099E-2"/>
                </c:manualLayout>
              </c:layout>
              <c:tx>
                <c:rich>
                  <a:bodyPr/>
                  <a:lstStyle/>
                  <a:p>
                    <a:fld id="{4E0BA487-CCDC-4FE7-BE25-673E4F54B5AB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328813065033539"/>
                      <c:h val="9.793182102237219E-2"/>
                    </c:manualLayout>
                  </c15:layout>
                  <c15:dlblFieldTable>
                    <c15:dlblFTEntry>
                      <c15:txfldGUID>{4E0BA487-CCDC-4FE7-BE25-673E4F54B5AB}</c15:txfldGUID>
                      <c15:f>'MFP-PDF_Avg (2)'!$A$21</c15:f>
                      <c15:dlblFieldTableCache>
                        <c:ptCount val="1"/>
                        <c:pt idx="0">
                          <c:v>0.63NaCl-0.37UCl3 (ORNL)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56AF-4029-BDE6-E3ABD5A35EBA}"/>
                </c:ext>
              </c:extLst>
            </c:dLbl>
            <c:dLbl>
              <c:idx val="1"/>
              <c:layout>
                <c:manualLayout>
                  <c:x val="3.1089929548280139E-2"/>
                  <c:y val="1.568788276465432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48043BA-4F93-455A-BDFD-BB5447868CFE}" type="CELLREF">
                      <a:rPr lang="en-US"/>
                      <a:pPr>
                        <a:defRPr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342772942855827"/>
                      <c:h val="9.7931758530183724E-2"/>
                    </c:manualLayout>
                  </c15:layout>
                  <c15:dlblFieldTable>
                    <c15:dlblFTEntry>
                      <c15:txfldGUID>{F48043BA-4F93-455A-BDFD-BB5447868CFE}</c15:txfldGUID>
                      <c15:f>'MFP-PDF_Avg (2)'!$A$22</c15:f>
                      <c15:dlblFieldTableCache>
                        <c:ptCount val="1"/>
                        <c:pt idx="0">
                          <c:v>0.658NaCl-0.342UCl3 (ANL)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56AF-4029-BDE6-E3ABD5A35E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'MFP-PDF_Avg (2)'!$BC$21:$BC$22</c:f>
              <c:numCache>
                <c:formatCode>0.000000</c:formatCode>
                <c:ptCount val="2"/>
                <c:pt idx="0">
                  <c:v>0.30884033107708703</c:v>
                </c:pt>
                <c:pt idx="1">
                  <c:v>0.32145693534244602</c:v>
                </c:pt>
              </c:numCache>
            </c:numRef>
          </c:xVal>
          <c:yVal>
            <c:numRef>
              <c:f>'MFP-PDF_Avg (2)'!$AP$21:$AP$22</c:f>
              <c:numCache>
                <c:formatCode>General</c:formatCode>
                <c:ptCount val="2"/>
                <c:pt idx="0">
                  <c:v>0.28277596034850733</c:v>
                </c:pt>
                <c:pt idx="1">
                  <c:v>0.22655673749565519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6AF-4029-BDE6-E3ABD5A35EBA}"/>
            </c:ext>
          </c:extLst>
        </c:ser>
        <c:ser>
          <c:idx val="2"/>
          <c:order val="5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 (2)'!$BC$23</c:f>
              <c:numCache>
                <c:formatCode>0.000000</c:formatCode>
                <c:ptCount val="1"/>
                <c:pt idx="0">
                  <c:v>0.55623382223307438</c:v>
                </c:pt>
              </c:numCache>
            </c:numRef>
          </c:xVal>
          <c:yVal>
            <c:numRef>
              <c:f>'MFP-PDF_Avg (2)'!$AP$23</c:f>
              <c:numCache>
                <c:formatCode>General</c:formatCode>
                <c:ptCount val="1"/>
                <c:pt idx="0">
                  <c:v>0.60089999999999999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6AF-4029-BDE6-E3ABD5A35EBA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C-56AF-4029-BDE6-E3ABD5A35EBA}"/>
            </c:ext>
          </c:extLst>
        </c:ser>
        <c:ser>
          <c:idx val="0"/>
          <c:order val="7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4.6447745485439403E-2"/>
                  <c:y val="0.1753346456692913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'MFP-PDF_Avg (2)'!$BD$5:$BD$23</c:f>
              <c:numCache>
                <c:formatCode>0.000000</c:formatCode>
                <c:ptCount val="19"/>
                <c:pt idx="0">
                  <c:v>0.82534176315739483</c:v>
                </c:pt>
                <c:pt idx="1">
                  <c:v>0.57106848894692408</c:v>
                </c:pt>
                <c:pt idx="2">
                  <c:v>0.43875542878122487</c:v>
                </c:pt>
                <c:pt idx="3">
                  <c:v>1.2437138082745092</c:v>
                </c:pt>
                <c:pt idx="4">
                  <c:v>0.79932841253490206</c:v>
                </c:pt>
                <c:pt idx="5">
                  <c:v>0.55028496232740676</c:v>
                </c:pt>
                <c:pt idx="8">
                  <c:v>0.56998716911808733</c:v>
                </c:pt>
                <c:pt idx="9">
                  <c:v>0.46979693611752404</c:v>
                </c:pt>
                <c:pt idx="13">
                  <c:v>1.2641169574941</c:v>
                </c:pt>
                <c:pt idx="14">
                  <c:v>0.84284465559077204</c:v>
                </c:pt>
                <c:pt idx="15">
                  <c:v>0.93676902087574598</c:v>
                </c:pt>
                <c:pt idx="16">
                  <c:v>0.30884033107708703</c:v>
                </c:pt>
                <c:pt idx="17">
                  <c:v>0.32145693534244602</c:v>
                </c:pt>
                <c:pt idx="18">
                  <c:v>0.55623382223307438</c:v>
                </c:pt>
              </c:numCache>
            </c:numRef>
          </c:xVal>
          <c:yVal>
            <c:numRef>
              <c:f>'MFP-PDF_Avg (2)'!$AP$5:$AP$23</c:f>
              <c:numCache>
                <c:formatCode>General</c:formatCode>
                <c:ptCount val="19"/>
                <c:pt idx="0">
                  <c:v>0.61260000000000003</c:v>
                </c:pt>
                <c:pt idx="1">
                  <c:v>0.46649999999999997</c:v>
                </c:pt>
                <c:pt idx="2">
                  <c:v>0.35505000000000003</c:v>
                </c:pt>
                <c:pt idx="3">
                  <c:v>1.33125</c:v>
                </c:pt>
                <c:pt idx="4">
                  <c:v>0.82789999999999997</c:v>
                </c:pt>
                <c:pt idx="5">
                  <c:v>0.56999999999999995</c:v>
                </c:pt>
                <c:pt idx="6">
                  <c:v>0.48965000000000003</c:v>
                </c:pt>
                <c:pt idx="7">
                  <c:v>0.36715000000000003</c:v>
                </c:pt>
                <c:pt idx="8">
                  <c:v>0.45680000000000004</c:v>
                </c:pt>
                <c:pt idx="9">
                  <c:v>0.44125000000000003</c:v>
                </c:pt>
                <c:pt idx="10">
                  <c:v>0.37705</c:v>
                </c:pt>
                <c:pt idx="11">
                  <c:v>0.51224999999999998</c:v>
                </c:pt>
                <c:pt idx="12">
                  <c:v>0.40920000000000001</c:v>
                </c:pt>
                <c:pt idx="13">
                  <c:v>1.1000000000000001</c:v>
                </c:pt>
                <c:pt idx="14">
                  <c:v>0.84457000000000004</c:v>
                </c:pt>
                <c:pt idx="15">
                  <c:v>0.87448810843065394</c:v>
                </c:pt>
                <c:pt idx="16">
                  <c:v>0.28277596034850733</c:v>
                </c:pt>
                <c:pt idx="17">
                  <c:v>0.22655673749565519</c:v>
                </c:pt>
                <c:pt idx="18">
                  <c:v>0.60089999999999999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6AF-4029-BDE6-E3ABD5A35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.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_predicted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  <c:majorUnit val="0.2"/>
      </c:valAx>
      <c:valAx>
        <c:axId val="689706896"/>
        <c:scaling>
          <c:orientation val="minMax"/>
          <c:max val="1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  <c:minorUnit val="4.0000000000000008E-2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0.71900440254285614"/>
          <c:y val="0.24387977544473607"/>
          <c:w val="0.26583486641377069"/>
          <c:h val="0.756120224555263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PDF-avg_peaks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978933554358339"/>
          <c:y val="4.3650793650793648E-2"/>
          <c:w val="0.47553368328958878"/>
          <c:h val="0.82379640044994373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 (2)'!$CS$25:$CS$27</c:f>
              <c:numCache>
                <c:formatCode>0.00E+00</c:formatCode>
                <c:ptCount val="3"/>
                <c:pt idx="0">
                  <c:v>1567652.6991182163</c:v>
                </c:pt>
                <c:pt idx="1">
                  <c:v>1768476.5642348512</c:v>
                </c:pt>
                <c:pt idx="2">
                  <c:v>1196305.2514111048</c:v>
                </c:pt>
              </c:numCache>
            </c:numRef>
          </c:xVal>
          <c:yVal>
            <c:numRef>
              <c:f>'MFP-PDF_Avg (2)'!$CA$5:$CA$7</c:f>
              <c:numCache>
                <c:formatCode>0.00E+00</c:formatCode>
                <c:ptCount val="3"/>
                <c:pt idx="0">
                  <c:v>2299027.692598009</c:v>
                </c:pt>
                <c:pt idx="1">
                  <c:v>1849136.7861885792</c:v>
                </c:pt>
                <c:pt idx="2">
                  <c:v>1506961.5069615068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C9-43FB-B081-CA6D711CE5CE}"/>
            </c:ext>
          </c:extLst>
        </c:ser>
        <c:ser>
          <c:idx val="0"/>
          <c:order val="1"/>
          <c:tx>
            <c:v>Pure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 (2)'!$CS$28:$CS$30</c:f>
              <c:numCache>
                <c:formatCode>0.00E+00</c:formatCode>
                <c:ptCount val="3"/>
                <c:pt idx="0">
                  <c:v>4716886.4238707814</c:v>
                </c:pt>
                <c:pt idx="1">
                  <c:v>3040266.3614608264</c:v>
                </c:pt>
                <c:pt idx="2">
                  <c:v>2183698.8794176802</c:v>
                </c:pt>
              </c:numCache>
            </c:numRef>
          </c:xVal>
          <c:yVal>
            <c:numRef>
              <c:f>'MFP-PDF_Avg (2)'!$CA$8:$CA$10</c:f>
              <c:numCache>
                <c:formatCode>0.00E+00</c:formatCode>
                <c:ptCount val="3"/>
                <c:pt idx="0">
                  <c:v>4521126.760563381</c:v>
                </c:pt>
                <c:pt idx="1">
                  <c:v>3250000</c:v>
                </c:pt>
                <c:pt idx="2">
                  <c:v>2200657.8947368423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C9-43FB-B081-CA6D711CE5CE}"/>
            </c:ext>
          </c:extLst>
        </c:ser>
        <c:ser>
          <c:idx val="5"/>
          <c:order val="2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'MFP-PDF_Avg (2)'!$CH$18:$CH$20</c:f>
              <c:numCache>
                <c:formatCode>General</c:formatCode>
                <c:ptCount val="3"/>
                <c:pt idx="0">
                  <c:v>4148562.4961009878</c:v>
                </c:pt>
                <c:pt idx="1">
                  <c:v>4015277.2732061055</c:v>
                </c:pt>
                <c:pt idx="2">
                  <c:v>4167395.8887993586</c:v>
                </c:pt>
              </c:numCache>
            </c:numRef>
          </c:xVal>
          <c:yVal>
            <c:numRef>
              <c:f>'MFP-PDF_Avg (2)'!$CA$18:$CA$20</c:f>
              <c:numCache>
                <c:formatCode>0.00E+00</c:formatCode>
                <c:ptCount val="3"/>
                <c:pt idx="0">
                  <c:v>4323157.1595853949</c:v>
                </c:pt>
                <c:pt idx="1">
                  <c:v>3402318.9027080508</c:v>
                </c:pt>
                <c:pt idx="2">
                  <c:v>4192480.558023226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9C9-43FB-B081-CA6D711CE5CE}"/>
            </c:ext>
          </c:extLst>
        </c:ser>
        <c:ser>
          <c:idx val="6"/>
          <c:order val="3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'MFP-PDF_Avg (2)'!$CH$21:$CH$22</c:f>
              <c:numCache>
                <c:formatCode>General</c:formatCode>
                <c:ptCount val="2"/>
                <c:pt idx="0">
                  <c:v>1974353.8841670761</c:v>
                </c:pt>
                <c:pt idx="1">
                  <c:v>1515117.258248803</c:v>
                </c:pt>
              </c:numCache>
            </c:numRef>
          </c:xVal>
          <c:yVal>
            <c:numRef>
              <c:f>'MFP-PDF_Avg (2)'!$CA$21:$CA$22</c:f>
              <c:numCache>
                <c:formatCode>0.00E+00</c:formatCode>
                <c:ptCount val="2"/>
                <c:pt idx="0">
                  <c:v>2156336.4385642763</c:v>
                </c:pt>
                <c:pt idx="1">
                  <c:v>2149770.3220167966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9C9-43FB-B081-CA6D711CE5CE}"/>
            </c:ext>
          </c:extLst>
        </c:ser>
        <c:ser>
          <c:idx val="2"/>
          <c:order val="4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 (2)'!$CH$23</c:f>
              <c:numCache>
                <c:formatCode>General</c:formatCode>
                <c:ptCount val="1"/>
                <c:pt idx="0">
                  <c:v>4519039.7092508962</c:v>
                </c:pt>
              </c:numCache>
            </c:numRef>
          </c:xVal>
          <c:yVal>
            <c:numRef>
              <c:f>'MFP-PDF_Avg (2)'!$CA$23</c:f>
              <c:numCache>
                <c:formatCode>0.00E+00</c:formatCode>
                <c:ptCount val="1"/>
                <c:pt idx="0">
                  <c:v>4183129.8557158709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9C9-43FB-B081-CA6D711CE5CE}"/>
            </c:ext>
          </c:extLst>
        </c:ser>
        <c:ser>
          <c:idx val="3"/>
          <c:order val="5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.000000000000001E-2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7000000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7000000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9-09C9-43FB-B081-CA6D711CE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70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C_p,calc_VsoundMetal_secondpeak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E+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  <c:majorUnit val="1000000"/>
      </c:valAx>
      <c:valAx>
        <c:axId val="689706896"/>
        <c:scaling>
          <c:orientation val="minMax"/>
          <c:max val="7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C_p,measured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635608048993876E-2"/>
              <c:y val="0.305791776027996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0.67928926647326981"/>
          <c:y val="0.38847331583552058"/>
          <c:w val="0.30383133029423953"/>
          <c:h val="0.468753280839895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PDF-avg_peaks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978933554358339"/>
          <c:y val="4.3650793650793648E-2"/>
          <c:w val="0.47553368328958878"/>
          <c:h val="0.82379640044994373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 (2)'!$CT$25:$CT$27</c:f>
              <c:numCache>
                <c:formatCode>0.00E+00</c:formatCode>
                <c:ptCount val="3"/>
                <c:pt idx="0">
                  <c:v>2006532.1618645624</c:v>
                </c:pt>
                <c:pt idx="1">
                  <c:v>2399532.9606389785</c:v>
                </c:pt>
                <c:pt idx="2">
                  <c:v>1481983.2905914413</c:v>
                </c:pt>
              </c:numCache>
            </c:numRef>
          </c:xVal>
          <c:yVal>
            <c:numRef>
              <c:f>'MFP-PDF_Avg (2)'!$CA$5:$CA$7</c:f>
              <c:numCache>
                <c:formatCode>0.00E+00</c:formatCode>
                <c:ptCount val="3"/>
                <c:pt idx="0">
                  <c:v>2299027.692598009</c:v>
                </c:pt>
                <c:pt idx="1">
                  <c:v>1849136.7861885792</c:v>
                </c:pt>
                <c:pt idx="2">
                  <c:v>1506961.5069615068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85-4BD8-A93D-C6A097231646}"/>
            </c:ext>
          </c:extLst>
        </c:ser>
        <c:ser>
          <c:idx val="0"/>
          <c:order val="1"/>
          <c:tx>
            <c:v>Pure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 (2)'!$CT$28:$CT$30</c:f>
              <c:numCache>
                <c:formatCode>0.00E+00</c:formatCode>
                <c:ptCount val="3"/>
                <c:pt idx="0">
                  <c:v>5598317.3157794401</c:v>
                </c:pt>
                <c:pt idx="1">
                  <c:v>3502757.1325821145</c:v>
                </c:pt>
                <c:pt idx="2">
                  <c:v>2510460.2510460247</c:v>
                </c:pt>
              </c:numCache>
            </c:numRef>
          </c:xVal>
          <c:yVal>
            <c:numRef>
              <c:f>'MFP-PDF_Avg (2)'!$CA$8:$CA$10</c:f>
              <c:numCache>
                <c:formatCode>0.00E+00</c:formatCode>
                <c:ptCount val="3"/>
                <c:pt idx="0">
                  <c:v>4521126.760563381</c:v>
                </c:pt>
                <c:pt idx="1">
                  <c:v>3250000</c:v>
                </c:pt>
                <c:pt idx="2">
                  <c:v>2200657.8947368423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85-4BD8-A93D-C6A097231646}"/>
            </c:ext>
          </c:extLst>
        </c:ser>
        <c:ser>
          <c:idx val="5"/>
          <c:order val="2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'MFP-PDF_Avg (2)'!$CH$18:$CH$20</c:f>
              <c:numCache>
                <c:formatCode>General</c:formatCode>
                <c:ptCount val="3"/>
                <c:pt idx="0">
                  <c:v>4148562.4961009878</c:v>
                </c:pt>
                <c:pt idx="1">
                  <c:v>4015277.2732061055</c:v>
                </c:pt>
                <c:pt idx="2">
                  <c:v>4167395.8887993586</c:v>
                </c:pt>
              </c:numCache>
            </c:numRef>
          </c:xVal>
          <c:yVal>
            <c:numRef>
              <c:f>'MFP-PDF_Avg (2)'!$CA$18:$CA$20</c:f>
              <c:numCache>
                <c:formatCode>0.00E+00</c:formatCode>
                <c:ptCount val="3"/>
                <c:pt idx="0">
                  <c:v>4323157.1595853949</c:v>
                </c:pt>
                <c:pt idx="1">
                  <c:v>3402318.9027080508</c:v>
                </c:pt>
                <c:pt idx="2">
                  <c:v>4192480.558023226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85-4BD8-A93D-C6A097231646}"/>
            </c:ext>
          </c:extLst>
        </c:ser>
        <c:ser>
          <c:idx val="6"/>
          <c:order val="3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'MFP-PDF_Avg (2)'!$CH$21:$CH$22</c:f>
              <c:numCache>
                <c:formatCode>General</c:formatCode>
                <c:ptCount val="2"/>
                <c:pt idx="0">
                  <c:v>1974353.8841670761</c:v>
                </c:pt>
                <c:pt idx="1">
                  <c:v>1515117.258248803</c:v>
                </c:pt>
              </c:numCache>
            </c:numRef>
          </c:xVal>
          <c:yVal>
            <c:numRef>
              <c:f>'MFP-PDF_Avg (2)'!$CA$21:$CA$22</c:f>
              <c:numCache>
                <c:formatCode>0.00E+00</c:formatCode>
                <c:ptCount val="2"/>
                <c:pt idx="0">
                  <c:v>2156336.4385642763</c:v>
                </c:pt>
                <c:pt idx="1">
                  <c:v>2149770.3220167966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85-4BD8-A93D-C6A097231646}"/>
            </c:ext>
          </c:extLst>
        </c:ser>
        <c:ser>
          <c:idx val="2"/>
          <c:order val="4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 (2)'!$CH$23</c:f>
              <c:numCache>
                <c:formatCode>General</c:formatCode>
                <c:ptCount val="1"/>
                <c:pt idx="0">
                  <c:v>4519039.7092508962</c:v>
                </c:pt>
              </c:numCache>
            </c:numRef>
          </c:xVal>
          <c:yVal>
            <c:numRef>
              <c:f>'MFP-PDF_Avg (2)'!$CA$23</c:f>
              <c:numCache>
                <c:formatCode>0.00E+00</c:formatCode>
                <c:ptCount val="1"/>
                <c:pt idx="0">
                  <c:v>4183129.8557158709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685-4BD8-A93D-C6A097231646}"/>
            </c:ext>
          </c:extLst>
        </c:ser>
        <c:ser>
          <c:idx val="3"/>
          <c:order val="5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.000000000000001E-2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7000000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7000000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9-5685-4BD8-A93D-C6A097231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70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C_p,calc_secondpeak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E+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  <c:majorUnit val="1000000"/>
      </c:valAx>
      <c:valAx>
        <c:axId val="689706896"/>
        <c:scaling>
          <c:orientation val="minMax"/>
          <c:max val="7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C_p,measured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635608048993876E-2"/>
              <c:y val="0.305791776027996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0.67928926647326981"/>
          <c:y val="0.38847331583552058"/>
          <c:w val="0.30383133029423953"/>
          <c:h val="0.468753280839895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00991542723829"/>
          <c:y val="4.3650793650793648E-2"/>
          <c:w val="0.51074058688893342"/>
          <c:h val="0.80527777777777776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 (2)'!$BY$5:$BY$7</c:f>
              <c:numCache>
                <c:formatCode>0.00E+00</c:formatCode>
                <c:ptCount val="3"/>
                <c:pt idx="0">
                  <c:v>2281.7606671283352</c:v>
                </c:pt>
                <c:pt idx="1">
                  <c:v>1913.2083703482324</c:v>
                </c:pt>
                <c:pt idx="2">
                  <c:v>1576.8536237777657</c:v>
                </c:pt>
              </c:numCache>
            </c:numRef>
          </c:xVal>
          <c:yVal>
            <c:numRef>
              <c:f>'MFP-PDF_Avg (2)'!$BT$5:$BT$7</c:f>
              <c:numCache>
                <c:formatCode>0.0000E+00</c:formatCode>
                <c:ptCount val="3"/>
                <c:pt idx="0">
                  <c:v>2042.3974499999999</c:v>
                </c:pt>
                <c:pt idx="1">
                  <c:v>1743.6799999999998</c:v>
                </c:pt>
                <c:pt idx="2">
                  <c:v>1597.1839999999997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C3-4AB0-9D09-03CA0C6CED34}"/>
            </c:ext>
          </c:extLst>
        </c:ser>
        <c:ser>
          <c:idx val="0"/>
          <c:order val="1"/>
          <c:tx>
            <c:v>Pure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 (2)'!$BY$8:$BY$10</c:f>
              <c:numCache>
                <c:formatCode>0.00E+00</c:formatCode>
                <c:ptCount val="3"/>
                <c:pt idx="0">
                  <c:v>3166.2152952805809</c:v>
                </c:pt>
                <c:pt idx="1">
                  <c:v>2335.2084630418126</c:v>
                </c:pt>
                <c:pt idx="2">
                  <c:v>2060.498975840947</c:v>
                </c:pt>
              </c:numCache>
            </c:numRef>
          </c:xVal>
          <c:yVal>
            <c:numRef>
              <c:f>'MFP-PDF_Avg (2)'!$BT$8:$BT$10</c:f>
              <c:numCache>
                <c:formatCode>0.0000E+00</c:formatCode>
                <c:ptCount val="3"/>
                <c:pt idx="0">
                  <c:v>2547.8000000000002</c:v>
                </c:pt>
                <c:pt idx="1">
                  <c:v>2085.5</c:v>
                </c:pt>
                <c:pt idx="2">
                  <c:v>1816.4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C3-4AB0-9D09-03CA0C6CED34}"/>
            </c:ext>
          </c:extLst>
        </c:ser>
        <c:ser>
          <c:idx val="1"/>
          <c:order val="2"/>
          <c:tx>
            <c:v>Alkaline Earth Chlorides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'MFP-PDF_Avg (2)'!$BY$13:$BY$15</c:f>
              <c:numCache>
                <c:formatCode>0.00E+00</c:formatCode>
                <c:ptCount val="3"/>
                <c:pt idx="0">
                  <c:v>2332.5102491245016</c:v>
                </c:pt>
                <c:pt idx="1">
                  <c:v>1901.8047937934937</c:v>
                </c:pt>
                <c:pt idx="2">
                  <c:v>1272.0412136516466</c:v>
                </c:pt>
              </c:numCache>
            </c:numRef>
          </c:xVal>
          <c:yVal>
            <c:numRef>
              <c:f>'MFP-PDF_Avg (2)'!$BT$13:$BT$15</c:f>
              <c:numCache>
                <c:formatCode>0.0000E+00</c:formatCode>
                <c:ptCount val="3"/>
                <c:pt idx="0">
                  <c:v>2101</c:v>
                </c:pt>
                <c:pt idx="1">
                  <c:v>2065.0300000000002</c:v>
                </c:pt>
                <c:pt idx="2">
                  <c:v>1873.13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7C3-4AB0-9D09-03CA0C6CED34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'MFP-PDF_Avg (2)'!$BX$18:$BX$20</c:f>
              <c:numCache>
                <c:formatCode>0.00E+00</c:formatCode>
                <c:ptCount val="3"/>
                <c:pt idx="0">
                  <c:v>3014.7958403196781</c:v>
                </c:pt>
                <c:pt idx="1">
                  <c:v>2363.979295927822</c:v>
                </c:pt>
                <c:pt idx="2">
                  <c:v>2588.5890241203952</c:v>
                </c:pt>
              </c:numCache>
            </c:numRef>
          </c:xVal>
          <c:yVal>
            <c:numRef>
              <c:f>'MFP-PDF_Avg (2)'!$BT$18:$BT$20</c:f>
              <c:numCache>
                <c:formatCode>0.0000E+00</c:formatCode>
                <c:ptCount val="3"/>
                <c:pt idx="0">
                  <c:v>2547.6863757231322</c:v>
                </c:pt>
                <c:pt idx="1">
                  <c:v>2012.468707779205</c:v>
                </c:pt>
                <c:pt idx="2">
                  <c:v>2298.228366828082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7C3-4AB0-9D09-03CA0C6CED34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'MFP-PDF_Avg (2)'!$BX$21:$BX$22</c:f>
              <c:numCache>
                <c:formatCode>0.00E+00</c:formatCode>
                <c:ptCount val="2"/>
                <c:pt idx="0">
                  <c:v>1332.9578486026016</c:v>
                </c:pt>
                <c:pt idx="1">
                  <c:v>1039.4331216672322</c:v>
                </c:pt>
              </c:numCache>
            </c:numRef>
          </c:xVal>
          <c:yVal>
            <c:numRef>
              <c:f>'MFP-PDF_Avg (2)'!$BT$21:$BT$22</c:f>
              <c:numCache>
                <c:formatCode>0.0000E+00</c:formatCode>
                <c:ptCount val="2"/>
                <c:pt idx="0">
                  <c:v>1451.7494609289899</c:v>
                </c:pt>
                <c:pt idx="1">
                  <c:v>1470.4555590061771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7C3-4AB0-9D09-03CA0C6CED34}"/>
            </c:ext>
          </c:extLst>
        </c:ser>
        <c:ser>
          <c:idx val="2"/>
          <c:order val="5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 (2)'!$BX$23</c:f>
              <c:numCache>
                <c:formatCode>0.00E+00</c:formatCode>
                <c:ptCount val="1"/>
                <c:pt idx="0">
                  <c:v>1515.6624180374595</c:v>
                </c:pt>
              </c:numCache>
            </c:numRef>
          </c:xVal>
          <c:yVal>
            <c:numRef>
              <c:f>'MFP-PDF_Avg (2)'!$BT$23</c:f>
              <c:numCache>
                <c:formatCode>0.0000E+00</c:formatCode>
                <c:ptCount val="1"/>
                <c:pt idx="0">
                  <c:v>1403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7C3-4AB0-9D09-03CA0C6CED34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6000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6000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27C3-4AB0-9D09-03CA0C6CE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vs_calc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v_sound_metal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66593759113446"/>
          <c:y val="5.9523809523809521E-2"/>
          <c:w val="0.56891659375911341"/>
          <c:h val="0.77617745698454343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 (2)'!$BG$5:$BG$7</c:f>
              <c:numCache>
                <c:formatCode>0.000000</c:formatCode>
                <c:ptCount val="3"/>
                <c:pt idx="0">
                  <c:v>0.56023878629164503</c:v>
                </c:pt>
                <c:pt idx="1">
                  <c:v>0.43246472382378331</c:v>
                </c:pt>
                <c:pt idx="2">
                  <c:v>0.36751403839236602</c:v>
                </c:pt>
              </c:numCache>
            </c:numRef>
          </c:xVal>
          <c:yVal>
            <c:numRef>
              <c:f>'MFP-PDF_Avg (2)'!$AP$5:$AP$7</c:f>
              <c:numCache>
                <c:formatCode>General</c:formatCode>
                <c:ptCount val="3"/>
                <c:pt idx="0">
                  <c:v>0.61260000000000003</c:v>
                </c:pt>
                <c:pt idx="1">
                  <c:v>0.46649999999999997</c:v>
                </c:pt>
                <c:pt idx="2">
                  <c:v>0.35505000000000003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00-4328-972D-8E955601407B}"/>
            </c:ext>
          </c:extLst>
        </c:ser>
        <c:ser>
          <c:idx val="1"/>
          <c:order val="1"/>
          <c:tx>
            <c:v>Pure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 (2)'!$BG$8:$BG$10</c:f>
              <c:numCache>
                <c:formatCode>0.000000</c:formatCode>
                <c:ptCount val="3"/>
                <c:pt idx="0">
                  <c:v>1.0814453239955075</c:v>
                </c:pt>
                <c:pt idx="1">
                  <c:v>0.73759694933460851</c:v>
                </c:pt>
                <c:pt idx="2">
                  <c:v>0.50711580774920906</c:v>
                </c:pt>
              </c:numCache>
            </c:numRef>
          </c:xVal>
          <c:yVal>
            <c:numRef>
              <c:f>'MFP-PDF_Avg (2)'!$AP$8:$AP$10</c:f>
              <c:numCache>
                <c:formatCode>General</c:formatCode>
                <c:ptCount val="3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00-4328-972D-8E955601407B}"/>
            </c:ext>
          </c:extLst>
        </c:ser>
        <c:ser>
          <c:idx val="7"/>
          <c:order val="2"/>
          <c:tx>
            <c:v>Alkaline Earth Chlorides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'MFP-PDF_Avg (2)'!$BG$13:$BG$15</c:f>
              <c:numCache>
                <c:formatCode>0.000000</c:formatCode>
                <c:ptCount val="3"/>
                <c:pt idx="0">
                  <c:v>0.41146091442052046</c:v>
                </c:pt>
                <c:pt idx="1">
                  <c:v>0.47912093316499721</c:v>
                </c:pt>
                <c:pt idx="2">
                  <c:v>0.55522074200137805</c:v>
                </c:pt>
              </c:numCache>
            </c:numRef>
          </c:xVal>
          <c:yVal>
            <c:numRef>
              <c:f>'MFP-PDF_Avg (2)'!$AP$13:$AP$15</c:f>
              <c:numCache>
                <c:formatCode>General</c:formatCode>
                <c:ptCount val="3"/>
                <c:pt idx="0">
                  <c:v>0.45680000000000004</c:v>
                </c:pt>
                <c:pt idx="1">
                  <c:v>0.44125000000000003</c:v>
                </c:pt>
                <c:pt idx="2">
                  <c:v>0.37705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200-4328-972D-8E955601407B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'MFP-PDF_Avg (2)'!$BC$18:$BC$20</c:f>
              <c:numCache>
                <c:formatCode>0.000000</c:formatCode>
                <c:ptCount val="3"/>
                <c:pt idx="0">
                  <c:v>1.2641169574941</c:v>
                </c:pt>
                <c:pt idx="1">
                  <c:v>0.84284465559077204</c:v>
                </c:pt>
                <c:pt idx="2">
                  <c:v>0.93676902087574598</c:v>
                </c:pt>
              </c:numCache>
            </c:numRef>
          </c:xVal>
          <c:yVal>
            <c:numRef>
              <c:f>('MFP-PDF_Avg (2)'!$AP$18,'MFP-PDF_Avg (2)'!$AP$19,'MFP-PDF_Avg (2)'!$AP$20)</c:f>
              <c:numCache>
                <c:formatCode>General</c:formatCode>
                <c:ptCount val="3"/>
                <c:pt idx="0">
                  <c:v>1.1000000000000001</c:v>
                </c:pt>
                <c:pt idx="1">
                  <c:v>0.84457000000000004</c:v>
                </c:pt>
                <c:pt idx="2">
                  <c:v>0.87448810843065394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200-4328-972D-8E955601407B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9.3845873432487625E-2"/>
                  <c:y val="9.8049462567179099E-2"/>
                </c:manualLayout>
              </c:layout>
              <c:tx>
                <c:rich>
                  <a:bodyPr/>
                  <a:lstStyle/>
                  <a:p>
                    <a:fld id="{4E0BA487-CCDC-4FE7-BE25-673E4F54B5AB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328813065033539"/>
                      <c:h val="9.793182102237219E-2"/>
                    </c:manualLayout>
                  </c15:layout>
                  <c15:dlblFieldTable>
                    <c15:dlblFTEntry>
                      <c15:txfldGUID>{4E0BA487-CCDC-4FE7-BE25-673E4F54B5AB}</c15:txfldGUID>
                      <c15:f>'MFP-PDF_Avg (2)'!$A$21</c15:f>
                      <c15:dlblFieldTableCache>
                        <c:ptCount val="1"/>
                        <c:pt idx="0">
                          <c:v>0.63NaCl-0.37UCl3 (ORNL)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1200-4328-972D-8E955601407B}"/>
                </c:ext>
              </c:extLst>
            </c:dLbl>
            <c:dLbl>
              <c:idx val="1"/>
              <c:layout>
                <c:manualLayout>
                  <c:x val="3.1089929548280139E-2"/>
                  <c:y val="1.568788276465432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48043BA-4F93-455A-BDFD-BB5447868CFE}" type="CELLREF">
                      <a:rPr lang="en-US"/>
                      <a:pPr>
                        <a:defRPr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342772942855827"/>
                      <c:h val="9.7931758530183724E-2"/>
                    </c:manualLayout>
                  </c15:layout>
                  <c15:dlblFieldTable>
                    <c15:dlblFTEntry>
                      <c15:txfldGUID>{F48043BA-4F93-455A-BDFD-BB5447868CFE}</c15:txfldGUID>
                      <c15:f>'MFP-PDF_Avg (2)'!$A$22</c15:f>
                      <c15:dlblFieldTableCache>
                        <c:ptCount val="1"/>
                        <c:pt idx="0">
                          <c:v>0.658NaCl-0.342UCl3 (ANL)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1200-4328-972D-8E95560140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'MFP-PDF_Avg (2)'!$BC$21:$BC$22</c:f>
              <c:numCache>
                <c:formatCode>0.000000</c:formatCode>
                <c:ptCount val="2"/>
                <c:pt idx="0">
                  <c:v>0.30884033107708703</c:v>
                </c:pt>
                <c:pt idx="1">
                  <c:v>0.32145693534244602</c:v>
                </c:pt>
              </c:numCache>
            </c:numRef>
          </c:xVal>
          <c:yVal>
            <c:numRef>
              <c:f>'MFP-PDF_Avg (2)'!$AP$21:$AP$22</c:f>
              <c:numCache>
                <c:formatCode>General</c:formatCode>
                <c:ptCount val="2"/>
                <c:pt idx="0">
                  <c:v>0.28277596034850733</c:v>
                </c:pt>
                <c:pt idx="1">
                  <c:v>0.22655673749565519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200-4328-972D-8E955601407B}"/>
            </c:ext>
          </c:extLst>
        </c:ser>
        <c:ser>
          <c:idx val="2"/>
          <c:order val="5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 (2)'!$BC$23</c:f>
              <c:numCache>
                <c:formatCode>0.000000</c:formatCode>
                <c:ptCount val="1"/>
                <c:pt idx="0">
                  <c:v>0.55623382223307438</c:v>
                </c:pt>
              </c:numCache>
            </c:numRef>
          </c:xVal>
          <c:yVal>
            <c:numRef>
              <c:f>'MFP-PDF_Avg (2)'!$AP$23</c:f>
              <c:numCache>
                <c:formatCode>General</c:formatCode>
                <c:ptCount val="1"/>
                <c:pt idx="0">
                  <c:v>0.60089999999999999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1200-4328-972D-8E955601407B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C-1200-4328-972D-8E955601407B}"/>
            </c:ext>
          </c:extLst>
        </c:ser>
        <c:ser>
          <c:idx val="0"/>
          <c:order val="7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1.9494405304600084E-2"/>
                  <c:y val="1.644794400699912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'MFP-PDF_Avg (2)'!$BG$5:$BG$23</c:f>
              <c:numCache>
                <c:formatCode>0.000000</c:formatCode>
                <c:ptCount val="19"/>
                <c:pt idx="0">
                  <c:v>0.56023878629164503</c:v>
                </c:pt>
                <c:pt idx="1">
                  <c:v>0.43246472382378331</c:v>
                </c:pt>
                <c:pt idx="2">
                  <c:v>0.36751403839236602</c:v>
                </c:pt>
                <c:pt idx="3">
                  <c:v>1.0814453239955075</c:v>
                </c:pt>
                <c:pt idx="4">
                  <c:v>0.73759694933460851</c:v>
                </c:pt>
                <c:pt idx="5">
                  <c:v>0.50711580774920906</c:v>
                </c:pt>
                <c:pt idx="8">
                  <c:v>0.41146091442052046</c:v>
                </c:pt>
                <c:pt idx="9">
                  <c:v>0.47912093316499721</c:v>
                </c:pt>
                <c:pt idx="10">
                  <c:v>0.55522074200137805</c:v>
                </c:pt>
                <c:pt idx="13">
                  <c:v>1.2641169574941</c:v>
                </c:pt>
                <c:pt idx="14">
                  <c:v>0.84284465559077204</c:v>
                </c:pt>
                <c:pt idx="15">
                  <c:v>0.93676902087574598</c:v>
                </c:pt>
                <c:pt idx="16">
                  <c:v>0.30884033107708703</c:v>
                </c:pt>
                <c:pt idx="17">
                  <c:v>0.32145693534244602</c:v>
                </c:pt>
                <c:pt idx="18">
                  <c:v>0.55623382223307438</c:v>
                </c:pt>
              </c:numCache>
            </c:numRef>
          </c:xVal>
          <c:yVal>
            <c:numRef>
              <c:f>'MFP-PDF_Avg (2)'!$AP$5:$AP$23</c:f>
              <c:numCache>
                <c:formatCode>General</c:formatCode>
                <c:ptCount val="19"/>
                <c:pt idx="0">
                  <c:v>0.61260000000000003</c:v>
                </c:pt>
                <c:pt idx="1">
                  <c:v>0.46649999999999997</c:v>
                </c:pt>
                <c:pt idx="2">
                  <c:v>0.35505000000000003</c:v>
                </c:pt>
                <c:pt idx="3">
                  <c:v>1.33125</c:v>
                </c:pt>
                <c:pt idx="4">
                  <c:v>0.82789999999999997</c:v>
                </c:pt>
                <c:pt idx="5">
                  <c:v>0.56999999999999995</c:v>
                </c:pt>
                <c:pt idx="6">
                  <c:v>0.48965000000000003</c:v>
                </c:pt>
                <c:pt idx="7">
                  <c:v>0.36715000000000003</c:v>
                </c:pt>
                <c:pt idx="8">
                  <c:v>0.45680000000000004</c:v>
                </c:pt>
                <c:pt idx="9">
                  <c:v>0.44125000000000003</c:v>
                </c:pt>
                <c:pt idx="10">
                  <c:v>0.37705</c:v>
                </c:pt>
                <c:pt idx="11">
                  <c:v>0.51224999999999998</c:v>
                </c:pt>
                <c:pt idx="12">
                  <c:v>0.40920000000000001</c:v>
                </c:pt>
                <c:pt idx="13">
                  <c:v>1.1000000000000001</c:v>
                </c:pt>
                <c:pt idx="14">
                  <c:v>0.84457000000000004</c:v>
                </c:pt>
                <c:pt idx="15">
                  <c:v>0.87448810843065394</c:v>
                </c:pt>
                <c:pt idx="16">
                  <c:v>0.28277596034850733</c:v>
                </c:pt>
                <c:pt idx="17">
                  <c:v>0.22655673749565519</c:v>
                </c:pt>
                <c:pt idx="18">
                  <c:v>0.60089999999999999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1200-4328-972D-8E95560140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.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_predicted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  <c:majorUnit val="0.2"/>
      </c:valAx>
      <c:valAx>
        <c:axId val="689706896"/>
        <c:scaling>
          <c:orientation val="minMax"/>
          <c:max val="1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  <c:minorUnit val="4.0000000000000008E-2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0.67247133581986451"/>
          <c:y val="0.30869459025955087"/>
          <c:w val="0.30652010312870182"/>
          <c:h val="0.691305409740449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66593759113446"/>
          <c:y val="5.9523809523809521E-2"/>
          <c:w val="0.56891659375911341"/>
          <c:h val="0.77617745698454343"/>
        </c:manualLayout>
      </c:layout>
      <c:scatterChart>
        <c:scatterStyle val="lineMarker"/>
        <c:varyColors val="0"/>
        <c:ser>
          <c:idx val="4"/>
          <c:order val="0"/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 (2)'!$BH$5:$BH$7</c:f>
              <c:numCache>
                <c:formatCode>0.000000</c:formatCode>
                <c:ptCount val="3"/>
                <c:pt idx="0">
                  <c:v>0.9600657071035601</c:v>
                </c:pt>
                <c:pt idx="1">
                  <c:v>0.67461004817437287</c:v>
                </c:pt>
                <c:pt idx="2">
                  <c:v>0.54303895518987422</c:v>
                </c:pt>
              </c:numCache>
            </c:numRef>
          </c:xVal>
          <c:yVal>
            <c:numRef>
              <c:f>'MFP-PDF_Avg (2)'!$AP$5:$AP$7</c:f>
              <c:numCache>
                <c:formatCode>General</c:formatCode>
                <c:ptCount val="3"/>
                <c:pt idx="0">
                  <c:v>0.61260000000000003</c:v>
                </c:pt>
                <c:pt idx="1">
                  <c:v>0.46649999999999997</c:v>
                </c:pt>
                <c:pt idx="2">
                  <c:v>0.35505000000000003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AA-441C-92C6-5F4359DA136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 (2)'!$BH$8:$BH$10</c:f>
              <c:numCache>
                <c:formatCode>0.000000</c:formatCode>
                <c:ptCount val="3"/>
                <c:pt idx="0">
                  <c:v>1.4856184292268921</c:v>
                </c:pt>
                <c:pt idx="1">
                  <c:v>0.96200609071691934</c:v>
                </c:pt>
                <c:pt idx="2">
                  <c:v>0.65888202284085728</c:v>
                </c:pt>
              </c:numCache>
            </c:numRef>
          </c:xVal>
          <c:yVal>
            <c:numRef>
              <c:f>'MFP-PDF_Avg (2)'!$AP$8:$AP$10</c:f>
              <c:numCache>
                <c:formatCode>General</c:formatCode>
                <c:ptCount val="3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AA-441C-92C6-5F4359DA136C}"/>
            </c:ext>
          </c:extLst>
        </c:ser>
        <c:ser>
          <c:idx val="7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'MFP-PDF_Avg (2)'!$BH$13:$BH$15</c:f>
              <c:numCache>
                <c:formatCode>0.000000</c:formatCode>
                <c:ptCount val="3"/>
                <c:pt idx="0">
                  <c:v>0.66585773871002829</c:v>
                </c:pt>
                <c:pt idx="1">
                  <c:v>0.5104361936451256</c:v>
                </c:pt>
              </c:numCache>
            </c:numRef>
          </c:xVal>
          <c:yVal>
            <c:numRef>
              <c:f>'MFP-PDF_Avg (2)'!$AP$13:$AP$15</c:f>
              <c:numCache>
                <c:formatCode>General</c:formatCode>
                <c:ptCount val="3"/>
                <c:pt idx="0">
                  <c:v>0.45680000000000004</c:v>
                </c:pt>
                <c:pt idx="1">
                  <c:v>0.44125000000000003</c:v>
                </c:pt>
                <c:pt idx="2">
                  <c:v>0.37705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7AA-441C-92C6-5F4359DA136C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'MFP-PDF_Avg (2)'!$BC$18:$BC$20</c:f>
              <c:numCache>
                <c:formatCode>0.000000</c:formatCode>
                <c:ptCount val="3"/>
                <c:pt idx="0">
                  <c:v>1.2641169574941</c:v>
                </c:pt>
                <c:pt idx="1">
                  <c:v>0.84284465559077204</c:v>
                </c:pt>
                <c:pt idx="2">
                  <c:v>0.93676902087574598</c:v>
                </c:pt>
              </c:numCache>
            </c:numRef>
          </c:xVal>
          <c:yVal>
            <c:numRef>
              <c:f>('MFP-PDF_Avg (2)'!$AP$18,'MFP-PDF_Avg (2)'!$AP$19,'MFP-PDF_Avg (2)'!$AP$20)</c:f>
              <c:numCache>
                <c:formatCode>General</c:formatCode>
                <c:ptCount val="3"/>
                <c:pt idx="0">
                  <c:v>1.1000000000000001</c:v>
                </c:pt>
                <c:pt idx="1">
                  <c:v>0.84457000000000004</c:v>
                </c:pt>
                <c:pt idx="2">
                  <c:v>0.87448810843065394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7AA-441C-92C6-5F4359DA136C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9.3845873432487625E-2"/>
                  <c:y val="9.8049462567179099E-2"/>
                </c:manualLayout>
              </c:layout>
              <c:tx>
                <c:rich>
                  <a:bodyPr/>
                  <a:lstStyle/>
                  <a:p>
                    <a:fld id="{4E0BA487-CCDC-4FE7-BE25-673E4F54B5AB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328813065033539"/>
                      <c:h val="9.793182102237219E-2"/>
                    </c:manualLayout>
                  </c15:layout>
                  <c15:dlblFieldTable>
                    <c15:dlblFTEntry>
                      <c15:txfldGUID>{4E0BA487-CCDC-4FE7-BE25-673E4F54B5AB}</c15:txfldGUID>
                      <c15:f>'MFP-PDF_Avg (2)'!$A$21</c15:f>
                      <c15:dlblFieldTableCache>
                        <c:ptCount val="1"/>
                        <c:pt idx="0">
                          <c:v>0.63NaCl-0.37UCl3 (ORNL)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07AA-441C-92C6-5F4359DA136C}"/>
                </c:ext>
              </c:extLst>
            </c:dLbl>
            <c:dLbl>
              <c:idx val="1"/>
              <c:layout>
                <c:manualLayout>
                  <c:x val="3.1089929548280139E-2"/>
                  <c:y val="1.568788276465432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48043BA-4F93-455A-BDFD-BB5447868CFE}" type="CELLREF">
                      <a:rPr lang="en-US"/>
                      <a:pPr>
                        <a:defRPr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342772942855827"/>
                      <c:h val="9.7931758530183724E-2"/>
                    </c:manualLayout>
                  </c15:layout>
                  <c15:dlblFieldTable>
                    <c15:dlblFTEntry>
                      <c15:txfldGUID>{F48043BA-4F93-455A-BDFD-BB5447868CFE}</c15:txfldGUID>
                      <c15:f>'MFP-PDF_Avg (2)'!$A$22</c15:f>
                      <c15:dlblFieldTableCache>
                        <c:ptCount val="1"/>
                        <c:pt idx="0">
                          <c:v>0.658NaCl-0.342UCl3 (ANL)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07AA-441C-92C6-5F4359DA13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'MFP-PDF_Avg (2)'!$BC$21:$BC$22</c:f>
              <c:numCache>
                <c:formatCode>0.000000</c:formatCode>
                <c:ptCount val="2"/>
                <c:pt idx="0">
                  <c:v>0.30884033107708703</c:v>
                </c:pt>
                <c:pt idx="1">
                  <c:v>0.32145693534244602</c:v>
                </c:pt>
              </c:numCache>
            </c:numRef>
          </c:xVal>
          <c:yVal>
            <c:numRef>
              <c:f>'MFP-PDF_Avg (2)'!$AP$21:$AP$22</c:f>
              <c:numCache>
                <c:formatCode>General</c:formatCode>
                <c:ptCount val="2"/>
                <c:pt idx="0">
                  <c:v>0.28277596034850733</c:v>
                </c:pt>
                <c:pt idx="1">
                  <c:v>0.22655673749565519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7AA-441C-92C6-5F4359DA136C}"/>
            </c:ext>
          </c:extLst>
        </c:ser>
        <c:ser>
          <c:idx val="2"/>
          <c:order val="5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 (2)'!$BC$23</c:f>
              <c:numCache>
                <c:formatCode>0.000000</c:formatCode>
                <c:ptCount val="1"/>
                <c:pt idx="0">
                  <c:v>0.55623382223307438</c:v>
                </c:pt>
              </c:numCache>
            </c:numRef>
          </c:xVal>
          <c:yVal>
            <c:numRef>
              <c:f>'MFP-PDF_Avg (2)'!$AP$23</c:f>
              <c:numCache>
                <c:formatCode>General</c:formatCode>
                <c:ptCount val="1"/>
                <c:pt idx="0">
                  <c:v>0.60089999999999999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7AA-441C-92C6-5F4359DA136C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C-07AA-441C-92C6-5F4359DA136C}"/>
            </c:ext>
          </c:extLst>
        </c:ser>
        <c:ser>
          <c:idx val="0"/>
          <c:order val="7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1.9494405304600084E-2"/>
                  <c:y val="1.644794400699912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'MFP-PDF_Avg (2)'!$BH$5:$BH$23</c:f>
              <c:numCache>
                <c:formatCode>0.000000</c:formatCode>
                <c:ptCount val="19"/>
                <c:pt idx="0">
                  <c:v>0.9600657071035601</c:v>
                </c:pt>
                <c:pt idx="1">
                  <c:v>0.67461004817437287</c:v>
                </c:pt>
                <c:pt idx="2">
                  <c:v>0.54303895518987422</c:v>
                </c:pt>
                <c:pt idx="3">
                  <c:v>1.4856184292268921</c:v>
                </c:pt>
                <c:pt idx="4">
                  <c:v>0.96200609071691934</c:v>
                </c:pt>
                <c:pt idx="5">
                  <c:v>0.65888202284085728</c:v>
                </c:pt>
                <c:pt idx="8">
                  <c:v>0.66585773871002829</c:v>
                </c:pt>
                <c:pt idx="9">
                  <c:v>0.5104361936451256</c:v>
                </c:pt>
                <c:pt idx="13">
                  <c:v>1.2641169574941</c:v>
                </c:pt>
                <c:pt idx="14">
                  <c:v>0.84284465559077204</c:v>
                </c:pt>
                <c:pt idx="15">
                  <c:v>0.93676902087574598</c:v>
                </c:pt>
                <c:pt idx="16">
                  <c:v>0.30884033107708703</c:v>
                </c:pt>
                <c:pt idx="17">
                  <c:v>0.32145693534244602</c:v>
                </c:pt>
                <c:pt idx="18">
                  <c:v>0.55623382223307438</c:v>
                </c:pt>
              </c:numCache>
            </c:numRef>
          </c:xVal>
          <c:yVal>
            <c:numRef>
              <c:f>'MFP-PDF_Avg (2)'!$AP$5:$AP$23</c:f>
              <c:numCache>
                <c:formatCode>General</c:formatCode>
                <c:ptCount val="19"/>
                <c:pt idx="0">
                  <c:v>0.61260000000000003</c:v>
                </c:pt>
                <c:pt idx="1">
                  <c:v>0.46649999999999997</c:v>
                </c:pt>
                <c:pt idx="2">
                  <c:v>0.35505000000000003</c:v>
                </c:pt>
                <c:pt idx="3">
                  <c:v>1.33125</c:v>
                </c:pt>
                <c:pt idx="4">
                  <c:v>0.82789999999999997</c:v>
                </c:pt>
                <c:pt idx="5">
                  <c:v>0.56999999999999995</c:v>
                </c:pt>
                <c:pt idx="6">
                  <c:v>0.48965000000000003</c:v>
                </c:pt>
                <c:pt idx="7">
                  <c:v>0.36715000000000003</c:v>
                </c:pt>
                <c:pt idx="8">
                  <c:v>0.45680000000000004</c:v>
                </c:pt>
                <c:pt idx="9">
                  <c:v>0.44125000000000003</c:v>
                </c:pt>
                <c:pt idx="10">
                  <c:v>0.37705</c:v>
                </c:pt>
                <c:pt idx="11">
                  <c:v>0.51224999999999998</c:v>
                </c:pt>
                <c:pt idx="12">
                  <c:v>0.40920000000000001</c:v>
                </c:pt>
                <c:pt idx="13">
                  <c:v>1.1000000000000001</c:v>
                </c:pt>
                <c:pt idx="14">
                  <c:v>0.84457000000000004</c:v>
                </c:pt>
                <c:pt idx="15">
                  <c:v>0.87448810843065394</c:v>
                </c:pt>
                <c:pt idx="16">
                  <c:v>0.28277596034850733</c:v>
                </c:pt>
                <c:pt idx="17">
                  <c:v>0.22655673749565519</c:v>
                </c:pt>
                <c:pt idx="18">
                  <c:v>0.60089999999999999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07AA-441C-92C6-5F4359DA1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.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_predicted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  <c:majorUnit val="0.2"/>
      </c:valAx>
      <c:valAx>
        <c:axId val="689706896"/>
        <c:scaling>
          <c:orientation val="minMax"/>
          <c:max val="1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  <c:minorUnit val="4.0000000000000008E-2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0.67247133581986451"/>
          <c:y val="0.32258347914843982"/>
          <c:w val="0.30383133029423953"/>
          <c:h val="0.677416520851560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00991542723829"/>
          <c:y val="4.3650793650793648E-2"/>
          <c:w val="0.51074058688893342"/>
          <c:h val="0.80527777777777776"/>
        </c:manualLayout>
      </c:layout>
      <c:scatterChart>
        <c:scatterStyle val="lineMarker"/>
        <c:varyColors val="0"/>
        <c:ser>
          <c:idx val="4"/>
          <c:order val="0"/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 (2)'!$BY$5:$BY$7</c:f>
              <c:numCache>
                <c:formatCode>0.00E+00</c:formatCode>
                <c:ptCount val="3"/>
                <c:pt idx="0">
                  <c:v>2281.7606671283352</c:v>
                </c:pt>
                <c:pt idx="1">
                  <c:v>1913.2083703482324</c:v>
                </c:pt>
                <c:pt idx="2">
                  <c:v>1576.8536237777657</c:v>
                </c:pt>
              </c:numCache>
            </c:numRef>
          </c:xVal>
          <c:yVal>
            <c:numRef>
              <c:f>'MFP-PDF_Avg (2)'!$BV$5:$BV$7</c:f>
              <c:numCache>
                <c:formatCode>0.000E+00</c:formatCode>
                <c:ptCount val="3"/>
                <c:pt idx="0">
                  <c:v>3500</c:v>
                </c:pt>
                <c:pt idx="1">
                  <c:v>2720</c:v>
                </c:pt>
                <c:pt idx="2">
                  <c:v>2360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2F-4161-AF06-B280C8E67EAC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 (2)'!$BY$8:$BY$10</c:f>
              <c:numCache>
                <c:formatCode>0.00E+00</c:formatCode>
                <c:ptCount val="3"/>
                <c:pt idx="0">
                  <c:v>3166.2152952805809</c:v>
                </c:pt>
                <c:pt idx="1">
                  <c:v>2335.2084630418126</c:v>
                </c:pt>
                <c:pt idx="2">
                  <c:v>2060.498975840947</c:v>
                </c:pt>
              </c:numCache>
            </c:numRef>
          </c:xVal>
          <c:yVal>
            <c:numRef>
              <c:f>'MFP-PDF_Avg (2)'!$BV$8:$BV$10</c:f>
              <c:numCache>
                <c:formatCode>0.000E+00</c:formatCode>
                <c:ptCount val="3"/>
                <c:pt idx="0">
                  <c:v>3500</c:v>
                </c:pt>
                <c:pt idx="1">
                  <c:v>2720</c:v>
                </c:pt>
                <c:pt idx="2">
                  <c:v>2360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2F-4161-AF06-B280C8E67EAC}"/>
            </c:ext>
          </c:extLst>
        </c:ser>
        <c:ser>
          <c:idx val="1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'MFP-PDF_Avg (2)'!$BY$13:$BY$15</c:f>
              <c:numCache>
                <c:formatCode>0.00E+00</c:formatCode>
                <c:ptCount val="3"/>
                <c:pt idx="0">
                  <c:v>2332.5102491245016</c:v>
                </c:pt>
                <c:pt idx="1">
                  <c:v>1901.8047937934937</c:v>
                </c:pt>
                <c:pt idx="2">
                  <c:v>1272.0412136516466</c:v>
                </c:pt>
              </c:numCache>
            </c:numRef>
          </c:xVal>
          <c:yVal>
            <c:numRef>
              <c:f>'MFP-PDF_Avg (2)'!$BV$13:$BV$15</c:f>
              <c:numCache>
                <c:formatCode>0.000E+00</c:formatCode>
                <c:ptCount val="3"/>
                <c:pt idx="0">
                  <c:v>3400</c:v>
                </c:pt>
                <c:pt idx="1">
                  <c:v>2200</c:v>
                </c:pt>
                <c:pt idx="2" formatCode="0.00E+00">
                  <c:v>1873.13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F2F-4161-AF06-B280C8E67EAC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'MFP-PDF_Avg (2)'!$BX$18:$BX$20</c:f>
              <c:numCache>
                <c:formatCode>0.00E+00</c:formatCode>
                <c:ptCount val="3"/>
                <c:pt idx="0">
                  <c:v>3014.7958403196781</c:v>
                </c:pt>
                <c:pt idx="1">
                  <c:v>2363.979295927822</c:v>
                </c:pt>
                <c:pt idx="2">
                  <c:v>2588.5890241203952</c:v>
                </c:pt>
              </c:numCache>
            </c:numRef>
          </c:xVal>
          <c:yVal>
            <c:numRef>
              <c:f>'MFP-PDF_Avg (2)'!$BT$18:$BT$20</c:f>
              <c:numCache>
                <c:formatCode>0.0000E+00</c:formatCode>
                <c:ptCount val="3"/>
                <c:pt idx="0">
                  <c:v>2547.6863757231322</c:v>
                </c:pt>
                <c:pt idx="1">
                  <c:v>2012.468707779205</c:v>
                </c:pt>
                <c:pt idx="2">
                  <c:v>2298.228366828082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F2F-4161-AF06-B280C8E67EAC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'MFP-PDF_Avg (2)'!$BX$21:$BX$22</c:f>
              <c:numCache>
                <c:formatCode>0.00E+00</c:formatCode>
                <c:ptCount val="2"/>
                <c:pt idx="0">
                  <c:v>1332.9578486026016</c:v>
                </c:pt>
                <c:pt idx="1">
                  <c:v>1039.4331216672322</c:v>
                </c:pt>
              </c:numCache>
            </c:numRef>
          </c:xVal>
          <c:yVal>
            <c:numRef>
              <c:f>'MFP-PDF_Avg (2)'!$BT$21:$BT$22</c:f>
              <c:numCache>
                <c:formatCode>0.0000E+00</c:formatCode>
                <c:ptCount val="2"/>
                <c:pt idx="0">
                  <c:v>1451.7494609289899</c:v>
                </c:pt>
                <c:pt idx="1">
                  <c:v>1470.4555590061771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F2F-4161-AF06-B280C8E67EAC}"/>
            </c:ext>
          </c:extLst>
        </c:ser>
        <c:ser>
          <c:idx val="2"/>
          <c:order val="5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 (2)'!$BX$23</c:f>
              <c:numCache>
                <c:formatCode>0.00E+00</c:formatCode>
                <c:ptCount val="1"/>
                <c:pt idx="0">
                  <c:v>1515.6624180374595</c:v>
                </c:pt>
              </c:numCache>
            </c:numRef>
          </c:xVal>
          <c:yVal>
            <c:numRef>
              <c:f>'MFP-PDF_Avg (2)'!$BT$23</c:f>
              <c:numCache>
                <c:formatCode>0.0000E+00</c:formatCode>
                <c:ptCount val="1"/>
                <c:pt idx="0">
                  <c:v>1403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F2F-4161-AF06-B280C8E67EAC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6000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6000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DF2F-4161-AF06-B280C8E67E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vs_calc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v_sound_metal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95460239568026"/>
          <c:y val="2.9761956838728492E-2"/>
          <c:w val="0.48245913339779894"/>
          <c:h val="0.82313502478856815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 (2)'!$BP$5:$BP$7</c:f>
              <c:numCache>
                <c:formatCode>0.00E+00</c:formatCode>
                <c:ptCount val="3"/>
                <c:pt idx="0">
                  <c:v>2.2386784262372482E-10</c:v>
                </c:pt>
                <c:pt idx="1">
                  <c:v>3.5829287462177575E-10</c:v>
                </c:pt>
                <c:pt idx="2">
                  <c:v>5.0504213754870988E-10</c:v>
                </c:pt>
              </c:numCache>
            </c:numRef>
          </c:xVal>
          <c:yVal>
            <c:numRef>
              <c:f>'MFP-PDF_Avg (2)'!$BL$5:$BL$7</c:f>
              <c:numCache>
                <c:formatCode>0.00E+00</c:formatCode>
                <c:ptCount val="3"/>
                <c:pt idx="0">
                  <c:v>3.0056447474785299E-10</c:v>
                </c:pt>
                <c:pt idx="1">
                  <c:v>3.3400223720324102E-10</c:v>
                </c:pt>
                <c:pt idx="2">
                  <c:v>3.6182029353950698E-10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10-4E38-8445-1EB83BFB2475}"/>
            </c:ext>
          </c:extLst>
        </c:ser>
        <c:ser>
          <c:idx val="0"/>
          <c:order val="1"/>
          <c:tx>
            <c:v>Pure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 (2)'!$BP$8:$BP$10</c:f>
              <c:numCache>
                <c:formatCode>0.00E+00</c:formatCode>
                <c:ptCount val="3"/>
                <c:pt idx="0">
                  <c:v>1.1621868768680972E-10</c:v>
                </c:pt>
                <c:pt idx="1">
                  <c:v>2.0777178281396749E-10</c:v>
                </c:pt>
                <c:pt idx="2">
                  <c:v>3.5092234812032614E-10</c:v>
                </c:pt>
              </c:numCache>
            </c:numRef>
          </c:xVal>
          <c:yVal>
            <c:numRef>
              <c:f>'MFP-PDF_Avg (2)'!$BL$8:$BL$10</c:f>
              <c:numCache>
                <c:formatCode>0.00E+00</c:formatCode>
                <c:ptCount val="3"/>
                <c:pt idx="0">
                  <c:v>2.3591537099888599E-10</c:v>
                </c:pt>
                <c:pt idx="1">
                  <c:v>2.7110331264484899E-10</c:v>
                </c:pt>
                <c:pt idx="2">
                  <c:v>3.1522574455637898E-10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10-4E38-8445-1EB83BFB2475}"/>
            </c:ext>
          </c:extLst>
        </c:ser>
        <c:ser>
          <c:idx val="1"/>
          <c:order val="2"/>
          <c:tx>
            <c:v>Alkaline Earth Chlorides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'MFP-PDF_Avg (2)'!$BP$13:$BP$15</c:f>
              <c:numCache>
                <c:formatCode>0.00E+00</c:formatCode>
                <c:ptCount val="3"/>
                <c:pt idx="0">
                  <c:v>3.318428039627579E-10</c:v>
                </c:pt>
                <c:pt idx="1">
                  <c:v>4.3306098631181678E-10</c:v>
                </c:pt>
              </c:numCache>
            </c:numRef>
          </c:xVal>
          <c:yVal>
            <c:numRef>
              <c:f>'MFP-PDF_Avg (2)'!$BL$13:$BL$15</c:f>
              <c:numCache>
                <c:formatCode>0.00E+00</c:formatCode>
                <c:ptCount val="3"/>
                <c:pt idx="0">
                  <c:v>3.08759615447175E-10</c:v>
                </c:pt>
                <c:pt idx="1">
                  <c:v>3.3211022612034601E-10</c:v>
                </c:pt>
                <c:pt idx="2">
                  <c:v>4.2994626258483001E-10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10-4E38-8445-1EB83BFB2475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'MFP-PDF_Avg (2)'!$BO$18:$BO$20</c:f>
              <c:numCache>
                <c:formatCode>General</c:formatCode>
                <c:ptCount val="3"/>
                <c:pt idx="0">
                  <c:v>1.7925891125038326E-10</c:v>
                </c:pt>
                <c:pt idx="1">
                  <c:v>2.6008382143302827E-10</c:v>
                </c:pt>
                <c:pt idx="2">
                  <c:v>2.4028944916294775E-10</c:v>
                </c:pt>
              </c:numCache>
            </c:numRef>
          </c:xVal>
          <c:yVal>
            <c:numRef>
              <c:f>'MFP-PDF_Avg (2)'!$BL$18:$BL$20</c:f>
              <c:numCache>
                <c:formatCode>0.00E+00</c:formatCode>
                <c:ptCount val="3"/>
                <c:pt idx="0">
                  <c:v>2.06003844994128E-10</c:v>
                </c:pt>
                <c:pt idx="1">
                  <c:v>2.5955250470707202E-10</c:v>
                </c:pt>
                <c:pt idx="2">
                  <c:v>2.4173581555363199E-10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510-4E38-8445-1EB83BFB2475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'MFP-PDF_Avg (2)'!$BO$21:$BO$22</c:f>
              <c:numCache>
                <c:formatCode>General</c:formatCode>
                <c:ptCount val="2"/>
                <c:pt idx="0">
                  <c:v>2.9017778590838672E-10</c:v>
                </c:pt>
                <c:pt idx="1">
                  <c:v>2.2336229748837205E-10</c:v>
                </c:pt>
              </c:numCache>
            </c:numRef>
          </c:xVal>
          <c:yVal>
            <c:numRef>
              <c:f>'MFP-PDF_Avg (2)'!$BL$21:$BL$22</c:f>
              <c:numCache>
                <c:formatCode>0.00E+00</c:formatCode>
                <c:ptCount val="2"/>
                <c:pt idx="0">
                  <c:v>3.1692440673072701E-10</c:v>
                </c:pt>
                <c:pt idx="1">
                  <c:v>3.1692440673072701E-10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510-4E38-8445-1EB83BFB2475}"/>
            </c:ext>
          </c:extLst>
        </c:ser>
        <c:ser>
          <c:idx val="2"/>
          <c:order val="5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 (2)'!$BO$23</c:f>
              <c:numCache>
                <c:formatCode>0.00E+00</c:formatCode>
                <c:ptCount val="1"/>
                <c:pt idx="0">
                  <c:v>3.0715984604116529E-10</c:v>
                </c:pt>
              </c:numCache>
            </c:numRef>
          </c:xVal>
          <c:yVal>
            <c:numRef>
              <c:f>'MFP-PDF_Avg (2)'!$BL$23</c:f>
              <c:numCache>
                <c:formatCode>0.00E+00</c:formatCode>
                <c:ptCount val="1"/>
                <c:pt idx="0">
                  <c:v>2.8432800000000002E-10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510-4E38-8445-1EB83BFB2475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9.9999999999999994E-12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9.9999999999999994E-12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5510-4E38-8445-1EB83BFB24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6.0000000000000031E-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MFP_calc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6.0000000000000031E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PDF-MFP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95460239568026"/>
          <c:y val="2.9761956838728492E-2"/>
          <c:w val="0.48245913339779894"/>
          <c:h val="0.82313502478856815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 (2)'!$BO$5:$BO$7</c:f>
              <c:numCache>
                <c:formatCode>General</c:formatCode>
                <c:ptCount val="3"/>
                <c:pt idx="0" formatCode="0.00E+00">
                  <c:v>3.8363612781784311E-10</c:v>
                </c:pt>
                <c:pt idx="1">
                  <c:v>4.2561305898873879E-10</c:v>
                </c:pt>
                <c:pt idx="2">
                  <c:v>4.3251103354176857E-10</c:v>
                </c:pt>
              </c:numCache>
            </c:numRef>
          </c:xVal>
          <c:yVal>
            <c:numRef>
              <c:f>'MFP-PDF_Avg (2)'!$BM$5:$BM$7</c:f>
              <c:numCache>
                <c:formatCode>0.00E+00</c:formatCode>
                <c:ptCount val="3"/>
                <c:pt idx="0">
                  <c:v>3.4962685503166299E-10</c:v>
                </c:pt>
                <c:pt idx="1">
                  <c:v>3.94560844611702E-10</c:v>
                </c:pt>
                <c:pt idx="2">
                  <c:v>4.4781785313967899E-10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DE-41E8-AADC-FF9252CA32E5}"/>
            </c:ext>
          </c:extLst>
        </c:ser>
        <c:ser>
          <c:idx val="0"/>
          <c:order val="1"/>
          <c:tx>
            <c:v>Pure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 (2)'!$BO$8:$BO$10</c:f>
              <c:numCache>
                <c:formatCode>0.00E+00</c:formatCode>
                <c:ptCount val="3"/>
                <c:pt idx="0">
                  <c:v>3.4694553806744197E-10</c:v>
                </c:pt>
                <c:pt idx="1">
                  <c:v>3.662234640967553E-10</c:v>
                </c:pt>
                <c:pt idx="2">
                  <c:v>4.242378367893328E-10</c:v>
                </c:pt>
              </c:numCache>
            </c:numRef>
          </c:xVal>
          <c:yVal>
            <c:numRef>
              <c:f>'MFP-PDF_Avg (2)'!$BM$8:$BM$10</c:f>
              <c:numCache>
                <c:formatCode>0.00E+00</c:formatCode>
                <c:ptCount val="3"/>
                <c:pt idx="0">
                  <c:v>2.8180134413727398E-10</c:v>
                </c:pt>
                <c:pt idx="1">
                  <c:v>3.2627770249126501E-10</c:v>
                </c:pt>
                <c:pt idx="2">
                  <c:v>3.77434584703857E-10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DE-41E8-AADC-FF9252CA32E5}"/>
            </c:ext>
          </c:extLst>
        </c:ser>
        <c:ser>
          <c:idx val="1"/>
          <c:order val="2"/>
          <c:tx>
            <c:v>Alkaline Earth Chlorides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'MFP-PDF_Avg (2)'!$BO$13:$BO$15</c:f>
              <c:numCache>
                <c:formatCode>0.00E+00</c:formatCode>
                <c:ptCount val="3"/>
                <c:pt idx="0">
                  <c:v>4.0043715924854475E-10</c:v>
                </c:pt>
                <c:pt idx="1">
                  <c:v>3.323174158907707E-10</c:v>
                </c:pt>
                <c:pt idx="2">
                  <c:v>3.3553552242144723E-10</c:v>
                </c:pt>
              </c:numCache>
            </c:numRef>
          </c:xVal>
          <c:yVal>
            <c:numRef>
              <c:f>'MFP-PDF_Avg (2)'!$BM$13:$BM$15</c:f>
              <c:numCache>
                <c:formatCode>0.00E+00</c:formatCode>
                <c:ptCount val="3"/>
                <c:pt idx="0">
                  <c:v>3.60692293590982E-10</c:v>
                </c:pt>
                <c:pt idx="1">
                  <c:v>3.6083904908456901E-10</c:v>
                </c:pt>
                <c:pt idx="2">
                  <c:v>4.9408906438577101E-10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EDE-41E8-AADC-FF9252CA32E5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'MFP-PDF_Avg (2)'!$BO$18:$BO$20</c:f>
              <c:numCache>
                <c:formatCode>General</c:formatCode>
                <c:ptCount val="3"/>
                <c:pt idx="0">
                  <c:v>1.7925891125038326E-10</c:v>
                </c:pt>
                <c:pt idx="1">
                  <c:v>2.6008382143302827E-10</c:v>
                </c:pt>
                <c:pt idx="2">
                  <c:v>2.4028944916294775E-10</c:v>
                </c:pt>
              </c:numCache>
            </c:numRef>
          </c:xVal>
          <c:yVal>
            <c:numRef>
              <c:f>'MFP-PDF_Avg (2)'!$BL$18:$BL$20</c:f>
              <c:numCache>
                <c:formatCode>0.00E+00</c:formatCode>
                <c:ptCount val="3"/>
                <c:pt idx="0">
                  <c:v>2.06003844994128E-10</c:v>
                </c:pt>
                <c:pt idx="1">
                  <c:v>2.5955250470707202E-10</c:v>
                </c:pt>
                <c:pt idx="2">
                  <c:v>2.4173581555363199E-10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EDE-41E8-AADC-FF9252CA32E5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'MFP-PDF_Avg (2)'!$BO$21:$BO$22</c:f>
              <c:numCache>
                <c:formatCode>General</c:formatCode>
                <c:ptCount val="2"/>
                <c:pt idx="0">
                  <c:v>2.9017778590838672E-10</c:v>
                </c:pt>
                <c:pt idx="1">
                  <c:v>2.2336229748837205E-10</c:v>
                </c:pt>
              </c:numCache>
            </c:numRef>
          </c:xVal>
          <c:yVal>
            <c:numRef>
              <c:f>'MFP-PDF_Avg (2)'!$BL$21:$BL$22</c:f>
              <c:numCache>
                <c:formatCode>0.00E+00</c:formatCode>
                <c:ptCount val="2"/>
                <c:pt idx="0">
                  <c:v>3.1692440673072701E-10</c:v>
                </c:pt>
                <c:pt idx="1">
                  <c:v>3.1692440673072701E-10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EDE-41E8-AADC-FF9252CA32E5}"/>
            </c:ext>
          </c:extLst>
        </c:ser>
        <c:ser>
          <c:idx val="2"/>
          <c:order val="5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 (2)'!$BO$23</c:f>
              <c:numCache>
                <c:formatCode>0.00E+00</c:formatCode>
                <c:ptCount val="1"/>
                <c:pt idx="0">
                  <c:v>3.0715984604116529E-10</c:v>
                </c:pt>
              </c:numCache>
            </c:numRef>
          </c:xVal>
          <c:yVal>
            <c:numRef>
              <c:f>'MFP-PDF_Avg (2)'!$BL$23</c:f>
              <c:numCache>
                <c:formatCode>0.00E+00</c:formatCode>
                <c:ptCount val="1"/>
                <c:pt idx="0">
                  <c:v>2.8432800000000002E-10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EDE-41E8-AADC-FF9252CA32E5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9.9999999999999994E-12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9.9999999999999994E-12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5EDE-41E8-AADC-FF9252CA3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6.0000000000000031E-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MFP_calc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6.0000000000000031E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PDF-MFP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95460239568026"/>
          <c:y val="2.9761956838728492E-2"/>
          <c:w val="0.48245913339779894"/>
          <c:h val="0.82313502478856815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 (2)'!$BP$5:$BP$7</c:f>
              <c:numCache>
                <c:formatCode>0.00E+00</c:formatCode>
                <c:ptCount val="3"/>
                <c:pt idx="0">
                  <c:v>2.2386784262372482E-10</c:v>
                </c:pt>
                <c:pt idx="1">
                  <c:v>3.5829287462177575E-10</c:v>
                </c:pt>
                <c:pt idx="2">
                  <c:v>5.0504213754870988E-10</c:v>
                </c:pt>
              </c:numCache>
            </c:numRef>
          </c:xVal>
          <c:yVal>
            <c:numRef>
              <c:f>'MFP-PDF_Avg (2)'!$BM$5:$BM$7</c:f>
              <c:numCache>
                <c:formatCode>0.00E+00</c:formatCode>
                <c:ptCount val="3"/>
                <c:pt idx="0">
                  <c:v>3.4962685503166299E-10</c:v>
                </c:pt>
                <c:pt idx="1">
                  <c:v>3.94560844611702E-10</c:v>
                </c:pt>
                <c:pt idx="2">
                  <c:v>4.4781785313967899E-10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6E-4C27-A038-5BA80DFB179B}"/>
            </c:ext>
          </c:extLst>
        </c:ser>
        <c:ser>
          <c:idx val="0"/>
          <c:order val="1"/>
          <c:tx>
            <c:v>Pure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 (2)'!$BP$8:$BP$10</c:f>
              <c:numCache>
                <c:formatCode>0.00E+00</c:formatCode>
                <c:ptCount val="3"/>
                <c:pt idx="0">
                  <c:v>1.1621868768680972E-10</c:v>
                </c:pt>
                <c:pt idx="1">
                  <c:v>2.0777178281396749E-10</c:v>
                </c:pt>
                <c:pt idx="2">
                  <c:v>3.5092234812032614E-10</c:v>
                </c:pt>
              </c:numCache>
            </c:numRef>
          </c:xVal>
          <c:yVal>
            <c:numRef>
              <c:f>'MFP-PDF_Avg (2)'!$BM$8:$BM$10</c:f>
              <c:numCache>
                <c:formatCode>0.00E+00</c:formatCode>
                <c:ptCount val="3"/>
                <c:pt idx="0">
                  <c:v>2.8180134413727398E-10</c:v>
                </c:pt>
                <c:pt idx="1">
                  <c:v>3.2627770249126501E-10</c:v>
                </c:pt>
                <c:pt idx="2">
                  <c:v>3.77434584703857E-10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6E-4C27-A038-5BA80DFB179B}"/>
            </c:ext>
          </c:extLst>
        </c:ser>
        <c:ser>
          <c:idx val="1"/>
          <c:order val="2"/>
          <c:tx>
            <c:v>Alkaline Earth Chlorides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'MFP-PDF_Avg (2)'!$BP$13:$BP$15</c:f>
              <c:numCache>
                <c:formatCode>0.00E+00</c:formatCode>
                <c:ptCount val="3"/>
                <c:pt idx="0">
                  <c:v>3.318428039627579E-10</c:v>
                </c:pt>
                <c:pt idx="1">
                  <c:v>4.3306098631181678E-10</c:v>
                </c:pt>
              </c:numCache>
            </c:numRef>
          </c:xVal>
          <c:yVal>
            <c:numRef>
              <c:f>'MFP-PDF_Avg (2)'!$BM$13:$BM$15</c:f>
              <c:numCache>
                <c:formatCode>0.00E+00</c:formatCode>
                <c:ptCount val="3"/>
                <c:pt idx="0">
                  <c:v>3.60692293590982E-10</c:v>
                </c:pt>
                <c:pt idx="1">
                  <c:v>3.6083904908456901E-10</c:v>
                </c:pt>
                <c:pt idx="2">
                  <c:v>4.9408906438577101E-10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E6E-4C27-A038-5BA80DFB179B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'MFP-PDF_Avg (2)'!$BO$18:$BO$20</c:f>
              <c:numCache>
                <c:formatCode>General</c:formatCode>
                <c:ptCount val="3"/>
                <c:pt idx="0">
                  <c:v>1.7925891125038326E-10</c:v>
                </c:pt>
                <c:pt idx="1">
                  <c:v>2.6008382143302827E-10</c:v>
                </c:pt>
                <c:pt idx="2">
                  <c:v>2.4028944916294775E-10</c:v>
                </c:pt>
              </c:numCache>
            </c:numRef>
          </c:xVal>
          <c:yVal>
            <c:numRef>
              <c:f>'MFP-PDF_Avg (2)'!$BL$18:$BL$20</c:f>
              <c:numCache>
                <c:formatCode>0.00E+00</c:formatCode>
                <c:ptCount val="3"/>
                <c:pt idx="0">
                  <c:v>2.06003844994128E-10</c:v>
                </c:pt>
                <c:pt idx="1">
                  <c:v>2.5955250470707202E-10</c:v>
                </c:pt>
                <c:pt idx="2">
                  <c:v>2.4173581555363199E-10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E6E-4C27-A038-5BA80DFB179B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'MFP-PDF_Avg (2)'!$BO$21:$BO$22</c:f>
              <c:numCache>
                <c:formatCode>General</c:formatCode>
                <c:ptCount val="2"/>
                <c:pt idx="0">
                  <c:v>2.9017778590838672E-10</c:v>
                </c:pt>
                <c:pt idx="1">
                  <c:v>2.2336229748837205E-10</c:v>
                </c:pt>
              </c:numCache>
            </c:numRef>
          </c:xVal>
          <c:yVal>
            <c:numRef>
              <c:f>'MFP-PDF_Avg (2)'!$BL$21:$BL$22</c:f>
              <c:numCache>
                <c:formatCode>0.00E+00</c:formatCode>
                <c:ptCount val="2"/>
                <c:pt idx="0">
                  <c:v>3.1692440673072701E-10</c:v>
                </c:pt>
                <c:pt idx="1">
                  <c:v>3.1692440673072701E-10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E6E-4C27-A038-5BA80DFB179B}"/>
            </c:ext>
          </c:extLst>
        </c:ser>
        <c:ser>
          <c:idx val="2"/>
          <c:order val="5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 (2)'!$BO$23</c:f>
              <c:numCache>
                <c:formatCode>0.00E+00</c:formatCode>
                <c:ptCount val="1"/>
                <c:pt idx="0">
                  <c:v>3.0715984604116529E-10</c:v>
                </c:pt>
              </c:numCache>
            </c:numRef>
          </c:xVal>
          <c:yVal>
            <c:numRef>
              <c:f>'MFP-PDF_Avg (2)'!$BL$23</c:f>
              <c:numCache>
                <c:formatCode>0.00E+00</c:formatCode>
                <c:ptCount val="1"/>
                <c:pt idx="0">
                  <c:v>2.8432800000000002E-10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E6E-4C27-A038-5BA80DFB179B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9.9999999999999994E-12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9.9999999999999994E-12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FE6E-4C27-A038-5BA80DFB17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6.0000000000000031E-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MFP_calc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6.0000000000000031E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PDF-MFP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978933554358339"/>
          <c:y val="4.3650793650793648E-2"/>
          <c:w val="0.47553368328958878"/>
          <c:h val="0.82379640044994373"/>
        </c:manualLayout>
      </c:layout>
      <c:scatterChart>
        <c:scatterStyle val="lineMarker"/>
        <c:varyColors val="0"/>
        <c:ser>
          <c:idx val="4"/>
          <c:order val="0"/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 (2)'!$CL$5:$CL$7</c:f>
              <c:numCache>
                <c:formatCode>General</c:formatCode>
                <c:ptCount val="3"/>
                <c:pt idx="0">
                  <c:v>2573672.0371726789</c:v>
                </c:pt>
                <c:pt idx="1">
                  <c:v>2034192.8899095349</c:v>
                </c:pt>
                <c:pt idx="2">
                  <c:v>1489204.765041241</c:v>
                </c:pt>
              </c:numCache>
            </c:numRef>
          </c:xVal>
          <c:yVal>
            <c:numRef>
              <c:f>'MFP-PDF_Avg (2)'!$CA$5:$CA$7</c:f>
              <c:numCache>
                <c:formatCode>0.00E+00</c:formatCode>
                <c:ptCount val="3"/>
                <c:pt idx="0">
                  <c:v>2299027.692598009</c:v>
                </c:pt>
                <c:pt idx="1">
                  <c:v>1849136.7861885792</c:v>
                </c:pt>
                <c:pt idx="2">
                  <c:v>1506961.5069615068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2A-47AC-9A58-D2FD9E629455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 (2)'!$CL$8:$CL$10</c:f>
              <c:numCache>
                <c:formatCode>General</c:formatCode>
                <c:ptCount val="3"/>
                <c:pt idx="0">
                  <c:v>5562531.4819458509</c:v>
                </c:pt>
                <c:pt idx="1">
                  <c:v>3650072.9776647924</c:v>
                </c:pt>
                <c:pt idx="2">
                  <c:v>2494266.906889094</c:v>
                </c:pt>
              </c:numCache>
            </c:numRef>
          </c:xVal>
          <c:yVal>
            <c:numRef>
              <c:f>'MFP-PDF_Avg (2)'!$CA$8:$CA$10</c:f>
              <c:numCache>
                <c:formatCode>0.00E+00</c:formatCode>
                <c:ptCount val="3"/>
                <c:pt idx="0">
                  <c:v>4521126.760563381</c:v>
                </c:pt>
                <c:pt idx="1">
                  <c:v>3250000</c:v>
                </c:pt>
                <c:pt idx="2">
                  <c:v>2200657.8947368423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2A-47AC-9A58-D2FD9E629455}"/>
            </c:ext>
          </c:extLst>
        </c:ser>
        <c:ser>
          <c:idx val="1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'MFP-PDF_Avg (2)'!$CL$13:$CL$15</c:f>
              <c:numCache>
                <c:formatCode>General</c:formatCode>
                <c:ptCount val="3"/>
                <c:pt idx="0" formatCode="0.00E+00">
                  <c:v>1808358.0929419848</c:v>
                </c:pt>
                <c:pt idx="1">
                  <c:v>1776503.5437336885</c:v>
                </c:pt>
                <c:pt idx="2">
                  <c:v>1222213.3931863336</c:v>
                </c:pt>
              </c:numCache>
            </c:numRef>
          </c:xVal>
          <c:yVal>
            <c:numRef>
              <c:f>'MFP-PDF_Avg (2)'!$CA$13:$CA$15</c:f>
              <c:numCache>
                <c:formatCode>0.00E+00</c:formatCode>
                <c:ptCount val="3"/>
                <c:pt idx="0">
                  <c:v>1628871.8794256966</c:v>
                </c:pt>
                <c:pt idx="1">
                  <c:v>1928974.5850302745</c:v>
                </c:pt>
                <c:pt idx="2">
                  <c:v>1799756.6027023955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32A-47AC-9A58-D2FD9E629455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'MFP-PDF_Avg (2)'!$CH$18:$CH$20</c:f>
              <c:numCache>
                <c:formatCode>General</c:formatCode>
                <c:ptCount val="3"/>
                <c:pt idx="0">
                  <c:v>4148562.4961009878</c:v>
                </c:pt>
                <c:pt idx="1">
                  <c:v>4015277.2732061055</c:v>
                </c:pt>
                <c:pt idx="2">
                  <c:v>4167395.8887993586</c:v>
                </c:pt>
              </c:numCache>
            </c:numRef>
          </c:xVal>
          <c:yVal>
            <c:numRef>
              <c:f>'MFP-PDF_Avg (2)'!$CA$18:$CA$20</c:f>
              <c:numCache>
                <c:formatCode>0.00E+00</c:formatCode>
                <c:ptCount val="3"/>
                <c:pt idx="0">
                  <c:v>4323157.1595853949</c:v>
                </c:pt>
                <c:pt idx="1">
                  <c:v>3402318.9027080508</c:v>
                </c:pt>
                <c:pt idx="2">
                  <c:v>4192480.558023226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32A-47AC-9A58-D2FD9E629455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'MFP-PDF_Avg (2)'!$CH$21:$CH$22</c:f>
              <c:numCache>
                <c:formatCode>General</c:formatCode>
                <c:ptCount val="2"/>
                <c:pt idx="0">
                  <c:v>1974353.8841670761</c:v>
                </c:pt>
                <c:pt idx="1">
                  <c:v>1515117.258248803</c:v>
                </c:pt>
              </c:numCache>
            </c:numRef>
          </c:xVal>
          <c:yVal>
            <c:numRef>
              <c:f>'MFP-PDF_Avg (2)'!$CA$21:$CA$22</c:f>
              <c:numCache>
                <c:formatCode>0.00E+00</c:formatCode>
                <c:ptCount val="2"/>
                <c:pt idx="0">
                  <c:v>2156336.4385642763</c:v>
                </c:pt>
                <c:pt idx="1">
                  <c:v>2149770.3220167966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32A-47AC-9A58-D2FD9E629455}"/>
            </c:ext>
          </c:extLst>
        </c:ser>
        <c:ser>
          <c:idx val="2"/>
          <c:order val="5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 (2)'!$CH$23</c:f>
              <c:numCache>
                <c:formatCode>General</c:formatCode>
                <c:ptCount val="1"/>
                <c:pt idx="0">
                  <c:v>4519039.7092508962</c:v>
                </c:pt>
              </c:numCache>
            </c:numRef>
          </c:xVal>
          <c:yVal>
            <c:numRef>
              <c:f>'MFP-PDF_Avg (2)'!$CA$23</c:f>
              <c:numCache>
                <c:formatCode>0.00E+00</c:formatCode>
                <c:ptCount val="1"/>
                <c:pt idx="0">
                  <c:v>4183129.8557158709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32A-47AC-9A58-D2FD9E629455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.000000000000001E-2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7000000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7000000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932A-47AC-9A58-D2FD9E629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70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C_p,calc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E+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  <c:majorUnit val="1000000"/>
      </c:valAx>
      <c:valAx>
        <c:axId val="689706896"/>
        <c:scaling>
          <c:orientation val="minMax"/>
          <c:max val="7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C_p,measured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635608048993876E-2"/>
              <c:y val="0.305791776027996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67928926647326981"/>
          <c:y val="0.28199183435403907"/>
          <c:w val="0.30383133029423953"/>
          <c:h val="0.575234762321376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978933554358339"/>
          <c:y val="4.3650793650793648E-2"/>
          <c:w val="0.47553368328958878"/>
          <c:h val="0.82379640044994373"/>
        </c:manualLayout>
      </c:layout>
      <c:scatterChart>
        <c:scatterStyle val="lineMarker"/>
        <c:varyColors val="0"/>
        <c:ser>
          <c:idx val="4"/>
          <c:order val="0"/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 (2)'!$CM$5:$CM$7</c:f>
              <c:numCache>
                <c:formatCode>General</c:formatCode>
                <c:ptCount val="3"/>
                <c:pt idx="0">
                  <c:v>1501846.05881651</c:v>
                </c:pt>
                <c:pt idx="1">
                  <c:v>1304037.3008373005</c:v>
                </c:pt>
                <c:pt idx="2">
                  <c:v>1007853.3997659445</c:v>
                </c:pt>
              </c:numCache>
            </c:numRef>
          </c:xVal>
          <c:yVal>
            <c:numRef>
              <c:f>'MFP-PDF_Avg (2)'!$CA$5:$CA$7</c:f>
              <c:numCache>
                <c:formatCode>0.00E+00</c:formatCode>
                <c:ptCount val="3"/>
                <c:pt idx="0">
                  <c:v>2299027.692598009</c:v>
                </c:pt>
                <c:pt idx="1">
                  <c:v>1849136.7861885792</c:v>
                </c:pt>
                <c:pt idx="2">
                  <c:v>1506961.5069615068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9A-47B3-9214-339B779E261D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 (2)'!$CM$8:$CM$10</c:f>
              <c:numCache>
                <c:formatCode>General</c:formatCode>
                <c:ptCount val="3"/>
                <c:pt idx="0">
                  <c:v>4049205.0599147542</c:v>
                </c:pt>
                <c:pt idx="1">
                  <c:v>2798612.9393087956</c:v>
                </c:pt>
                <c:pt idx="2">
                  <c:v>1919740.0040988778</c:v>
                </c:pt>
              </c:numCache>
            </c:numRef>
          </c:xVal>
          <c:yVal>
            <c:numRef>
              <c:f>'MFP-PDF_Avg (2)'!$CA$8:$CA$10</c:f>
              <c:numCache>
                <c:formatCode>0.00E+00</c:formatCode>
                <c:ptCount val="3"/>
                <c:pt idx="0">
                  <c:v>4521126.760563381</c:v>
                </c:pt>
                <c:pt idx="1">
                  <c:v>3250000</c:v>
                </c:pt>
                <c:pt idx="2">
                  <c:v>2200657.8947368423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9A-47B3-9214-339B779E261D}"/>
            </c:ext>
          </c:extLst>
        </c:ser>
        <c:ser>
          <c:idx val="1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'MFP-PDF_Avg (2)'!$CM$13:$CM$15</c:f>
              <c:numCache>
                <c:formatCode>General</c:formatCode>
                <c:ptCount val="3"/>
                <c:pt idx="0">
                  <c:v>1117458.9274326793</c:v>
                </c:pt>
                <c:pt idx="1">
                  <c:v>1667515.0513256271</c:v>
                </c:pt>
              </c:numCache>
            </c:numRef>
          </c:xVal>
          <c:yVal>
            <c:numRef>
              <c:f>'MFP-PDF_Avg (2)'!$CA$13:$CA$15</c:f>
              <c:numCache>
                <c:formatCode>0.00E+00</c:formatCode>
                <c:ptCount val="3"/>
                <c:pt idx="0">
                  <c:v>1628871.8794256966</c:v>
                </c:pt>
                <c:pt idx="1">
                  <c:v>1928974.5850302745</c:v>
                </c:pt>
                <c:pt idx="2">
                  <c:v>1799756.6027023955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E9A-47B3-9214-339B779E261D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'MFP-PDF_Avg (2)'!$CH$18:$CH$20</c:f>
              <c:numCache>
                <c:formatCode>General</c:formatCode>
                <c:ptCount val="3"/>
                <c:pt idx="0">
                  <c:v>4148562.4961009878</c:v>
                </c:pt>
                <c:pt idx="1">
                  <c:v>4015277.2732061055</c:v>
                </c:pt>
                <c:pt idx="2">
                  <c:v>4167395.8887993586</c:v>
                </c:pt>
              </c:numCache>
            </c:numRef>
          </c:xVal>
          <c:yVal>
            <c:numRef>
              <c:f>'MFP-PDF_Avg (2)'!$CA$18:$CA$20</c:f>
              <c:numCache>
                <c:formatCode>0.00E+00</c:formatCode>
                <c:ptCount val="3"/>
                <c:pt idx="0">
                  <c:v>4323157.1595853949</c:v>
                </c:pt>
                <c:pt idx="1">
                  <c:v>3402318.9027080508</c:v>
                </c:pt>
                <c:pt idx="2">
                  <c:v>4192480.558023226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E9A-47B3-9214-339B779E261D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'MFP-PDF_Avg (2)'!$CH$21:$CH$22</c:f>
              <c:numCache>
                <c:formatCode>General</c:formatCode>
                <c:ptCount val="2"/>
                <c:pt idx="0">
                  <c:v>1974353.8841670761</c:v>
                </c:pt>
                <c:pt idx="1">
                  <c:v>1515117.258248803</c:v>
                </c:pt>
              </c:numCache>
            </c:numRef>
          </c:xVal>
          <c:yVal>
            <c:numRef>
              <c:f>'MFP-PDF_Avg (2)'!$CA$21:$CA$22</c:f>
              <c:numCache>
                <c:formatCode>0.00E+00</c:formatCode>
                <c:ptCount val="2"/>
                <c:pt idx="0">
                  <c:v>2156336.4385642763</c:v>
                </c:pt>
                <c:pt idx="1">
                  <c:v>2149770.3220167966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E9A-47B3-9214-339B779E261D}"/>
            </c:ext>
          </c:extLst>
        </c:ser>
        <c:ser>
          <c:idx val="2"/>
          <c:order val="5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 (2)'!$CH$23</c:f>
              <c:numCache>
                <c:formatCode>General</c:formatCode>
                <c:ptCount val="1"/>
                <c:pt idx="0">
                  <c:v>4519039.7092508962</c:v>
                </c:pt>
              </c:numCache>
            </c:numRef>
          </c:xVal>
          <c:yVal>
            <c:numRef>
              <c:f>'MFP-PDF_Avg (2)'!$CA$23</c:f>
              <c:numCache>
                <c:formatCode>0.00E+00</c:formatCode>
                <c:ptCount val="1"/>
                <c:pt idx="0">
                  <c:v>4183129.8557158709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E9A-47B3-9214-339B779E261D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.000000000000001E-2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7000000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7000000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0E9A-47B3-9214-339B779E26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70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C_p,calc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E+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  <c:majorUnit val="1000000"/>
      </c:valAx>
      <c:valAx>
        <c:axId val="689706896"/>
        <c:scaling>
          <c:orientation val="minMax"/>
          <c:max val="7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C_p,measured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635608048993876E-2"/>
              <c:y val="0.305791776027996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67928926647326981"/>
          <c:y val="0.28199183435403907"/>
          <c:w val="0.30383133029423953"/>
          <c:h val="0.575234762321376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00991542723829"/>
          <c:y val="4.3650793650793648E-2"/>
          <c:w val="0.51074058688893342"/>
          <c:h val="0.80527777777777776"/>
        </c:manualLayout>
      </c:layout>
      <c:scatterChart>
        <c:scatterStyle val="lineMarker"/>
        <c:varyColors val="0"/>
        <c:ser>
          <c:idx val="4"/>
          <c:order val="0"/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 (2)'!$BX$5:$BX$7</c:f>
              <c:numCache>
                <c:formatCode>0.00E+00</c:formatCode>
                <c:ptCount val="3"/>
                <c:pt idx="0">
                  <c:v>2654.2218825171644</c:v>
                </c:pt>
                <c:pt idx="1">
                  <c:v>2260.0959707447478</c:v>
                </c:pt>
                <c:pt idx="2">
                  <c:v>1951.6406821956732</c:v>
                </c:pt>
              </c:numCache>
            </c:numRef>
          </c:xVal>
          <c:yVal>
            <c:numRef>
              <c:f>'MFP-PDF_Avg (2)'!$BU$5:$BU$7</c:f>
              <c:numCache>
                <c:formatCode>0.00E+00</c:formatCode>
                <c:ptCount val="3"/>
                <c:pt idx="0">
                  <c:v>2771.1987250000002</c:v>
                </c:pt>
                <c:pt idx="1">
                  <c:v>2231.84</c:v>
                </c:pt>
                <c:pt idx="2">
                  <c:v>1978.5919999999999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29-46EA-9845-36D3E3F1592E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 (2)'!$BX$8:$BX$10</c:f>
              <c:numCache>
                <c:formatCode>0.00E+00</c:formatCode>
                <c:ptCount val="3"/>
                <c:pt idx="0">
                  <c:v>3782.0499879267163</c:v>
                </c:pt>
                <c:pt idx="1">
                  <c:v>2810.4652972558115</c:v>
                </c:pt>
                <c:pt idx="2">
                  <c:v>2467.1321700698095</c:v>
                </c:pt>
              </c:numCache>
            </c:numRef>
          </c:xVal>
          <c:yVal>
            <c:numRef>
              <c:f>'MFP-PDF_Avg (2)'!$BU$8:$BU$10</c:f>
              <c:numCache>
                <c:formatCode>0.00E+00</c:formatCode>
                <c:ptCount val="3"/>
                <c:pt idx="0">
                  <c:v>3023.9</c:v>
                </c:pt>
                <c:pt idx="1">
                  <c:v>2402.75</c:v>
                </c:pt>
                <c:pt idx="2">
                  <c:v>2088.1999999999998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29-46EA-9845-36D3E3F1592E}"/>
            </c:ext>
          </c:extLst>
        </c:ser>
        <c:ser>
          <c:idx val="1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'MFP-PDF_Avg (2)'!$BX$13:$BX$15</c:f>
              <c:numCache>
                <c:formatCode>0.00E+00</c:formatCode>
                <c:ptCount val="3"/>
                <c:pt idx="0">
                  <c:v>2724.8332666910214</c:v>
                </c:pt>
                <c:pt idx="1">
                  <c:v>2066.3182864120718</c:v>
                </c:pt>
                <c:pt idx="2">
                  <c:v>1461.8144354476785</c:v>
                </c:pt>
              </c:numCache>
            </c:numRef>
          </c:xVal>
          <c:yVal>
            <c:numRef>
              <c:f>'MFP-PDF_Avg (2)'!$BU$13:$BU$15</c:f>
              <c:numCache>
                <c:formatCode>0.00E+00</c:formatCode>
                <c:ptCount val="3"/>
                <c:pt idx="0">
                  <c:v>2750.5</c:v>
                </c:pt>
                <c:pt idx="1">
                  <c:v>2132.5150000000003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629-46EA-9845-36D3E3F1592E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'MFP-PDF_Avg (2)'!$BX$18:$BX$20</c:f>
              <c:numCache>
                <c:formatCode>0.00E+00</c:formatCode>
                <c:ptCount val="3"/>
                <c:pt idx="0">
                  <c:v>3014.7958403196781</c:v>
                </c:pt>
                <c:pt idx="1">
                  <c:v>2363.979295927822</c:v>
                </c:pt>
                <c:pt idx="2">
                  <c:v>2588.5890241203952</c:v>
                </c:pt>
              </c:numCache>
            </c:numRef>
          </c:xVal>
          <c:yVal>
            <c:numRef>
              <c:f>'MFP-PDF_Avg (2)'!$BT$18:$BT$20</c:f>
              <c:numCache>
                <c:formatCode>0.0000E+00</c:formatCode>
                <c:ptCount val="3"/>
                <c:pt idx="0">
                  <c:v>2547.6863757231322</c:v>
                </c:pt>
                <c:pt idx="1">
                  <c:v>2012.468707779205</c:v>
                </c:pt>
                <c:pt idx="2">
                  <c:v>2298.228366828082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629-46EA-9845-36D3E3F1592E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'MFP-PDF_Avg (2)'!$BX$21:$BX$22</c:f>
              <c:numCache>
                <c:formatCode>0.00E+00</c:formatCode>
                <c:ptCount val="2"/>
                <c:pt idx="0">
                  <c:v>1332.9578486026016</c:v>
                </c:pt>
                <c:pt idx="1">
                  <c:v>1039.4331216672322</c:v>
                </c:pt>
              </c:numCache>
            </c:numRef>
          </c:xVal>
          <c:yVal>
            <c:numRef>
              <c:f>'MFP-PDF_Avg (2)'!$BT$21:$BT$22</c:f>
              <c:numCache>
                <c:formatCode>0.0000E+00</c:formatCode>
                <c:ptCount val="2"/>
                <c:pt idx="0">
                  <c:v>1451.7494609289899</c:v>
                </c:pt>
                <c:pt idx="1">
                  <c:v>1470.4555590061771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629-46EA-9845-36D3E3F1592E}"/>
            </c:ext>
          </c:extLst>
        </c:ser>
        <c:ser>
          <c:idx val="2"/>
          <c:order val="5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 (2)'!$BX$23</c:f>
              <c:numCache>
                <c:formatCode>0.00E+00</c:formatCode>
                <c:ptCount val="1"/>
                <c:pt idx="0">
                  <c:v>1515.6624180374595</c:v>
                </c:pt>
              </c:numCache>
            </c:numRef>
          </c:xVal>
          <c:yVal>
            <c:numRef>
              <c:f>'MFP-PDF_Avg (2)'!$BT$23</c:f>
              <c:numCache>
                <c:formatCode>0.0000E+00</c:formatCode>
                <c:ptCount val="1"/>
                <c:pt idx="0">
                  <c:v>1403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629-46EA-9845-36D3E3F1592E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6000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6000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A629-46EA-9845-36D3E3F15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vs_calc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v_sound_metal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66593759113446"/>
          <c:y val="5.9523809523809521E-2"/>
          <c:w val="0.56891659375911341"/>
          <c:h val="0.77617745698454343"/>
        </c:manualLayout>
      </c:layout>
      <c:scatterChart>
        <c:scatterStyle val="lineMarker"/>
        <c:varyColors val="0"/>
        <c:ser>
          <c:idx val="4"/>
          <c:order val="0"/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 (2)'!$BE$5:$BE$7</c:f>
              <c:numCache>
                <c:formatCode>0.000000</c:formatCode>
                <c:ptCount val="3"/>
                <c:pt idx="0">
                  <c:v>0.65348172621457845</c:v>
                </c:pt>
                <c:pt idx="1">
                  <c:v>0.46857849131297907</c:v>
                </c:pt>
                <c:pt idx="2">
                  <c:v>0.36784660226402593</c:v>
                </c:pt>
              </c:numCache>
            </c:numRef>
          </c:xVal>
          <c:yVal>
            <c:numRef>
              <c:f>'MFP-PDF_Avg (2)'!$AP$5:$AP$7</c:f>
              <c:numCache>
                <c:formatCode>General</c:formatCode>
                <c:ptCount val="3"/>
                <c:pt idx="0">
                  <c:v>0.61260000000000003</c:v>
                </c:pt>
                <c:pt idx="1">
                  <c:v>0.46649999999999997</c:v>
                </c:pt>
                <c:pt idx="2">
                  <c:v>0.35505000000000003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6B-47C1-A683-3209C4EE6F3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 (2)'!$BE$8:$BE$10</c:f>
              <c:numCache>
                <c:formatCode>0.000000</c:formatCode>
                <c:ptCount val="3"/>
                <c:pt idx="0">
                  <c:v>1.0745331956689395</c:v>
                </c:pt>
                <c:pt idx="1">
                  <c:v>0.70609792030082197</c:v>
                </c:pt>
                <c:pt idx="2">
                  <c:v>0.48690892302207234</c:v>
                </c:pt>
              </c:numCache>
            </c:numRef>
          </c:xVal>
          <c:yVal>
            <c:numRef>
              <c:f>'MFP-PDF_Avg (2)'!$AP$8:$AP$10</c:f>
              <c:numCache>
                <c:formatCode>General</c:formatCode>
                <c:ptCount val="3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6B-47C1-A683-3209C4EE6F36}"/>
            </c:ext>
          </c:extLst>
        </c:ser>
        <c:ser>
          <c:idx val="7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'MFP-PDF_Avg (2)'!$BE$13:$BE$15</c:f>
              <c:numCache>
                <c:formatCode>0.000000</c:formatCode>
                <c:ptCount val="3"/>
                <c:pt idx="0">
                  <c:v>0.46110285548802915</c:v>
                </c:pt>
                <c:pt idx="1">
                  <c:v>0.45538591510211907</c:v>
                </c:pt>
              </c:numCache>
            </c:numRef>
          </c:xVal>
          <c:yVal>
            <c:numRef>
              <c:f>'MFP-PDF_Avg (2)'!$AP$13:$AP$15</c:f>
              <c:numCache>
                <c:formatCode>General</c:formatCode>
                <c:ptCount val="3"/>
                <c:pt idx="0">
                  <c:v>0.45680000000000004</c:v>
                </c:pt>
                <c:pt idx="1">
                  <c:v>0.44125000000000003</c:v>
                </c:pt>
                <c:pt idx="2">
                  <c:v>0.37705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26B-47C1-A683-3209C4EE6F36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'MFP-PDF_Avg (2)'!$BC$18:$BC$20</c:f>
              <c:numCache>
                <c:formatCode>0.000000</c:formatCode>
                <c:ptCount val="3"/>
                <c:pt idx="0">
                  <c:v>1.2641169574941</c:v>
                </c:pt>
                <c:pt idx="1">
                  <c:v>0.84284465559077204</c:v>
                </c:pt>
                <c:pt idx="2">
                  <c:v>0.93676902087574598</c:v>
                </c:pt>
              </c:numCache>
            </c:numRef>
          </c:xVal>
          <c:yVal>
            <c:numRef>
              <c:f>('MFP-PDF_Avg (2)'!$AP$18,'MFP-PDF_Avg (2)'!$AP$19,'MFP-PDF_Avg (2)'!$AP$20)</c:f>
              <c:numCache>
                <c:formatCode>General</c:formatCode>
                <c:ptCount val="3"/>
                <c:pt idx="0">
                  <c:v>1.1000000000000001</c:v>
                </c:pt>
                <c:pt idx="1">
                  <c:v>0.84457000000000004</c:v>
                </c:pt>
                <c:pt idx="2">
                  <c:v>0.87448810843065394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26B-47C1-A683-3209C4EE6F36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9.3845873432487625E-2"/>
                  <c:y val="9.8049462567179099E-2"/>
                </c:manualLayout>
              </c:layout>
              <c:tx>
                <c:rich>
                  <a:bodyPr/>
                  <a:lstStyle/>
                  <a:p>
                    <a:fld id="{4E0BA487-CCDC-4FE7-BE25-673E4F54B5AB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328813065033539"/>
                      <c:h val="9.793182102237219E-2"/>
                    </c:manualLayout>
                  </c15:layout>
                  <c15:dlblFieldTable>
                    <c15:dlblFTEntry>
                      <c15:txfldGUID>{4E0BA487-CCDC-4FE7-BE25-673E4F54B5AB}</c15:txfldGUID>
                      <c15:f>'MFP-PDF_Avg (2)'!$A$21</c15:f>
                      <c15:dlblFieldTableCache>
                        <c:ptCount val="1"/>
                        <c:pt idx="0">
                          <c:v>0.63NaCl-0.37UCl3 (ORNL)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126B-47C1-A683-3209C4EE6F36}"/>
                </c:ext>
              </c:extLst>
            </c:dLbl>
            <c:dLbl>
              <c:idx val="1"/>
              <c:layout>
                <c:manualLayout>
                  <c:x val="3.1089929548280139E-2"/>
                  <c:y val="1.568788276465432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48043BA-4F93-455A-BDFD-BB5447868CFE}" type="CELLREF">
                      <a:rPr lang="en-US"/>
                      <a:pPr>
                        <a:defRPr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342772942855827"/>
                      <c:h val="9.7931758530183724E-2"/>
                    </c:manualLayout>
                  </c15:layout>
                  <c15:dlblFieldTable>
                    <c15:dlblFTEntry>
                      <c15:txfldGUID>{F48043BA-4F93-455A-BDFD-BB5447868CFE}</c15:txfldGUID>
                      <c15:f>'MFP-PDF_Avg (2)'!$A$22</c15:f>
                      <c15:dlblFieldTableCache>
                        <c:ptCount val="1"/>
                        <c:pt idx="0">
                          <c:v>0.658NaCl-0.342UCl3 (ANL)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126B-47C1-A683-3209C4EE6F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'MFP-PDF_Avg (2)'!$BC$21:$BC$22</c:f>
              <c:numCache>
                <c:formatCode>0.000000</c:formatCode>
                <c:ptCount val="2"/>
                <c:pt idx="0">
                  <c:v>0.30884033107708703</c:v>
                </c:pt>
                <c:pt idx="1">
                  <c:v>0.32145693534244602</c:v>
                </c:pt>
              </c:numCache>
            </c:numRef>
          </c:xVal>
          <c:yVal>
            <c:numRef>
              <c:f>'MFP-PDF_Avg (2)'!$AP$21:$AP$22</c:f>
              <c:numCache>
                <c:formatCode>General</c:formatCode>
                <c:ptCount val="2"/>
                <c:pt idx="0">
                  <c:v>0.28277596034850733</c:v>
                </c:pt>
                <c:pt idx="1">
                  <c:v>0.22655673749565519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26B-47C1-A683-3209C4EE6F36}"/>
            </c:ext>
          </c:extLst>
        </c:ser>
        <c:ser>
          <c:idx val="2"/>
          <c:order val="5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 (2)'!$BC$23</c:f>
              <c:numCache>
                <c:formatCode>0.000000</c:formatCode>
                <c:ptCount val="1"/>
                <c:pt idx="0">
                  <c:v>0.55623382223307438</c:v>
                </c:pt>
              </c:numCache>
            </c:numRef>
          </c:xVal>
          <c:yVal>
            <c:numRef>
              <c:f>'MFP-PDF_Avg (2)'!$AP$23</c:f>
              <c:numCache>
                <c:formatCode>General</c:formatCode>
                <c:ptCount val="1"/>
                <c:pt idx="0">
                  <c:v>0.60089999999999999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126B-47C1-A683-3209C4EE6F36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C-126B-47C1-A683-3209C4EE6F36}"/>
            </c:ext>
          </c:extLst>
        </c:ser>
        <c:ser>
          <c:idx val="0"/>
          <c:order val="7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7319523535889766"/>
                  <c:y val="3.507217847769028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'MFP-PDF_Avg (2)'!$BE$5:$BE$23</c:f>
              <c:numCache>
                <c:formatCode>0.000000</c:formatCode>
                <c:ptCount val="19"/>
                <c:pt idx="0">
                  <c:v>0.65348172621457845</c:v>
                </c:pt>
                <c:pt idx="1">
                  <c:v>0.46857849131297907</c:v>
                </c:pt>
                <c:pt idx="2">
                  <c:v>0.36784660226402593</c:v>
                </c:pt>
                <c:pt idx="3">
                  <c:v>1.0745331956689395</c:v>
                </c:pt>
                <c:pt idx="4">
                  <c:v>0.70609792030082197</c:v>
                </c:pt>
                <c:pt idx="5">
                  <c:v>0.48690892302207234</c:v>
                </c:pt>
                <c:pt idx="8">
                  <c:v>0.46110285548802915</c:v>
                </c:pt>
                <c:pt idx="9">
                  <c:v>0.45538591510211907</c:v>
                </c:pt>
                <c:pt idx="13">
                  <c:v>1.2641169574941</c:v>
                </c:pt>
                <c:pt idx="14">
                  <c:v>0.84284465559077204</c:v>
                </c:pt>
                <c:pt idx="15">
                  <c:v>0.93676902087574598</c:v>
                </c:pt>
                <c:pt idx="16">
                  <c:v>0.30884033107708703</c:v>
                </c:pt>
                <c:pt idx="17">
                  <c:v>0.32145693534244602</c:v>
                </c:pt>
                <c:pt idx="18">
                  <c:v>0.55623382223307438</c:v>
                </c:pt>
              </c:numCache>
            </c:numRef>
          </c:xVal>
          <c:yVal>
            <c:numRef>
              <c:f>'MFP-PDF_Avg (2)'!$AP$5:$AP$23</c:f>
              <c:numCache>
                <c:formatCode>General</c:formatCode>
                <c:ptCount val="19"/>
                <c:pt idx="0">
                  <c:v>0.61260000000000003</c:v>
                </c:pt>
                <c:pt idx="1">
                  <c:v>0.46649999999999997</c:v>
                </c:pt>
                <c:pt idx="2">
                  <c:v>0.35505000000000003</c:v>
                </c:pt>
                <c:pt idx="3">
                  <c:v>1.33125</c:v>
                </c:pt>
                <c:pt idx="4">
                  <c:v>0.82789999999999997</c:v>
                </c:pt>
                <c:pt idx="5">
                  <c:v>0.56999999999999995</c:v>
                </c:pt>
                <c:pt idx="6">
                  <c:v>0.48965000000000003</c:v>
                </c:pt>
                <c:pt idx="7">
                  <c:v>0.36715000000000003</c:v>
                </c:pt>
                <c:pt idx="8">
                  <c:v>0.45680000000000004</c:v>
                </c:pt>
                <c:pt idx="9">
                  <c:v>0.44125000000000003</c:v>
                </c:pt>
                <c:pt idx="10">
                  <c:v>0.37705</c:v>
                </c:pt>
                <c:pt idx="11">
                  <c:v>0.51224999999999998</c:v>
                </c:pt>
                <c:pt idx="12">
                  <c:v>0.40920000000000001</c:v>
                </c:pt>
                <c:pt idx="13">
                  <c:v>1.1000000000000001</c:v>
                </c:pt>
                <c:pt idx="14">
                  <c:v>0.84457000000000004</c:v>
                </c:pt>
                <c:pt idx="15">
                  <c:v>0.87448810843065394</c:v>
                </c:pt>
                <c:pt idx="16">
                  <c:v>0.28277596034850733</c:v>
                </c:pt>
                <c:pt idx="17">
                  <c:v>0.22655673749565519</c:v>
                </c:pt>
                <c:pt idx="18">
                  <c:v>0.60089999999999999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126B-47C1-A683-3209C4EE6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.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_predicted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  <c:majorUnit val="0.2"/>
      </c:valAx>
      <c:valAx>
        <c:axId val="689706896"/>
        <c:scaling>
          <c:orientation val="minMax"/>
          <c:max val="1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  <c:minorUnit val="4.0000000000000008E-2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0.67247133581986451"/>
          <c:y val="0.30869459025955087"/>
          <c:w val="0.30383133029423953"/>
          <c:h val="0.691305409740449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95460239568026"/>
          <c:y val="2.9761956838728492E-2"/>
          <c:w val="0.48245913339779894"/>
          <c:h val="0.82313502478856815"/>
        </c:manualLayout>
      </c:layout>
      <c:scatterChart>
        <c:scatterStyle val="lineMarker"/>
        <c:varyColors val="0"/>
        <c:ser>
          <c:idx val="4"/>
          <c:order val="0"/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 (2)'!$BQ$5:$BQ$7</c:f>
              <c:numCache>
                <c:formatCode>0.00E+00</c:formatCode>
                <c:ptCount val="3"/>
                <c:pt idx="0">
                  <c:v>2.8274314725770407E-10</c:v>
                </c:pt>
                <c:pt idx="1">
                  <c:v>4.3666061141086727E-10</c:v>
                </c:pt>
                <c:pt idx="2">
                  <c:v>6.0239778823272075E-10</c:v>
                </c:pt>
              </c:numCache>
            </c:numRef>
          </c:xVal>
          <c:yVal>
            <c:numRef>
              <c:f>'MFP-PDF_Avg (2)'!$BL$5:$BL$7</c:f>
              <c:numCache>
                <c:formatCode>0.00E+00</c:formatCode>
                <c:ptCount val="3"/>
                <c:pt idx="0">
                  <c:v>3.0056447474785299E-10</c:v>
                </c:pt>
                <c:pt idx="1">
                  <c:v>3.3400223720324102E-10</c:v>
                </c:pt>
                <c:pt idx="2">
                  <c:v>3.6182029353950698E-10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68-4620-9D74-71FCD71F64FF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 (2)'!$BQ$8:$BQ$10</c:f>
              <c:numCache>
                <c:formatCode>0.00E+00</c:formatCode>
                <c:ptCount val="3"/>
                <c:pt idx="0">
                  <c:v>1.3451681831536558E-10</c:v>
                </c:pt>
                <c:pt idx="1">
                  <c:v>2.3520518125231158E-10</c:v>
                </c:pt>
                <c:pt idx="2">
                  <c:v>3.9659838213004971E-10</c:v>
                </c:pt>
              </c:numCache>
            </c:numRef>
          </c:xVal>
          <c:yVal>
            <c:numRef>
              <c:f>'MFP-PDF_Avg (2)'!$BL$8:$BL$10</c:f>
              <c:numCache>
                <c:formatCode>0.00E+00</c:formatCode>
                <c:ptCount val="3"/>
                <c:pt idx="0">
                  <c:v>2.3591537099888599E-10</c:v>
                </c:pt>
                <c:pt idx="1">
                  <c:v>2.7110331264484899E-10</c:v>
                </c:pt>
                <c:pt idx="2">
                  <c:v>3.1522574455637898E-10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68-4620-9D74-71FCD71F64FF}"/>
            </c:ext>
          </c:extLst>
        </c:ser>
        <c:ser>
          <c:idx val="1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'MFP-PDF_Avg (2)'!$BQ$13:$BQ$15</c:f>
              <c:numCache>
                <c:formatCode>0.00E+00</c:formatCode>
                <c:ptCount val="3"/>
                <c:pt idx="0">
                  <c:v>4.1020379330062789E-10</c:v>
                </c:pt>
                <c:pt idx="1">
                  <c:v>4.4676551859470942E-10</c:v>
                </c:pt>
              </c:numCache>
            </c:numRef>
          </c:xVal>
          <c:yVal>
            <c:numRef>
              <c:f>'MFP-PDF_Avg (2)'!$BL$13:$BL$15</c:f>
              <c:numCache>
                <c:formatCode>0.00E+00</c:formatCode>
                <c:ptCount val="3"/>
                <c:pt idx="0">
                  <c:v>3.08759615447175E-10</c:v>
                </c:pt>
                <c:pt idx="1">
                  <c:v>3.3211022612034601E-10</c:v>
                </c:pt>
                <c:pt idx="2">
                  <c:v>4.2994626258483001E-10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068-4620-9D74-71FCD71F64FF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'MFP-PDF_Avg (2)'!$BO$18:$BO$20</c:f>
              <c:numCache>
                <c:formatCode>General</c:formatCode>
                <c:ptCount val="3"/>
                <c:pt idx="0">
                  <c:v>1.7925891125038326E-10</c:v>
                </c:pt>
                <c:pt idx="1">
                  <c:v>2.6008382143302827E-10</c:v>
                </c:pt>
                <c:pt idx="2">
                  <c:v>2.4028944916294775E-10</c:v>
                </c:pt>
              </c:numCache>
            </c:numRef>
          </c:xVal>
          <c:yVal>
            <c:numRef>
              <c:f>'MFP-PDF_Avg (2)'!$BL$18:$BL$20</c:f>
              <c:numCache>
                <c:formatCode>0.00E+00</c:formatCode>
                <c:ptCount val="3"/>
                <c:pt idx="0">
                  <c:v>2.06003844994128E-10</c:v>
                </c:pt>
                <c:pt idx="1">
                  <c:v>2.5955250470707202E-10</c:v>
                </c:pt>
                <c:pt idx="2">
                  <c:v>2.4173581555363199E-10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068-4620-9D74-71FCD71F64FF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'MFP-PDF_Avg (2)'!$BO$21:$BO$22</c:f>
              <c:numCache>
                <c:formatCode>General</c:formatCode>
                <c:ptCount val="2"/>
                <c:pt idx="0">
                  <c:v>2.9017778590838672E-10</c:v>
                </c:pt>
                <c:pt idx="1">
                  <c:v>2.2336229748837205E-10</c:v>
                </c:pt>
              </c:numCache>
            </c:numRef>
          </c:xVal>
          <c:yVal>
            <c:numRef>
              <c:f>'MFP-PDF_Avg (2)'!$BL$21:$BL$22</c:f>
              <c:numCache>
                <c:formatCode>0.00E+00</c:formatCode>
                <c:ptCount val="2"/>
                <c:pt idx="0">
                  <c:v>3.1692440673072701E-10</c:v>
                </c:pt>
                <c:pt idx="1">
                  <c:v>3.1692440673072701E-10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068-4620-9D74-71FCD71F64FF}"/>
            </c:ext>
          </c:extLst>
        </c:ser>
        <c:ser>
          <c:idx val="2"/>
          <c:order val="5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 (2)'!$BO$23</c:f>
              <c:numCache>
                <c:formatCode>0.00E+00</c:formatCode>
                <c:ptCount val="1"/>
                <c:pt idx="0">
                  <c:v>3.0715984604116529E-10</c:v>
                </c:pt>
              </c:numCache>
            </c:numRef>
          </c:xVal>
          <c:yVal>
            <c:numRef>
              <c:f>'MFP-PDF_Avg (2)'!$BL$23</c:f>
              <c:numCache>
                <c:formatCode>0.00E+00</c:formatCode>
                <c:ptCount val="1"/>
                <c:pt idx="0">
                  <c:v>2.8432800000000002E-10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068-4620-9D74-71FCD71F64FF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9.9999999999999994E-12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9.9999999999999994E-12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4068-4620-9D74-71FCD71F64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6.0000000000000031E-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MFP_calc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6.0000000000000031E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PDF-MFP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978933554358339"/>
          <c:y val="4.3650793650793648E-2"/>
          <c:w val="0.47553368328958878"/>
          <c:h val="0.82379640044994373"/>
        </c:manualLayout>
      </c:layout>
      <c:scatterChart>
        <c:scatterStyle val="lineMarker"/>
        <c:varyColors val="0"/>
        <c:ser>
          <c:idx val="4"/>
          <c:order val="0"/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 (2)'!$CJ$5:$CJ$7</c:f>
              <c:numCache>
                <c:formatCode>0.00E+00</c:formatCode>
                <c:ptCount val="3"/>
                <c:pt idx="0">
                  <c:v>2206444.098706001</c:v>
                </c:pt>
                <c:pt idx="1">
                  <c:v>1877415.8068459837</c:v>
                </c:pt>
                <c:pt idx="2">
                  <c:v>1487858.4002812887</c:v>
                </c:pt>
              </c:numCache>
            </c:numRef>
          </c:xVal>
          <c:yVal>
            <c:numRef>
              <c:f>'MFP-PDF_Avg (2)'!$CA$5:$CA$7</c:f>
              <c:numCache>
                <c:formatCode>0.00E+00</c:formatCode>
                <c:ptCount val="3"/>
                <c:pt idx="0">
                  <c:v>2299027.692598009</c:v>
                </c:pt>
                <c:pt idx="1">
                  <c:v>1849136.7861885792</c:v>
                </c:pt>
                <c:pt idx="2">
                  <c:v>1506961.5069615068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A7-4BF9-9213-69AD1DAF671A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 (2)'!$CJ$8:$CJ$10</c:f>
              <c:numCache>
                <c:formatCode>0.00E+00</c:formatCode>
                <c:ptCount val="3"/>
                <c:pt idx="0">
                  <c:v>5598313.4676292688</c:v>
                </c:pt>
                <c:pt idx="1">
                  <c:v>3812902.737381292</c:v>
                </c:pt>
                <c:pt idx="2">
                  <c:v>2597779.8258009027</c:v>
                </c:pt>
              </c:numCache>
            </c:numRef>
          </c:xVal>
          <c:yVal>
            <c:numRef>
              <c:f>'MFP-PDF_Avg (2)'!$CA$8:$CA$10</c:f>
              <c:numCache>
                <c:formatCode>0.00E+00</c:formatCode>
                <c:ptCount val="3"/>
                <c:pt idx="0">
                  <c:v>4521126.760563381</c:v>
                </c:pt>
                <c:pt idx="1">
                  <c:v>3250000</c:v>
                </c:pt>
                <c:pt idx="2">
                  <c:v>2200657.8947368423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A7-4BF9-9213-69AD1DAF671A}"/>
            </c:ext>
          </c:extLst>
        </c:ser>
        <c:ser>
          <c:idx val="1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'MFP-PDF_Avg (2)'!$CJ$13:$CJ$15</c:f>
              <c:numCache>
                <c:formatCode>0.00E+00</c:formatCode>
                <c:ptCount val="3"/>
                <c:pt idx="0">
                  <c:v>1613671.7993952532</c:v>
                </c:pt>
                <c:pt idx="1">
                  <c:v>1869096.0950202839</c:v>
                </c:pt>
              </c:numCache>
            </c:numRef>
          </c:xVal>
          <c:yVal>
            <c:numRef>
              <c:f>'MFP-PDF_Avg (2)'!$CA$13:$CA$15</c:f>
              <c:numCache>
                <c:formatCode>0.00E+00</c:formatCode>
                <c:ptCount val="3"/>
                <c:pt idx="0">
                  <c:v>1628871.8794256966</c:v>
                </c:pt>
                <c:pt idx="1">
                  <c:v>1928974.5850302745</c:v>
                </c:pt>
                <c:pt idx="2">
                  <c:v>1799756.6027023955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2A7-4BF9-9213-69AD1DAF671A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'MFP-PDF_Avg (2)'!$CH$18:$CH$20</c:f>
              <c:numCache>
                <c:formatCode>General</c:formatCode>
                <c:ptCount val="3"/>
                <c:pt idx="0">
                  <c:v>4148562.4961009878</c:v>
                </c:pt>
                <c:pt idx="1">
                  <c:v>4015277.2732061055</c:v>
                </c:pt>
                <c:pt idx="2">
                  <c:v>4167395.8887993586</c:v>
                </c:pt>
              </c:numCache>
            </c:numRef>
          </c:xVal>
          <c:yVal>
            <c:numRef>
              <c:f>'MFP-PDF_Avg (2)'!$CA$18:$CA$20</c:f>
              <c:numCache>
                <c:formatCode>0.00E+00</c:formatCode>
                <c:ptCount val="3"/>
                <c:pt idx="0">
                  <c:v>4323157.1595853949</c:v>
                </c:pt>
                <c:pt idx="1">
                  <c:v>3402318.9027080508</c:v>
                </c:pt>
                <c:pt idx="2">
                  <c:v>4192480.558023226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2A7-4BF9-9213-69AD1DAF671A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'MFP-PDF_Avg (2)'!$CH$21:$CH$22</c:f>
              <c:numCache>
                <c:formatCode>General</c:formatCode>
                <c:ptCount val="2"/>
                <c:pt idx="0">
                  <c:v>1974353.8841670761</c:v>
                </c:pt>
                <c:pt idx="1">
                  <c:v>1515117.258248803</c:v>
                </c:pt>
              </c:numCache>
            </c:numRef>
          </c:xVal>
          <c:yVal>
            <c:numRef>
              <c:f>'MFP-PDF_Avg (2)'!$CA$21:$CA$22</c:f>
              <c:numCache>
                <c:formatCode>0.00E+00</c:formatCode>
                <c:ptCount val="2"/>
                <c:pt idx="0">
                  <c:v>2156336.4385642763</c:v>
                </c:pt>
                <c:pt idx="1">
                  <c:v>2149770.3220167966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2A7-4BF9-9213-69AD1DAF671A}"/>
            </c:ext>
          </c:extLst>
        </c:ser>
        <c:ser>
          <c:idx val="2"/>
          <c:order val="5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 (2)'!$CH$23</c:f>
              <c:numCache>
                <c:formatCode>General</c:formatCode>
                <c:ptCount val="1"/>
                <c:pt idx="0">
                  <c:v>4519039.7092508962</c:v>
                </c:pt>
              </c:numCache>
            </c:numRef>
          </c:xVal>
          <c:yVal>
            <c:numRef>
              <c:f>'MFP-PDF_Avg (2)'!$CA$23</c:f>
              <c:numCache>
                <c:formatCode>0.00E+00</c:formatCode>
                <c:ptCount val="1"/>
                <c:pt idx="0">
                  <c:v>4183129.8557158709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2A7-4BF9-9213-69AD1DAF671A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.000000000000001E-2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7000000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7000000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72A7-4BF9-9213-69AD1DAF6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70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C_p,calc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E+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  <c:majorUnit val="1000000"/>
      </c:valAx>
      <c:valAx>
        <c:axId val="689706896"/>
        <c:scaling>
          <c:orientation val="minMax"/>
          <c:max val="7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C_p,measured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635608048993876E-2"/>
              <c:y val="0.305791776027996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67928926647326981"/>
          <c:y val="0.28199183435403907"/>
          <c:w val="0.30383133029423953"/>
          <c:h val="0.575234762321376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00991542723829"/>
          <c:y val="4.3650793650793648E-2"/>
          <c:w val="0.51074058688893342"/>
          <c:h val="0.80527777777777776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 (2)'!$BY$5:$BY$7</c:f>
              <c:numCache>
                <c:formatCode>0.00E+00</c:formatCode>
                <c:ptCount val="3"/>
                <c:pt idx="0">
                  <c:v>2281.7606671283352</c:v>
                </c:pt>
                <c:pt idx="1">
                  <c:v>1913.2083703482324</c:v>
                </c:pt>
                <c:pt idx="2">
                  <c:v>1576.8536237777657</c:v>
                </c:pt>
              </c:numCache>
            </c:numRef>
          </c:xVal>
          <c:yVal>
            <c:numRef>
              <c:f>'MFP-PDF_Avg (2)'!$BU$5:$BU$7</c:f>
              <c:numCache>
                <c:formatCode>0.00E+00</c:formatCode>
                <c:ptCount val="3"/>
                <c:pt idx="0">
                  <c:v>2771.1987250000002</c:v>
                </c:pt>
                <c:pt idx="1">
                  <c:v>2231.84</c:v>
                </c:pt>
                <c:pt idx="2">
                  <c:v>1978.5919999999999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2B-4B97-98C4-A710E2D3393E}"/>
            </c:ext>
          </c:extLst>
        </c:ser>
        <c:ser>
          <c:idx val="0"/>
          <c:order val="1"/>
          <c:tx>
            <c:v>Pure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 (2)'!$BY$8:$BY$10</c:f>
              <c:numCache>
                <c:formatCode>0.00E+00</c:formatCode>
                <c:ptCount val="3"/>
                <c:pt idx="0">
                  <c:v>3166.2152952805809</c:v>
                </c:pt>
                <c:pt idx="1">
                  <c:v>2335.2084630418126</c:v>
                </c:pt>
                <c:pt idx="2">
                  <c:v>2060.498975840947</c:v>
                </c:pt>
              </c:numCache>
            </c:numRef>
          </c:xVal>
          <c:yVal>
            <c:numRef>
              <c:f>'MFP-PDF_Avg (2)'!$BU$8:$BU$10</c:f>
              <c:numCache>
                <c:formatCode>0.00E+00</c:formatCode>
                <c:ptCount val="3"/>
                <c:pt idx="0">
                  <c:v>3023.9</c:v>
                </c:pt>
                <c:pt idx="1">
                  <c:v>2402.75</c:v>
                </c:pt>
                <c:pt idx="2">
                  <c:v>2088.1999999999998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2B-4B97-98C4-A710E2D3393E}"/>
            </c:ext>
          </c:extLst>
        </c:ser>
        <c:ser>
          <c:idx val="1"/>
          <c:order val="2"/>
          <c:tx>
            <c:v>Alkaline Earth Chlorides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'MFP-PDF_Avg (2)'!$BY$13:$BY$15</c:f>
              <c:numCache>
                <c:formatCode>0.00E+00</c:formatCode>
                <c:ptCount val="3"/>
                <c:pt idx="0">
                  <c:v>2332.5102491245016</c:v>
                </c:pt>
                <c:pt idx="1">
                  <c:v>1901.8047937934937</c:v>
                </c:pt>
                <c:pt idx="2">
                  <c:v>1272.0412136516466</c:v>
                </c:pt>
              </c:numCache>
            </c:numRef>
          </c:xVal>
          <c:yVal>
            <c:numRef>
              <c:f>'MFP-PDF_Avg (2)'!$BU$13:$BU$15</c:f>
              <c:numCache>
                <c:formatCode>0.00E+00</c:formatCode>
                <c:ptCount val="3"/>
                <c:pt idx="0">
                  <c:v>2750.5</c:v>
                </c:pt>
                <c:pt idx="1">
                  <c:v>2132.5150000000003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82B-4B97-98C4-A710E2D3393E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'MFP-PDF_Avg (2)'!$BX$18:$BX$20</c:f>
              <c:numCache>
                <c:formatCode>0.00E+00</c:formatCode>
                <c:ptCount val="3"/>
                <c:pt idx="0">
                  <c:v>3014.7958403196781</c:v>
                </c:pt>
                <c:pt idx="1">
                  <c:v>2363.979295927822</c:v>
                </c:pt>
                <c:pt idx="2">
                  <c:v>2588.5890241203952</c:v>
                </c:pt>
              </c:numCache>
            </c:numRef>
          </c:xVal>
          <c:yVal>
            <c:numRef>
              <c:f>'MFP-PDF_Avg (2)'!$BT$18:$BT$20</c:f>
              <c:numCache>
                <c:formatCode>0.0000E+00</c:formatCode>
                <c:ptCount val="3"/>
                <c:pt idx="0">
                  <c:v>2547.6863757231322</c:v>
                </c:pt>
                <c:pt idx="1">
                  <c:v>2012.468707779205</c:v>
                </c:pt>
                <c:pt idx="2">
                  <c:v>2298.228366828082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82B-4B97-98C4-A710E2D3393E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'MFP-PDF_Avg (2)'!$BX$21:$BX$22</c:f>
              <c:numCache>
                <c:formatCode>0.00E+00</c:formatCode>
                <c:ptCount val="2"/>
                <c:pt idx="0">
                  <c:v>1332.9578486026016</c:v>
                </c:pt>
                <c:pt idx="1">
                  <c:v>1039.4331216672322</c:v>
                </c:pt>
              </c:numCache>
            </c:numRef>
          </c:xVal>
          <c:yVal>
            <c:numRef>
              <c:f>'MFP-PDF_Avg (2)'!$BT$21:$BT$22</c:f>
              <c:numCache>
                <c:formatCode>0.0000E+00</c:formatCode>
                <c:ptCount val="2"/>
                <c:pt idx="0">
                  <c:v>1451.7494609289899</c:v>
                </c:pt>
                <c:pt idx="1">
                  <c:v>1470.4555590061771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82B-4B97-98C4-A710E2D3393E}"/>
            </c:ext>
          </c:extLst>
        </c:ser>
        <c:ser>
          <c:idx val="2"/>
          <c:order val="5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 (2)'!$BX$23</c:f>
              <c:numCache>
                <c:formatCode>0.00E+00</c:formatCode>
                <c:ptCount val="1"/>
                <c:pt idx="0">
                  <c:v>1515.6624180374595</c:v>
                </c:pt>
              </c:numCache>
            </c:numRef>
          </c:xVal>
          <c:yVal>
            <c:numRef>
              <c:f>'MFP-PDF_Avg (2)'!$BT$23</c:f>
              <c:numCache>
                <c:formatCode>0.0000E+00</c:formatCode>
                <c:ptCount val="1"/>
                <c:pt idx="0">
                  <c:v>1403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82B-4B97-98C4-A710E2D3393E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6000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6000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982B-4B97-98C4-A710E2D33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vs_calc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v_sound_metal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66593759113446"/>
          <c:y val="5.9523809523809521E-2"/>
          <c:w val="0.56891659375911341"/>
          <c:h val="0.77617745698454343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 (2)'!$BF$5:$BF$7</c:f>
              <c:numCache>
                <c:formatCode>0.000000</c:formatCode>
                <c:ptCount val="3"/>
                <c:pt idx="0">
                  <c:v>0.76015224669760251</c:v>
                </c:pt>
                <c:pt idx="1">
                  <c:v>0.55353738599907809</c:v>
                </c:pt>
                <c:pt idx="2">
                  <c:v>0.45527649679112014</c:v>
                </c:pt>
              </c:numCache>
            </c:numRef>
          </c:xVal>
          <c:yVal>
            <c:numRef>
              <c:f>'MFP-PDF_Avg (2)'!$AP$5:$AP$7</c:f>
              <c:numCache>
                <c:formatCode>General</c:formatCode>
                <c:ptCount val="3"/>
                <c:pt idx="0">
                  <c:v>0.61260000000000003</c:v>
                </c:pt>
                <c:pt idx="1">
                  <c:v>0.46649999999999997</c:v>
                </c:pt>
                <c:pt idx="2">
                  <c:v>0.35505000000000003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C7-413C-AA66-FD51010E2DFE}"/>
            </c:ext>
          </c:extLst>
        </c:ser>
        <c:ser>
          <c:idx val="1"/>
          <c:order val="1"/>
          <c:tx>
            <c:v>Pure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 (2)'!$BF$8:$BF$10</c:f>
              <c:numCache>
                <c:formatCode>0.000000</c:formatCode>
                <c:ptCount val="3"/>
                <c:pt idx="0">
                  <c:v>1.2835318766111998</c:v>
                </c:pt>
                <c:pt idx="1">
                  <c:v>0.84980152002576392</c:v>
                </c:pt>
                <c:pt idx="2">
                  <c:v>0.58299891529503312</c:v>
                </c:pt>
              </c:numCache>
            </c:numRef>
          </c:xVal>
          <c:yVal>
            <c:numRef>
              <c:f>'MFP-PDF_Avg (2)'!$AP$8:$AP$10</c:f>
              <c:numCache>
                <c:formatCode>General</c:formatCode>
                <c:ptCount val="3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7C7-413C-AA66-FD51010E2DFE}"/>
            </c:ext>
          </c:extLst>
        </c:ser>
        <c:ser>
          <c:idx val="7"/>
          <c:order val="2"/>
          <c:tx>
            <c:v>Alkaline Earth Chlorides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'MFP-PDF_Avg (2)'!$BF$13:$BF$15</c:f>
              <c:numCache>
                <c:formatCode>0.000000</c:formatCode>
                <c:ptCount val="3"/>
                <c:pt idx="0">
                  <c:v>0.53865932656527438</c:v>
                </c:pt>
                <c:pt idx="1">
                  <c:v>0.49477856340506143</c:v>
                </c:pt>
              </c:numCache>
            </c:numRef>
          </c:xVal>
          <c:yVal>
            <c:numRef>
              <c:f>'MFP-PDF_Avg (2)'!$AP$13:$AP$15</c:f>
              <c:numCache>
                <c:formatCode>General</c:formatCode>
                <c:ptCount val="3"/>
                <c:pt idx="0">
                  <c:v>0.45680000000000004</c:v>
                </c:pt>
                <c:pt idx="1">
                  <c:v>0.44125000000000003</c:v>
                </c:pt>
                <c:pt idx="2">
                  <c:v>0.37705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7C7-413C-AA66-FD51010E2DFE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'MFP-PDF_Avg (2)'!$BC$18:$BC$20</c:f>
              <c:numCache>
                <c:formatCode>0.000000</c:formatCode>
                <c:ptCount val="3"/>
                <c:pt idx="0">
                  <c:v>1.2641169574941</c:v>
                </c:pt>
                <c:pt idx="1">
                  <c:v>0.84284465559077204</c:v>
                </c:pt>
                <c:pt idx="2">
                  <c:v>0.93676902087574598</c:v>
                </c:pt>
              </c:numCache>
            </c:numRef>
          </c:xVal>
          <c:yVal>
            <c:numRef>
              <c:f>('MFP-PDF_Avg (2)'!$AP$18,'MFP-PDF_Avg (2)'!$AP$19,'MFP-PDF_Avg (2)'!$AP$20)</c:f>
              <c:numCache>
                <c:formatCode>General</c:formatCode>
                <c:ptCount val="3"/>
                <c:pt idx="0">
                  <c:v>1.1000000000000001</c:v>
                </c:pt>
                <c:pt idx="1">
                  <c:v>0.84457000000000004</c:v>
                </c:pt>
                <c:pt idx="2">
                  <c:v>0.87448810843065394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7C7-413C-AA66-FD51010E2DFE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9.3845873432487625E-2"/>
                  <c:y val="9.8049462567179099E-2"/>
                </c:manualLayout>
              </c:layout>
              <c:tx>
                <c:rich>
                  <a:bodyPr/>
                  <a:lstStyle/>
                  <a:p>
                    <a:fld id="{4E0BA487-CCDC-4FE7-BE25-673E4F54B5AB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328813065033539"/>
                      <c:h val="9.793182102237219E-2"/>
                    </c:manualLayout>
                  </c15:layout>
                  <c15:dlblFieldTable>
                    <c15:dlblFTEntry>
                      <c15:txfldGUID>{4E0BA487-CCDC-4FE7-BE25-673E4F54B5AB}</c15:txfldGUID>
                      <c15:f>'MFP-PDF_Avg (2)'!$A$21</c15:f>
                      <c15:dlblFieldTableCache>
                        <c:ptCount val="1"/>
                        <c:pt idx="0">
                          <c:v>0.63NaCl-0.37UCl3 (ORNL)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57C7-413C-AA66-FD51010E2DFE}"/>
                </c:ext>
              </c:extLst>
            </c:dLbl>
            <c:dLbl>
              <c:idx val="1"/>
              <c:layout>
                <c:manualLayout>
                  <c:x val="3.1089929548280139E-2"/>
                  <c:y val="1.568788276465432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48043BA-4F93-455A-BDFD-BB5447868CFE}" type="CELLREF">
                      <a:rPr lang="en-US"/>
                      <a:pPr>
                        <a:defRPr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342772942855827"/>
                      <c:h val="9.7931758530183724E-2"/>
                    </c:manualLayout>
                  </c15:layout>
                  <c15:dlblFieldTable>
                    <c15:dlblFTEntry>
                      <c15:txfldGUID>{F48043BA-4F93-455A-BDFD-BB5447868CFE}</c15:txfldGUID>
                      <c15:f>'MFP-PDF_Avg (2)'!$A$22</c15:f>
                      <c15:dlblFieldTableCache>
                        <c:ptCount val="1"/>
                        <c:pt idx="0">
                          <c:v>0.658NaCl-0.342UCl3 (ANL)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57C7-413C-AA66-FD51010E2D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'MFP-PDF_Avg (2)'!$BC$21:$BC$22</c:f>
              <c:numCache>
                <c:formatCode>0.000000</c:formatCode>
                <c:ptCount val="2"/>
                <c:pt idx="0">
                  <c:v>0.30884033107708703</c:v>
                </c:pt>
                <c:pt idx="1">
                  <c:v>0.32145693534244602</c:v>
                </c:pt>
              </c:numCache>
            </c:numRef>
          </c:xVal>
          <c:yVal>
            <c:numRef>
              <c:f>'MFP-PDF_Avg (2)'!$AP$21:$AP$22</c:f>
              <c:numCache>
                <c:formatCode>General</c:formatCode>
                <c:ptCount val="2"/>
                <c:pt idx="0">
                  <c:v>0.28277596034850733</c:v>
                </c:pt>
                <c:pt idx="1">
                  <c:v>0.22655673749565519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7C7-413C-AA66-FD51010E2DFE}"/>
            </c:ext>
          </c:extLst>
        </c:ser>
        <c:ser>
          <c:idx val="2"/>
          <c:order val="5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 (2)'!$BC$23</c:f>
              <c:numCache>
                <c:formatCode>0.000000</c:formatCode>
                <c:ptCount val="1"/>
                <c:pt idx="0">
                  <c:v>0.55623382223307438</c:v>
                </c:pt>
              </c:numCache>
            </c:numRef>
          </c:xVal>
          <c:yVal>
            <c:numRef>
              <c:f>'MFP-PDF_Avg (2)'!$AP$23</c:f>
              <c:numCache>
                <c:formatCode>General</c:formatCode>
                <c:ptCount val="1"/>
                <c:pt idx="0">
                  <c:v>0.60089999999999999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7C7-413C-AA66-FD51010E2DFE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C-57C7-413C-AA66-FD51010E2DFE}"/>
            </c:ext>
          </c:extLst>
        </c:ser>
        <c:ser>
          <c:idx val="0"/>
          <c:order val="7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1.9494405304600084E-2"/>
                  <c:y val="1.644794400699912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'MFP-PDF_Avg (2)'!$BF$5:$BF$23</c:f>
              <c:numCache>
                <c:formatCode>0.000000</c:formatCode>
                <c:ptCount val="19"/>
                <c:pt idx="0">
                  <c:v>0.76015224669760251</c:v>
                </c:pt>
                <c:pt idx="1">
                  <c:v>0.55353738599907809</c:v>
                </c:pt>
                <c:pt idx="2">
                  <c:v>0.45527649679112014</c:v>
                </c:pt>
                <c:pt idx="3">
                  <c:v>1.2835318766111998</c:v>
                </c:pt>
                <c:pt idx="4">
                  <c:v>0.84980152002576392</c:v>
                </c:pt>
                <c:pt idx="5">
                  <c:v>0.58299891529503312</c:v>
                </c:pt>
                <c:pt idx="8">
                  <c:v>0.53865932656527438</c:v>
                </c:pt>
                <c:pt idx="9">
                  <c:v>0.49477856340506143</c:v>
                </c:pt>
                <c:pt idx="13">
                  <c:v>1.2641169574941</c:v>
                </c:pt>
                <c:pt idx="14">
                  <c:v>0.84284465559077204</c:v>
                </c:pt>
                <c:pt idx="15">
                  <c:v>0.93676902087574598</c:v>
                </c:pt>
                <c:pt idx="16">
                  <c:v>0.30884033107708703</c:v>
                </c:pt>
                <c:pt idx="17">
                  <c:v>0.32145693534244602</c:v>
                </c:pt>
                <c:pt idx="18">
                  <c:v>0.55623382223307438</c:v>
                </c:pt>
              </c:numCache>
            </c:numRef>
          </c:xVal>
          <c:yVal>
            <c:numRef>
              <c:f>'MFP-PDF_Avg (2)'!$AP$5:$AP$23</c:f>
              <c:numCache>
                <c:formatCode>General</c:formatCode>
                <c:ptCount val="19"/>
                <c:pt idx="0">
                  <c:v>0.61260000000000003</c:v>
                </c:pt>
                <c:pt idx="1">
                  <c:v>0.46649999999999997</c:v>
                </c:pt>
                <c:pt idx="2">
                  <c:v>0.35505000000000003</c:v>
                </c:pt>
                <c:pt idx="3">
                  <c:v>1.33125</c:v>
                </c:pt>
                <c:pt idx="4">
                  <c:v>0.82789999999999997</c:v>
                </c:pt>
                <c:pt idx="5">
                  <c:v>0.56999999999999995</c:v>
                </c:pt>
                <c:pt idx="6">
                  <c:v>0.48965000000000003</c:v>
                </c:pt>
                <c:pt idx="7">
                  <c:v>0.36715000000000003</c:v>
                </c:pt>
                <c:pt idx="8">
                  <c:v>0.45680000000000004</c:v>
                </c:pt>
                <c:pt idx="9">
                  <c:v>0.44125000000000003</c:v>
                </c:pt>
                <c:pt idx="10">
                  <c:v>0.37705</c:v>
                </c:pt>
                <c:pt idx="11">
                  <c:v>0.51224999999999998</c:v>
                </c:pt>
                <c:pt idx="12">
                  <c:v>0.40920000000000001</c:v>
                </c:pt>
                <c:pt idx="13">
                  <c:v>1.1000000000000001</c:v>
                </c:pt>
                <c:pt idx="14">
                  <c:v>0.84457000000000004</c:v>
                </c:pt>
                <c:pt idx="15">
                  <c:v>0.87448810843065394</c:v>
                </c:pt>
                <c:pt idx="16">
                  <c:v>0.28277596034850733</c:v>
                </c:pt>
                <c:pt idx="17">
                  <c:v>0.22655673749565519</c:v>
                </c:pt>
                <c:pt idx="18">
                  <c:v>0.60089999999999999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7C7-413C-AA66-FD51010E2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.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_predicted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  <c:majorUnit val="0.2"/>
      </c:valAx>
      <c:valAx>
        <c:axId val="689706896"/>
        <c:scaling>
          <c:orientation val="minMax"/>
          <c:max val="1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  <c:minorUnit val="4.0000000000000008E-2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0.67247133581986451"/>
          <c:y val="0.30869459025955087"/>
          <c:w val="0.30383133029423953"/>
          <c:h val="0.691305409740449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95460239568026"/>
          <c:y val="2.9761956838728492E-2"/>
          <c:w val="0.48245913339779894"/>
          <c:h val="0.82313502478856815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 (2)'!$BQ$5:$BQ$7</c:f>
              <c:numCache>
                <c:formatCode>0.00E+00</c:formatCode>
                <c:ptCount val="3"/>
                <c:pt idx="0">
                  <c:v>2.8274314725770407E-10</c:v>
                </c:pt>
                <c:pt idx="1">
                  <c:v>4.3666061141086727E-10</c:v>
                </c:pt>
                <c:pt idx="2">
                  <c:v>6.0239778823272075E-10</c:v>
                </c:pt>
              </c:numCache>
            </c:numRef>
          </c:xVal>
          <c:yVal>
            <c:numRef>
              <c:f>'MFP-PDF_Avg (2)'!$BM$5:$BM$7</c:f>
              <c:numCache>
                <c:formatCode>0.00E+00</c:formatCode>
                <c:ptCount val="3"/>
                <c:pt idx="0">
                  <c:v>3.4962685503166299E-10</c:v>
                </c:pt>
                <c:pt idx="1">
                  <c:v>3.94560844611702E-10</c:v>
                </c:pt>
                <c:pt idx="2">
                  <c:v>4.4781785313967899E-10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DD-42B5-AE4D-42555F098D8B}"/>
            </c:ext>
          </c:extLst>
        </c:ser>
        <c:ser>
          <c:idx val="0"/>
          <c:order val="1"/>
          <c:tx>
            <c:v>Pure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 (2)'!$BQ$8:$BQ$10</c:f>
              <c:numCache>
                <c:formatCode>0.00E+00</c:formatCode>
                <c:ptCount val="3"/>
                <c:pt idx="0">
                  <c:v>1.3451681831536558E-10</c:v>
                </c:pt>
                <c:pt idx="1">
                  <c:v>2.3520518125231158E-10</c:v>
                </c:pt>
                <c:pt idx="2">
                  <c:v>3.9659838213004971E-10</c:v>
                </c:pt>
              </c:numCache>
            </c:numRef>
          </c:xVal>
          <c:yVal>
            <c:numRef>
              <c:f>'MFP-PDF_Avg (2)'!$BM$8:$BM$10</c:f>
              <c:numCache>
                <c:formatCode>0.00E+00</c:formatCode>
                <c:ptCount val="3"/>
                <c:pt idx="0">
                  <c:v>2.8180134413727398E-10</c:v>
                </c:pt>
                <c:pt idx="1">
                  <c:v>3.2627770249126501E-10</c:v>
                </c:pt>
                <c:pt idx="2">
                  <c:v>3.77434584703857E-10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DD-42B5-AE4D-42555F098D8B}"/>
            </c:ext>
          </c:extLst>
        </c:ser>
        <c:ser>
          <c:idx val="1"/>
          <c:order val="2"/>
          <c:tx>
            <c:v>Alkaline Earth Chlorides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'MFP-PDF_Avg (2)'!$BQ$13:$BQ$15</c:f>
              <c:numCache>
                <c:formatCode>0.00E+00</c:formatCode>
                <c:ptCount val="3"/>
                <c:pt idx="0">
                  <c:v>4.1020379330062789E-10</c:v>
                </c:pt>
                <c:pt idx="1">
                  <c:v>4.4676551859470942E-10</c:v>
                </c:pt>
              </c:numCache>
            </c:numRef>
          </c:xVal>
          <c:yVal>
            <c:numRef>
              <c:f>'MFP-PDF_Avg (2)'!$BM$13:$BM$15</c:f>
              <c:numCache>
                <c:formatCode>0.00E+00</c:formatCode>
                <c:ptCount val="3"/>
                <c:pt idx="0">
                  <c:v>3.60692293590982E-10</c:v>
                </c:pt>
                <c:pt idx="1">
                  <c:v>3.6083904908456901E-10</c:v>
                </c:pt>
                <c:pt idx="2">
                  <c:v>4.9408906438577101E-10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DD-42B5-AE4D-42555F098D8B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'MFP-PDF_Avg (2)'!$BO$18:$BO$20</c:f>
              <c:numCache>
                <c:formatCode>General</c:formatCode>
                <c:ptCount val="3"/>
                <c:pt idx="0">
                  <c:v>1.7925891125038326E-10</c:v>
                </c:pt>
                <c:pt idx="1">
                  <c:v>2.6008382143302827E-10</c:v>
                </c:pt>
                <c:pt idx="2">
                  <c:v>2.4028944916294775E-10</c:v>
                </c:pt>
              </c:numCache>
            </c:numRef>
          </c:xVal>
          <c:yVal>
            <c:numRef>
              <c:f>'MFP-PDF_Avg (2)'!$BL$18:$BL$20</c:f>
              <c:numCache>
                <c:formatCode>0.00E+00</c:formatCode>
                <c:ptCount val="3"/>
                <c:pt idx="0">
                  <c:v>2.06003844994128E-10</c:v>
                </c:pt>
                <c:pt idx="1">
                  <c:v>2.5955250470707202E-10</c:v>
                </c:pt>
                <c:pt idx="2">
                  <c:v>2.4173581555363199E-10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2DD-42B5-AE4D-42555F098D8B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'MFP-PDF_Avg (2)'!$BO$21:$BO$22</c:f>
              <c:numCache>
                <c:formatCode>General</c:formatCode>
                <c:ptCount val="2"/>
                <c:pt idx="0">
                  <c:v>2.9017778590838672E-10</c:v>
                </c:pt>
                <c:pt idx="1">
                  <c:v>2.2336229748837205E-10</c:v>
                </c:pt>
              </c:numCache>
            </c:numRef>
          </c:xVal>
          <c:yVal>
            <c:numRef>
              <c:f>'MFP-PDF_Avg (2)'!$BL$21:$BL$22</c:f>
              <c:numCache>
                <c:formatCode>0.00E+00</c:formatCode>
                <c:ptCount val="2"/>
                <c:pt idx="0">
                  <c:v>3.1692440673072701E-10</c:v>
                </c:pt>
                <c:pt idx="1">
                  <c:v>3.1692440673072701E-10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2DD-42B5-AE4D-42555F098D8B}"/>
            </c:ext>
          </c:extLst>
        </c:ser>
        <c:ser>
          <c:idx val="2"/>
          <c:order val="5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 (2)'!$BO$23</c:f>
              <c:numCache>
                <c:formatCode>0.00E+00</c:formatCode>
                <c:ptCount val="1"/>
                <c:pt idx="0">
                  <c:v>3.0715984604116529E-10</c:v>
                </c:pt>
              </c:numCache>
            </c:numRef>
          </c:xVal>
          <c:yVal>
            <c:numRef>
              <c:f>'MFP-PDF_Avg (2)'!$BL$23</c:f>
              <c:numCache>
                <c:formatCode>0.00E+00</c:formatCode>
                <c:ptCount val="1"/>
                <c:pt idx="0">
                  <c:v>2.8432800000000002E-10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2DD-42B5-AE4D-42555F098D8B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9.9999999999999994E-12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9.9999999999999994E-12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62DD-42B5-AE4D-42555F098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6.0000000000000031E-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MFP_calc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6.0000000000000031E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PDF-MFP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978933554358339"/>
          <c:y val="4.3650793650793648E-2"/>
          <c:w val="0.47553368328958878"/>
          <c:h val="0.82379640044994373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 (2)'!$CK$5:$CK$7</c:f>
              <c:numCache>
                <c:formatCode>0.00E+00</c:formatCode>
                <c:ptCount val="3"/>
                <c:pt idx="0">
                  <c:v>1896818.5711249504</c:v>
                </c:pt>
                <c:pt idx="1">
                  <c:v>1589263.3245561766</c:v>
                </c:pt>
                <c:pt idx="2">
                  <c:v>1202134.6611366211</c:v>
                </c:pt>
              </c:numCache>
            </c:numRef>
          </c:xVal>
          <c:yVal>
            <c:numRef>
              <c:f>'MFP-PDF_Avg (2)'!$CA$5:$CA$7</c:f>
              <c:numCache>
                <c:formatCode>0.00E+00</c:formatCode>
                <c:ptCount val="3"/>
                <c:pt idx="0">
                  <c:v>2299027.692598009</c:v>
                </c:pt>
                <c:pt idx="1">
                  <c:v>1849136.7861885792</c:v>
                </c:pt>
                <c:pt idx="2">
                  <c:v>1506961.5069615068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01-418D-8972-940AF8D60065}"/>
            </c:ext>
          </c:extLst>
        </c:ser>
        <c:ser>
          <c:idx val="0"/>
          <c:order val="1"/>
          <c:tx>
            <c:v>Pure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 (2)'!$CK$8:$CK$10</c:f>
              <c:numCache>
                <c:formatCode>0.00E+00</c:formatCode>
                <c:ptCount val="3"/>
                <c:pt idx="0">
                  <c:v>4686734.9150770986</c:v>
                </c:pt>
                <c:pt idx="1">
                  <c:v>3168131.1809051814</c:v>
                </c:pt>
                <c:pt idx="2">
                  <c:v>2169613.2600676906</c:v>
                </c:pt>
              </c:numCache>
            </c:numRef>
          </c:xVal>
          <c:yVal>
            <c:numRef>
              <c:f>'MFP-PDF_Avg (2)'!$CA$8:$CA$10</c:f>
              <c:numCache>
                <c:formatCode>0.00E+00</c:formatCode>
                <c:ptCount val="3"/>
                <c:pt idx="0">
                  <c:v>4521126.760563381</c:v>
                </c:pt>
                <c:pt idx="1">
                  <c:v>3250000</c:v>
                </c:pt>
                <c:pt idx="2">
                  <c:v>2200657.8947368423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01-418D-8972-940AF8D60065}"/>
            </c:ext>
          </c:extLst>
        </c:ser>
        <c:ser>
          <c:idx val="1"/>
          <c:order val="2"/>
          <c:tx>
            <c:v>Alkaline Earth Chlorides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'MFP-PDF_Avg (2)'!$CK$13:$CK$15</c:f>
              <c:numCache>
                <c:formatCode>0.00E+00</c:formatCode>
                <c:ptCount val="3"/>
                <c:pt idx="0">
                  <c:v>1381334.4312928959</c:v>
                </c:pt>
                <c:pt idx="1">
                  <c:v>1720284.7871721319</c:v>
                </c:pt>
              </c:numCache>
            </c:numRef>
          </c:xVal>
          <c:yVal>
            <c:numRef>
              <c:f>'MFP-PDF_Avg (2)'!$CA$13:$CA$15</c:f>
              <c:numCache>
                <c:formatCode>0.00E+00</c:formatCode>
                <c:ptCount val="3"/>
                <c:pt idx="0">
                  <c:v>1628871.8794256966</c:v>
                </c:pt>
                <c:pt idx="1">
                  <c:v>1928974.5850302745</c:v>
                </c:pt>
                <c:pt idx="2">
                  <c:v>1799756.6027023955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901-418D-8972-940AF8D60065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'MFP-PDF_Avg (2)'!$CH$18:$CH$20</c:f>
              <c:numCache>
                <c:formatCode>General</c:formatCode>
                <c:ptCount val="3"/>
                <c:pt idx="0">
                  <c:v>4148562.4961009878</c:v>
                </c:pt>
                <c:pt idx="1">
                  <c:v>4015277.2732061055</c:v>
                </c:pt>
                <c:pt idx="2">
                  <c:v>4167395.8887993586</c:v>
                </c:pt>
              </c:numCache>
            </c:numRef>
          </c:xVal>
          <c:yVal>
            <c:numRef>
              <c:f>'MFP-PDF_Avg (2)'!$CA$18:$CA$20</c:f>
              <c:numCache>
                <c:formatCode>0.00E+00</c:formatCode>
                <c:ptCount val="3"/>
                <c:pt idx="0">
                  <c:v>4323157.1595853949</c:v>
                </c:pt>
                <c:pt idx="1">
                  <c:v>3402318.9027080508</c:v>
                </c:pt>
                <c:pt idx="2">
                  <c:v>4192480.558023226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901-418D-8972-940AF8D60065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'MFP-PDF_Avg (2)'!$CH$21:$CH$22</c:f>
              <c:numCache>
                <c:formatCode>General</c:formatCode>
                <c:ptCount val="2"/>
                <c:pt idx="0">
                  <c:v>1974353.8841670761</c:v>
                </c:pt>
                <c:pt idx="1">
                  <c:v>1515117.258248803</c:v>
                </c:pt>
              </c:numCache>
            </c:numRef>
          </c:xVal>
          <c:yVal>
            <c:numRef>
              <c:f>'MFP-PDF_Avg (2)'!$CA$21:$CA$22</c:f>
              <c:numCache>
                <c:formatCode>0.00E+00</c:formatCode>
                <c:ptCount val="2"/>
                <c:pt idx="0">
                  <c:v>2156336.4385642763</c:v>
                </c:pt>
                <c:pt idx="1">
                  <c:v>2149770.3220167966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901-418D-8972-940AF8D60065}"/>
            </c:ext>
          </c:extLst>
        </c:ser>
        <c:ser>
          <c:idx val="2"/>
          <c:order val="5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 (2)'!$CH$23</c:f>
              <c:numCache>
                <c:formatCode>General</c:formatCode>
                <c:ptCount val="1"/>
                <c:pt idx="0">
                  <c:v>4519039.7092508962</c:v>
                </c:pt>
              </c:numCache>
            </c:numRef>
          </c:xVal>
          <c:yVal>
            <c:numRef>
              <c:f>'MFP-PDF_Avg (2)'!$CA$23</c:f>
              <c:numCache>
                <c:formatCode>0.00E+00</c:formatCode>
                <c:ptCount val="1"/>
                <c:pt idx="0">
                  <c:v>4183129.8557158709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901-418D-8972-940AF8D60065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.000000000000001E-2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7000000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7000000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5901-418D-8972-940AF8D60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70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C_p,calc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E+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  <c:majorUnit val="1000000"/>
      </c:valAx>
      <c:valAx>
        <c:axId val="689706896"/>
        <c:scaling>
          <c:orientation val="minMax"/>
          <c:max val="7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C_p,measured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635608048993876E-2"/>
              <c:y val="0.305791776027996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67928926647326981"/>
          <c:y val="0.28199183435403907"/>
          <c:w val="0.30383133029423953"/>
          <c:h val="0.575234762321376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95460239568026"/>
          <c:y val="2.9761956838728492E-2"/>
          <c:w val="0.48245913339779894"/>
          <c:h val="0.82313502478856815"/>
        </c:manualLayout>
      </c:layout>
      <c:scatterChart>
        <c:scatterStyle val="lineMarker"/>
        <c:varyColors val="0"/>
        <c:ser>
          <c:idx val="4"/>
          <c:order val="0"/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 (2)'!$AZ$5:$AZ$7</c:f>
              <c:numCache>
                <c:formatCode>General</c:formatCode>
                <c:ptCount val="3"/>
                <c:pt idx="0">
                  <c:v>2.927136541E-10</c:v>
                </c:pt>
                <c:pt idx="1">
                  <c:v>3.1580623349999998E-10</c:v>
                </c:pt>
                <c:pt idx="2">
                  <c:v>3.5060205590000002E-10</c:v>
                </c:pt>
              </c:numCache>
            </c:numRef>
          </c:xVal>
          <c:yVal>
            <c:numRef>
              <c:f>'MFP-PDF_Avg (2)'!$CN$5:$CN$7</c:f>
              <c:numCache>
                <c:formatCode>0.00E+00</c:formatCode>
                <c:ptCount val="3"/>
                <c:pt idx="0">
                  <c:v>1961303757.1305401</c:v>
                </c:pt>
                <c:pt idx="1">
                  <c:v>2635440131.8514771</c:v>
                </c:pt>
                <c:pt idx="2">
                  <c:v>2205762723.7573934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9F-400F-9A43-90956F6B3241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 (2)'!$AZ$8:$AZ$10</c:f>
              <c:numCache>
                <c:formatCode>General</c:formatCode>
                <c:ptCount val="3"/>
                <c:pt idx="0">
                  <c:v>2.3551445219999998E-10</c:v>
                </c:pt>
                <c:pt idx="1">
                  <c:v>2.6496648079999998E-10</c:v>
                </c:pt>
                <c:pt idx="2">
                  <c:v>3.0052360800000003E-10</c:v>
                </c:pt>
              </c:numCache>
            </c:numRef>
          </c:xVal>
          <c:yVal>
            <c:numRef>
              <c:f>'MFP-PDF_Avg (2)'!$CN$8:$CN$10</c:f>
              <c:numCache>
                <c:formatCode>0.00E+00</c:formatCode>
                <c:ptCount val="3"/>
                <c:pt idx="0">
                  <c:v>2197146030.5161104</c:v>
                </c:pt>
                <c:pt idx="1">
                  <c:v>2745105769.7939444</c:v>
                </c:pt>
                <c:pt idx="2">
                  <c:v>2569749634.2140079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9F-400F-9A43-90956F6B3241}"/>
            </c:ext>
          </c:extLst>
        </c:ser>
        <c:ser>
          <c:idx val="1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'MFP-PDF_Avg (2)'!$AZ$13:$AZ$15</c:f>
              <c:numCache>
                <c:formatCode>General</c:formatCode>
                <c:ptCount val="3"/>
                <c:pt idx="0">
                  <c:v>2.9252666850000001E-10</c:v>
                </c:pt>
                <c:pt idx="1">
                  <c:v>3.0154839680000001E-10</c:v>
                </c:pt>
                <c:pt idx="2">
                  <c:v>3.2712108429999999E-10</c:v>
                </c:pt>
              </c:numCache>
            </c:numRef>
          </c:xVal>
          <c:yVal>
            <c:numRef>
              <c:f>'MFP-PDF_Avg (2)'!$CN$13:$CN$15</c:f>
              <c:numCache>
                <c:formatCode>0.00E+00</c:formatCode>
                <c:ptCount val="3"/>
                <c:pt idx="0">
                  <c:v>1617409747.5848701</c:v>
                </c:pt>
                <c:pt idx="1">
                  <c:v>1283421056.6482842</c:v>
                </c:pt>
                <c:pt idx="2">
                  <c:v>1351317495.4836404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39F-400F-9A43-90956F6B3241}"/>
            </c:ext>
          </c:extLst>
        </c:ser>
        <c:ser>
          <c:idx val="5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'MFP-PDF_Avg (2)'!$AZ$18:$AZ$20</c:f>
              <c:numCache>
                <c:formatCode>General</c:formatCode>
                <c:ptCount val="3"/>
                <c:pt idx="0">
                  <c:v>2.090905522E-10</c:v>
                </c:pt>
                <c:pt idx="1">
                  <c:v>2.6189981379999998E-10</c:v>
                </c:pt>
                <c:pt idx="2">
                  <c:v>2.1702517760000003E-10</c:v>
                </c:pt>
              </c:numCache>
            </c:numRef>
          </c:xVal>
          <c:yVal>
            <c:numRef>
              <c:f>'MFP-PDF_Avg (2)'!$CN$18:$CN$20</c:f>
              <c:numCache>
                <c:formatCode>0.00E+00</c:formatCode>
                <c:ptCount val="3"/>
                <c:pt idx="0">
                  <c:v>260835447.80480725</c:v>
                </c:pt>
                <c:pt idx="1">
                  <c:v>352486078.0476563</c:v>
                </c:pt>
                <c:pt idx="2">
                  <c:v>1184747534.927346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39F-400F-9A43-90956F6B3241}"/>
            </c:ext>
          </c:extLst>
        </c:ser>
        <c:ser>
          <c:idx val="6"/>
          <c:order val="4"/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'MFP-PDF_Avg (2)'!$AZ$21:$AZ$22</c:f>
              <c:numCache>
                <c:formatCode>General</c:formatCode>
                <c:ptCount val="2"/>
                <c:pt idx="0">
                  <c:v>3.0068514500000001E-10</c:v>
                </c:pt>
                <c:pt idx="1">
                  <c:v>3.0068514500000001E-10</c:v>
                </c:pt>
              </c:numCache>
            </c:numRef>
          </c:xVal>
          <c:yVal>
            <c:numRef>
              <c:f>'MFP-PDF_Avg (2)'!$CN$21:$CN$22</c:f>
              <c:numCache>
                <c:formatCode>0.00E+00</c:formatCode>
                <c:ptCount val="2"/>
                <c:pt idx="0">
                  <c:v>540202773.11765659</c:v>
                </c:pt>
                <c:pt idx="1">
                  <c:v>727297673.99028981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39F-400F-9A43-90956F6B3241}"/>
            </c:ext>
          </c:extLst>
        </c:ser>
        <c:ser>
          <c:idx val="2"/>
          <c:order val="5"/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 (2)'!$BO$23</c:f>
              <c:numCache>
                <c:formatCode>0.00E+00</c:formatCode>
                <c:ptCount val="1"/>
                <c:pt idx="0">
                  <c:v>3.0715984604116529E-10</c:v>
                </c:pt>
              </c:numCache>
            </c:numRef>
          </c:xVal>
          <c:yVal>
            <c:numRef>
              <c:f>'MFP-PDF_Avg (2)'!$CN$23</c:f>
              <c:numCache>
                <c:formatCode>0.00E+00</c:formatCode>
                <c:ptCount val="1"/>
                <c:pt idx="0">
                  <c:v>782362253.20691574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39F-400F-9A43-90956F6B3241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9.9999999999999994E-12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9.9999999999999994E-12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C39F-400F-9A43-90956F6B32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5.0000000000000024E-10"/>
          <c:min val="1.0000000000000006E-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MFPcalc_salt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baseline="0">
                    <a:effectLst/>
                  </a:rPr>
                  <a:t>Visc/(Dens*C0)</a:t>
                </a:r>
                <a:endParaRPr lang="en-US" sz="7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95460239568026"/>
          <c:y val="2.9761956838728492E-2"/>
          <c:w val="0.48245913339779894"/>
          <c:h val="0.82313502478856815"/>
        </c:manualLayout>
      </c:layout>
      <c:scatterChart>
        <c:scatterStyle val="lineMarker"/>
        <c:varyColors val="0"/>
        <c:ser>
          <c:idx val="4"/>
          <c:order val="0"/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 (2)'!$BL$5:$BL$7</c:f>
              <c:numCache>
                <c:formatCode>0.00E+00</c:formatCode>
                <c:ptCount val="3"/>
                <c:pt idx="0">
                  <c:v>3.0056447474785299E-10</c:v>
                </c:pt>
                <c:pt idx="1">
                  <c:v>3.3400223720324102E-10</c:v>
                </c:pt>
                <c:pt idx="2">
                  <c:v>3.6182029353950698E-10</c:v>
                </c:pt>
              </c:numCache>
            </c:numRef>
          </c:xVal>
          <c:yVal>
            <c:numRef>
              <c:f>'MFP-PDF_Avg (2)'!$CN$5:$CN$7</c:f>
              <c:numCache>
                <c:formatCode>0.00E+00</c:formatCode>
                <c:ptCount val="3"/>
                <c:pt idx="0">
                  <c:v>1961303757.1305401</c:v>
                </c:pt>
                <c:pt idx="1">
                  <c:v>2635440131.8514771</c:v>
                </c:pt>
                <c:pt idx="2">
                  <c:v>2205762723.7573934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9F-48C7-8807-1EDB35B78FC5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 (2)'!$BL$8:$BL$10</c:f>
              <c:numCache>
                <c:formatCode>0.00E+00</c:formatCode>
                <c:ptCount val="3"/>
                <c:pt idx="0">
                  <c:v>2.3591537099888599E-10</c:v>
                </c:pt>
                <c:pt idx="1">
                  <c:v>2.7110331264484899E-10</c:v>
                </c:pt>
                <c:pt idx="2">
                  <c:v>3.1522574455637898E-10</c:v>
                </c:pt>
              </c:numCache>
            </c:numRef>
          </c:xVal>
          <c:yVal>
            <c:numRef>
              <c:f>'MFP-PDF_Avg (2)'!$CN$8:$CN$10</c:f>
              <c:numCache>
                <c:formatCode>0.00E+00</c:formatCode>
                <c:ptCount val="3"/>
                <c:pt idx="0">
                  <c:v>2197146030.5161104</c:v>
                </c:pt>
                <c:pt idx="1">
                  <c:v>2745105769.7939444</c:v>
                </c:pt>
                <c:pt idx="2">
                  <c:v>2569749634.2140079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9F-48C7-8807-1EDB35B78FC5}"/>
            </c:ext>
          </c:extLst>
        </c:ser>
        <c:ser>
          <c:idx val="1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'MFP-PDF_Avg (2)'!$BL$13:$BL$15</c:f>
              <c:numCache>
                <c:formatCode>0.00E+00</c:formatCode>
                <c:ptCount val="3"/>
                <c:pt idx="0">
                  <c:v>3.08759615447175E-10</c:v>
                </c:pt>
                <c:pt idx="1">
                  <c:v>3.3211022612034601E-10</c:v>
                </c:pt>
                <c:pt idx="2">
                  <c:v>4.2994626258483001E-10</c:v>
                </c:pt>
              </c:numCache>
            </c:numRef>
          </c:xVal>
          <c:yVal>
            <c:numRef>
              <c:f>'MFP-PDF_Avg (2)'!$CN$13:$CN$15</c:f>
              <c:numCache>
                <c:formatCode>0.00E+00</c:formatCode>
                <c:ptCount val="3"/>
                <c:pt idx="0">
                  <c:v>1617409747.5848701</c:v>
                </c:pt>
                <c:pt idx="1">
                  <c:v>1283421056.6482842</c:v>
                </c:pt>
                <c:pt idx="2">
                  <c:v>1351317495.4836404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19F-48C7-8807-1EDB35B78FC5}"/>
            </c:ext>
          </c:extLst>
        </c:ser>
        <c:ser>
          <c:idx val="5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'MFP-PDF_Avg (2)'!$BL$18:$BL$20</c:f>
              <c:numCache>
                <c:formatCode>0.00E+00</c:formatCode>
                <c:ptCount val="3"/>
                <c:pt idx="0">
                  <c:v>2.06003844994128E-10</c:v>
                </c:pt>
                <c:pt idx="1">
                  <c:v>2.5955250470707202E-10</c:v>
                </c:pt>
                <c:pt idx="2">
                  <c:v>2.4173581555363199E-10</c:v>
                </c:pt>
              </c:numCache>
            </c:numRef>
          </c:xVal>
          <c:yVal>
            <c:numRef>
              <c:f>'MFP-PDF_Avg (2)'!$CN$18:$CN$20</c:f>
              <c:numCache>
                <c:formatCode>0.00E+00</c:formatCode>
                <c:ptCount val="3"/>
                <c:pt idx="0">
                  <c:v>260835447.80480725</c:v>
                </c:pt>
                <c:pt idx="1">
                  <c:v>352486078.0476563</c:v>
                </c:pt>
                <c:pt idx="2">
                  <c:v>1184747534.927346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19F-48C7-8807-1EDB35B78FC5}"/>
            </c:ext>
          </c:extLst>
        </c:ser>
        <c:ser>
          <c:idx val="6"/>
          <c:order val="4"/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'MFP-PDF_Avg (2)'!$BL$21:$BL$22</c:f>
              <c:numCache>
                <c:formatCode>0.00E+00</c:formatCode>
                <c:ptCount val="2"/>
                <c:pt idx="0">
                  <c:v>3.1692440673072701E-10</c:v>
                </c:pt>
                <c:pt idx="1">
                  <c:v>3.1692440673072701E-10</c:v>
                </c:pt>
              </c:numCache>
            </c:numRef>
          </c:xVal>
          <c:yVal>
            <c:numRef>
              <c:f>'MFP-PDF_Avg (2)'!$CN$21:$CN$22</c:f>
              <c:numCache>
                <c:formatCode>0.00E+00</c:formatCode>
                <c:ptCount val="2"/>
                <c:pt idx="0">
                  <c:v>540202773.11765659</c:v>
                </c:pt>
                <c:pt idx="1">
                  <c:v>727297673.99028981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19F-48C7-8807-1EDB35B78FC5}"/>
            </c:ext>
          </c:extLst>
        </c:ser>
        <c:ser>
          <c:idx val="2"/>
          <c:order val="5"/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 (2)'!$BL$23</c:f>
              <c:numCache>
                <c:formatCode>0.00E+00</c:formatCode>
                <c:ptCount val="1"/>
                <c:pt idx="0">
                  <c:v>2.8432800000000002E-10</c:v>
                </c:pt>
              </c:numCache>
            </c:numRef>
          </c:xVal>
          <c:yVal>
            <c:numRef>
              <c:f>'MFP-PDF_Avg (2)'!$CN$23</c:f>
              <c:numCache>
                <c:formatCode>0.00E+00</c:formatCode>
                <c:ptCount val="1"/>
                <c:pt idx="0">
                  <c:v>782362253.20691574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19F-48C7-8807-1EDB35B78FC5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9.9999999999999994E-12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9.9999999999999994E-12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819F-48C7-8807-1EDB35B78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PDF_MFP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baseline="0">
                    <a:effectLst/>
                  </a:rPr>
                  <a:t>Visc/(Dens*C0)</a:t>
                </a:r>
                <a:endParaRPr lang="en-US" sz="700">
                  <a:effectLst/>
                </a:endParaRP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PDF-distributed MFP at Tm</a:t>
            </a:r>
          </a:p>
        </c:rich>
      </c:tx>
      <c:layout>
        <c:manualLayout>
          <c:xMode val="edge"/>
          <c:yMode val="edge"/>
          <c:x val="0.15342000603067374"/>
          <c:y val="0.117180578777306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66593759113446"/>
          <c:y val="5.9523809523809521E-2"/>
          <c:w val="0.83569225690670212"/>
          <c:h val="0.83243312135767511"/>
        </c:manualLayout>
      </c:layout>
      <c:scatterChart>
        <c:scatterStyle val="lineMarker"/>
        <c:varyColors val="0"/>
        <c:ser>
          <c:idx val="4"/>
          <c:order val="0"/>
          <c:tx>
            <c:strRef>
              <c:f>'MFP-PDF_Avg (2)'!$AS$57</c:f>
              <c:strCache>
                <c:ptCount val="1"/>
                <c:pt idx="0">
                  <c:v>Unary Chlorides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 (2)'!$AX$5:$AX$7</c:f>
              <c:numCache>
                <c:formatCode>General</c:formatCode>
                <c:ptCount val="3"/>
                <c:pt idx="0">
                  <c:v>0.467412663978306</c:v>
                </c:pt>
                <c:pt idx="1">
                  <c:v>0.346144472817148</c:v>
                </c:pt>
                <c:pt idx="2">
                  <c:v>0.28781059971565698</c:v>
                </c:pt>
              </c:numCache>
            </c:numRef>
          </c:xVal>
          <c:yVal>
            <c:numRef>
              <c:f>'MFP-PDF_Avg (2)'!$AP$5:$AP$7</c:f>
              <c:numCache>
                <c:formatCode>General</c:formatCode>
                <c:ptCount val="3"/>
                <c:pt idx="0">
                  <c:v>0.61260000000000003</c:v>
                </c:pt>
                <c:pt idx="1">
                  <c:v>0.46649999999999997</c:v>
                </c:pt>
                <c:pt idx="2">
                  <c:v>0.35505000000000003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EE-4ACA-80F4-6825C3DE1548}"/>
            </c:ext>
          </c:extLst>
        </c:ser>
        <c:ser>
          <c:idx val="1"/>
          <c:order val="1"/>
          <c:tx>
            <c:strRef>
              <c:f>'MFP-PDF_Avg (2)'!$AS$58</c:f>
              <c:strCache>
                <c:ptCount val="1"/>
                <c:pt idx="0">
                  <c:v>Unary Flourides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 (2)'!$AX$8:$AX$10</c:f>
              <c:numCache>
                <c:formatCode>General</c:formatCode>
                <c:ptCount val="3"/>
                <c:pt idx="0">
                  <c:v>0.90368250947301099</c:v>
                </c:pt>
                <c:pt idx="1">
                  <c:v>0.59812175800891498</c:v>
                </c:pt>
                <c:pt idx="2">
                  <c:v>0.40376310518547798</c:v>
                </c:pt>
              </c:numCache>
            </c:numRef>
          </c:xVal>
          <c:yVal>
            <c:numRef>
              <c:f>'MFP-PDF_Avg (2)'!$AP$8:$AP$10</c:f>
              <c:numCache>
                <c:formatCode>General</c:formatCode>
                <c:ptCount val="3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EE-4ACA-80F4-6825C3DE1548}"/>
            </c:ext>
          </c:extLst>
        </c:ser>
        <c:ser>
          <c:idx val="7"/>
          <c:order val="2"/>
          <c:tx>
            <c:strRef>
              <c:f>'MFP-PDF_Avg (2)'!$AS$59</c:f>
              <c:strCache>
                <c:ptCount val="1"/>
                <c:pt idx="0">
                  <c:v>Unary Alkaline Earth Chlorides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2516289552532384"/>
                  <c:y val="-6.056755208039085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MgCl2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64EE-4ACA-80F4-6825C3DE1548}"/>
                </c:ext>
              </c:extLst>
            </c:dLbl>
            <c:dLbl>
              <c:idx val="1"/>
              <c:layout>
                <c:manualLayout>
                  <c:x val="4.1720965175107892E-2"/>
                  <c:y val="-9.3180849354447485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CaCl2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64EE-4ACA-80F4-6825C3DE1548}"/>
                </c:ext>
              </c:extLst>
            </c:dLbl>
            <c:dLbl>
              <c:idx val="2"/>
              <c:layout>
                <c:manualLayout>
                  <c:x val="2.3468042910998171E-2"/>
                  <c:y val="1.397712740316712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SrCl2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64EE-4ACA-80F4-6825C3DE154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'MFP-PDF_Avg (2)'!$AX$13:$AX$15</c:f>
              <c:numCache>
                <c:formatCode>General</c:formatCode>
                <c:ptCount val="3"/>
                <c:pt idx="0">
                  <c:v>0.33370075449931302</c:v>
                </c:pt>
                <c:pt idx="1">
                  <c:v>0.40039499504213499</c:v>
                </c:pt>
                <c:pt idx="2">
                  <c:v>0.36759447686851399</c:v>
                </c:pt>
              </c:numCache>
            </c:numRef>
          </c:xVal>
          <c:yVal>
            <c:numRef>
              <c:f>'MFP-PDF_Avg (2)'!$AP$13:$AP$15</c:f>
              <c:numCache>
                <c:formatCode>General</c:formatCode>
                <c:ptCount val="3"/>
                <c:pt idx="0">
                  <c:v>0.45680000000000004</c:v>
                </c:pt>
                <c:pt idx="1">
                  <c:v>0.44125000000000003</c:v>
                </c:pt>
                <c:pt idx="2">
                  <c:v>0.37705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4EE-4ACA-80F4-6825C3DE1548}"/>
            </c:ext>
          </c:extLst>
        </c:ser>
        <c:ser>
          <c:idx val="5"/>
          <c:order val="3"/>
          <c:tx>
            <c:strRef>
              <c:f>'MFP-PDF_Avg (2)'!$AS$60</c:f>
              <c:strCache>
                <c:ptCount val="1"/>
                <c:pt idx="0">
                  <c:v>Fluoride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9.5377810768157212E-2"/>
                  <c:y val="4.417320634122921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FLiBe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64EE-4ACA-80F4-6825C3DE1548}"/>
                </c:ext>
              </c:extLst>
            </c:dLbl>
            <c:dLbl>
              <c:idx val="1"/>
              <c:layout>
                <c:manualLayout>
                  <c:x val="2.8845941404952211E-2"/>
                  <c:y val="2.325300366555223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FLiNaK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64EE-4ACA-80F4-6825C3DE154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4EE-4ACA-80F4-6825C3DE154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'MFP-PDF_Avg (2)'!$AX$18:$AX$20</c:f>
              <c:numCache>
                <c:formatCode>General</c:formatCode>
                <c:ptCount val="3"/>
                <c:pt idx="0">
                  <c:v>1.28305844543897</c:v>
                </c:pt>
                <c:pt idx="1">
                  <c:v>0.85046707066330796</c:v>
                </c:pt>
                <c:pt idx="2">
                  <c:v>0.73223097949286997</c:v>
                </c:pt>
              </c:numCache>
            </c:numRef>
          </c:xVal>
          <c:yVal>
            <c:numRef>
              <c:f>('MFP-PDF_Avg (2)'!$AP$18,'MFP-PDF_Avg (2)'!$AP$19,'MFP-PDF_Avg (2)'!$AP$20)</c:f>
              <c:numCache>
                <c:formatCode>General</c:formatCode>
                <c:ptCount val="3"/>
                <c:pt idx="0">
                  <c:v>1.1000000000000001</c:v>
                </c:pt>
                <c:pt idx="1">
                  <c:v>0.84457000000000004</c:v>
                </c:pt>
                <c:pt idx="2">
                  <c:v>0.87448810843065394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EE-4ACA-80F4-6825C3DE1548}"/>
            </c:ext>
          </c:extLst>
        </c:ser>
        <c:ser>
          <c:idx val="6"/>
          <c:order val="4"/>
          <c:tx>
            <c:strRef>
              <c:f>'MFP-PDF_Avg (2)'!$AS$61</c:f>
              <c:strCache>
                <c:ptCount val="1"/>
                <c:pt idx="0">
                  <c:v>Chloride Actinide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2269123071947397"/>
                  <c:y val="-1.646687236037159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NaCl-UCL3 (ORNL 2024)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01613630781726"/>
                      <c:h val="3.2551391211063964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A-64EE-4ACA-80F4-6825C3DE1548}"/>
                </c:ext>
              </c:extLst>
            </c:dLbl>
            <c:dLbl>
              <c:idx val="1"/>
              <c:layout>
                <c:manualLayout>
                  <c:x val="-9.8979952873202659E-2"/>
                  <c:y val="7.441155009616211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800" b="0" i="0" u="none" strike="noStrike" kern="1200" baseline="0">
                        <a:solidFill>
                          <a:sysClr val="windowText" lastClr="000000">
                            <a:lumMod val="75000"/>
                            <a:lumOff val="25000"/>
                          </a:sysClr>
                        </a:solidFill>
                      </a:rPr>
                      <a:t>NaCl-UCL3 (ANL 2023)</a:t>
                    </a:r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973173836602787"/>
                      <c:h val="4.67902842342298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B-64EE-4ACA-80F4-6825C3DE154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'MFP-PDF_Avg (2)'!$AX$21:$AX$22</c:f>
              <c:numCache>
                <c:formatCode>General</c:formatCode>
                <c:ptCount val="2"/>
                <c:pt idx="0">
                  <c:v>0.29301529878909899</c:v>
                </c:pt>
                <c:pt idx="1">
                  <c:v>0.316517898560285</c:v>
                </c:pt>
              </c:numCache>
            </c:numRef>
          </c:xVal>
          <c:yVal>
            <c:numRef>
              <c:f>'MFP-PDF_Avg (2)'!$AP$21:$AP$22</c:f>
              <c:numCache>
                <c:formatCode>General</c:formatCode>
                <c:ptCount val="2"/>
                <c:pt idx="0">
                  <c:v>0.28277596034850733</c:v>
                </c:pt>
                <c:pt idx="1">
                  <c:v>0.22655673749565519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EE-4ACA-80F4-6825C3DE1548}"/>
            </c:ext>
          </c:extLst>
        </c:ser>
        <c:ser>
          <c:idx val="2"/>
          <c:order val="5"/>
          <c:tx>
            <c:strRef>
              <c:f>'MFP-PDF_Avg (2)'!$AS$62</c:f>
              <c:strCache>
                <c:ptCount val="1"/>
                <c:pt idx="0">
                  <c:v>Water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 (2)'!$BC$23</c:f>
              <c:numCache>
                <c:formatCode>0.000000</c:formatCode>
                <c:ptCount val="1"/>
                <c:pt idx="0">
                  <c:v>0.55623382223307438</c:v>
                </c:pt>
              </c:numCache>
            </c:numRef>
          </c:xVal>
          <c:yVal>
            <c:numRef>
              <c:f>'MFP-PDF_Avg (2)'!$AP$23</c:f>
              <c:numCache>
                <c:formatCode>General</c:formatCode>
                <c:ptCount val="1"/>
                <c:pt idx="0">
                  <c:v>0.60089999999999999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EE-4ACA-80F4-6825C3DE1548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2-64EE-4ACA-80F4-6825C3DE1548}"/>
            </c:ext>
          </c:extLst>
        </c:ser>
        <c:ser>
          <c:idx val="0"/>
          <c:order val="7"/>
          <c:tx>
            <c:v>Fit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xVal>
            <c:numRef>
              <c:f>'MFP-PDF_Avg (2)'!$AX$5:$AX$23</c:f>
              <c:numCache>
                <c:formatCode>General</c:formatCode>
                <c:ptCount val="19"/>
                <c:pt idx="0">
                  <c:v>0.467412663978306</c:v>
                </c:pt>
                <c:pt idx="1">
                  <c:v>0.346144472817148</c:v>
                </c:pt>
                <c:pt idx="2">
                  <c:v>0.28781059971565698</c:v>
                </c:pt>
                <c:pt idx="3">
                  <c:v>0.90368250947301099</c:v>
                </c:pt>
                <c:pt idx="4">
                  <c:v>0.59812175800891498</c:v>
                </c:pt>
                <c:pt idx="5">
                  <c:v>0.40376310518547798</c:v>
                </c:pt>
                <c:pt idx="8">
                  <c:v>0.33370075449931302</c:v>
                </c:pt>
                <c:pt idx="9">
                  <c:v>0.40039499504213499</c:v>
                </c:pt>
                <c:pt idx="10">
                  <c:v>0.36759447686851399</c:v>
                </c:pt>
                <c:pt idx="11">
                  <c:v>0.54571904518309799</c:v>
                </c:pt>
                <c:pt idx="13">
                  <c:v>1.28305844543897</c:v>
                </c:pt>
                <c:pt idx="14">
                  <c:v>0.85046707066330796</c:v>
                </c:pt>
                <c:pt idx="15">
                  <c:v>0.73223097949286997</c:v>
                </c:pt>
                <c:pt idx="16">
                  <c:v>0.29301529878909899</c:v>
                </c:pt>
                <c:pt idx="17">
                  <c:v>0.316517898560285</c:v>
                </c:pt>
              </c:numCache>
            </c:numRef>
          </c:xVal>
          <c:yVal>
            <c:numRef>
              <c:f>'MFP-PDF_Avg (2)'!$AP$5:$AP$23</c:f>
              <c:numCache>
                <c:formatCode>General</c:formatCode>
                <c:ptCount val="19"/>
                <c:pt idx="0">
                  <c:v>0.61260000000000003</c:v>
                </c:pt>
                <c:pt idx="1">
                  <c:v>0.46649999999999997</c:v>
                </c:pt>
                <c:pt idx="2">
                  <c:v>0.35505000000000003</c:v>
                </c:pt>
                <c:pt idx="3">
                  <c:v>1.33125</c:v>
                </c:pt>
                <c:pt idx="4">
                  <c:v>0.82789999999999997</c:v>
                </c:pt>
                <c:pt idx="5">
                  <c:v>0.56999999999999995</c:v>
                </c:pt>
                <c:pt idx="6">
                  <c:v>0.48965000000000003</c:v>
                </c:pt>
                <c:pt idx="7">
                  <c:v>0.36715000000000003</c:v>
                </c:pt>
                <c:pt idx="8">
                  <c:v>0.45680000000000004</c:v>
                </c:pt>
                <c:pt idx="9">
                  <c:v>0.44125000000000003</c:v>
                </c:pt>
                <c:pt idx="10">
                  <c:v>0.37705</c:v>
                </c:pt>
                <c:pt idx="11">
                  <c:v>0.51224999999999998</c:v>
                </c:pt>
                <c:pt idx="12">
                  <c:v>0.40920000000000001</c:v>
                </c:pt>
                <c:pt idx="13">
                  <c:v>1.1000000000000001</c:v>
                </c:pt>
                <c:pt idx="14">
                  <c:v>0.84457000000000004</c:v>
                </c:pt>
                <c:pt idx="15">
                  <c:v>0.87448810843065394</c:v>
                </c:pt>
                <c:pt idx="16">
                  <c:v>0.28277596034850733</c:v>
                </c:pt>
                <c:pt idx="17">
                  <c:v>0.22655673749565519</c:v>
                </c:pt>
                <c:pt idx="18">
                  <c:v>0.60089999999999999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EE-4ACA-80F4-6825C3DE15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.4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Predicted </a:t>
                </a: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 [W/m-K]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  <c:majorUnit val="0.2"/>
      </c:valAx>
      <c:valAx>
        <c:axId val="689706896"/>
        <c:scaling>
          <c:orientation val="minMax"/>
          <c:max val="1.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Measured </a:t>
                </a:r>
                <a:r>
                  <a:rPr lang="el-GR" sz="1000" b="0" i="0" u="none" strike="noStrike" baseline="0">
                    <a:effectLst/>
                  </a:rPr>
                  <a:t>λ</a:t>
                </a:r>
                <a:r>
                  <a:rPr lang="en-US" sz="1000" b="0" i="0" u="none" strike="noStrike" baseline="0">
                    <a:effectLst/>
                  </a:rPr>
                  <a:t> [W/m-K]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  <c:minorUnit val="4.0000000000000008E-2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0.66197146494306125"/>
          <c:y val="0.54424246890433059"/>
          <c:w val="0.27876831990781964"/>
          <c:h val="0.329747586280213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Distributed</a:t>
            </a:r>
            <a:r>
              <a:rPr lang="en-US" sz="1100" baseline="0"/>
              <a:t> MFP, f</a:t>
            </a:r>
            <a:r>
              <a:rPr lang="en-US" sz="1100"/>
              <a:t>ast</a:t>
            </a:r>
            <a:r>
              <a:rPr lang="en-US" sz="1100" baseline="0"/>
              <a:t> sound for unary salts</a:t>
            </a:r>
            <a:endParaRPr lang="en-US" sz="1100"/>
          </a:p>
        </c:rich>
      </c:tx>
      <c:layout>
        <c:manualLayout>
          <c:xMode val="edge"/>
          <c:yMode val="edge"/>
          <c:x val="0.1105778658100407"/>
          <c:y val="1.85581753782770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66593759113446"/>
          <c:y val="5.9523809523809521E-2"/>
          <c:w val="0.56891659375911341"/>
          <c:h val="0.77617745698454343"/>
        </c:manualLayout>
      </c:layout>
      <c:scatterChart>
        <c:scatterStyle val="lineMarker"/>
        <c:varyColors val="0"/>
        <c:ser>
          <c:idx val="4"/>
          <c:order val="0"/>
          <c:tx>
            <c:strRef>
              <c:f>'MFP-PDF_Avg (2)'!$AS$57</c:f>
              <c:strCache>
                <c:ptCount val="1"/>
                <c:pt idx="0">
                  <c:v>Unary Chlorides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 (2)'!$AW$5:$AW$7</c:f>
              <c:numCache>
                <c:formatCode>General</c:formatCode>
                <c:ptCount val="3"/>
                <c:pt idx="0">
                  <c:v>0.78670723632944894</c:v>
                </c:pt>
                <c:pt idx="1">
                  <c:v>0.53084165353214496</c:v>
                </c:pt>
                <c:pt idx="2">
                  <c:v>0.41602860665791702</c:v>
                </c:pt>
              </c:numCache>
            </c:numRef>
          </c:xVal>
          <c:yVal>
            <c:numRef>
              <c:f>'MFP-PDF_Avg (2)'!$AP$5:$AP$7</c:f>
              <c:numCache>
                <c:formatCode>General</c:formatCode>
                <c:ptCount val="3"/>
                <c:pt idx="0">
                  <c:v>0.61260000000000003</c:v>
                </c:pt>
                <c:pt idx="1">
                  <c:v>0.46649999999999997</c:v>
                </c:pt>
                <c:pt idx="2">
                  <c:v>0.35505000000000003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F8-4B5E-AA9D-F28E157D64FC}"/>
            </c:ext>
          </c:extLst>
        </c:ser>
        <c:ser>
          <c:idx val="1"/>
          <c:order val="1"/>
          <c:tx>
            <c:strRef>
              <c:f>'MFP-PDF_Avg (2)'!$AS$58</c:f>
              <c:strCache>
                <c:ptCount val="1"/>
                <c:pt idx="0">
                  <c:v>Unary Flourides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 (2)'!$AW$8:$AW$10</c:f>
              <c:numCache>
                <c:formatCode>General</c:formatCode>
                <c:ptCount val="3"/>
                <c:pt idx="0">
                  <c:v>1.22987712739888</c:v>
                </c:pt>
                <c:pt idx="1">
                  <c:v>0.78264084714836502</c:v>
                </c:pt>
                <c:pt idx="2">
                  <c:v>0.51980918395456199</c:v>
                </c:pt>
              </c:numCache>
            </c:numRef>
          </c:xVal>
          <c:yVal>
            <c:numRef>
              <c:f>'MFP-PDF_Avg (2)'!$AP$8:$AP$10</c:f>
              <c:numCache>
                <c:formatCode>General</c:formatCode>
                <c:ptCount val="3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F8-4B5E-AA9D-F28E157D64FC}"/>
            </c:ext>
          </c:extLst>
        </c:ser>
        <c:ser>
          <c:idx val="7"/>
          <c:order val="2"/>
          <c:tx>
            <c:strRef>
              <c:f>'MFP-PDF_Avg (2)'!$AS$59</c:f>
              <c:strCache>
                <c:ptCount val="1"/>
                <c:pt idx="0">
                  <c:v>Unary Alkaline Earth Chlorides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'MFP-PDF_Avg (2)'!$AW$13:$AW$15</c:f>
              <c:numCache>
                <c:formatCode>General</c:formatCode>
                <c:ptCount val="3"/>
                <c:pt idx="0">
                  <c:v>0.54002025954196298</c:v>
                </c:pt>
                <c:pt idx="1">
                  <c:v>0.42656474196147098</c:v>
                </c:pt>
              </c:numCache>
            </c:numRef>
          </c:xVal>
          <c:yVal>
            <c:numRef>
              <c:f>'MFP-PDF_Avg (2)'!$AP$13:$AP$15</c:f>
              <c:numCache>
                <c:formatCode>General</c:formatCode>
                <c:ptCount val="3"/>
                <c:pt idx="0">
                  <c:v>0.45680000000000004</c:v>
                </c:pt>
                <c:pt idx="1">
                  <c:v>0.44125000000000003</c:v>
                </c:pt>
                <c:pt idx="2">
                  <c:v>0.37705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1F8-4B5E-AA9D-F28E157D64FC}"/>
            </c:ext>
          </c:extLst>
        </c:ser>
        <c:ser>
          <c:idx val="5"/>
          <c:order val="3"/>
          <c:tx>
            <c:strRef>
              <c:f>'MFP-PDF_Avg (2)'!$AS$60</c:f>
              <c:strCache>
                <c:ptCount val="1"/>
                <c:pt idx="0">
                  <c:v>Fluoride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0"/>
                  <c:y val="1.860240293244178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FLiBe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E1F8-4B5E-AA9D-F28E157D64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'MFP-PDF_Avg (2)'!$AX$18:$AX$20</c:f>
              <c:numCache>
                <c:formatCode>General</c:formatCode>
                <c:ptCount val="3"/>
                <c:pt idx="0">
                  <c:v>1.28305844543897</c:v>
                </c:pt>
                <c:pt idx="1">
                  <c:v>0.85046707066330796</c:v>
                </c:pt>
                <c:pt idx="2">
                  <c:v>0.73223097949286997</c:v>
                </c:pt>
              </c:numCache>
            </c:numRef>
          </c:xVal>
          <c:yVal>
            <c:numRef>
              <c:f>('MFP-PDF_Avg (2)'!$AP$18,'MFP-PDF_Avg (2)'!$AP$19,'MFP-PDF_Avg (2)'!$AP$20)</c:f>
              <c:numCache>
                <c:formatCode>General</c:formatCode>
                <c:ptCount val="3"/>
                <c:pt idx="0">
                  <c:v>1.1000000000000001</c:v>
                </c:pt>
                <c:pt idx="1">
                  <c:v>0.84457000000000004</c:v>
                </c:pt>
                <c:pt idx="2">
                  <c:v>0.87448810843065394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1F8-4B5E-AA9D-F28E157D64FC}"/>
            </c:ext>
          </c:extLst>
        </c:ser>
        <c:ser>
          <c:idx val="6"/>
          <c:order val="4"/>
          <c:tx>
            <c:strRef>
              <c:f>'MFP-PDF_Avg (2)'!$AS$61</c:f>
              <c:strCache>
                <c:ptCount val="1"/>
                <c:pt idx="0">
                  <c:v>Chloride Actinide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8.5943333609889649E-2"/>
                  <c:y val="0.104994167395742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E0BA487-CCDC-4FE7-BE25-673E4F54B5AB}" type="CELLREF">
                      <a:rPr lang="en-US"/>
                      <a:pPr>
                        <a:defRPr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597216460632209"/>
                      <c:h val="0.11182086614173228"/>
                    </c:manualLayout>
                  </c15:layout>
                  <c15:dlblFieldTable>
                    <c15:dlblFTEntry>
                      <c15:txfldGUID>{4E0BA487-CCDC-4FE7-BE25-673E4F54B5AB}</c15:txfldGUID>
                      <c15:f>'MFP-PDF_Avg (2)'!$A$21</c15:f>
                      <c15:dlblFieldTableCache>
                        <c:ptCount val="1"/>
                        <c:pt idx="0">
                          <c:v>0.63NaCl-0.37UCl3 (ORNL)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E1F8-4B5E-AA9D-F28E157D64FC}"/>
                </c:ext>
              </c:extLst>
            </c:dLbl>
            <c:dLbl>
              <c:idx val="1"/>
              <c:layout>
                <c:manualLayout>
                  <c:x val="3.1089929548280139E-2"/>
                  <c:y val="1.568788276465432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48043BA-4F93-455A-BDFD-BB5447868CFE}" type="CELLREF">
                      <a:rPr lang="en-US"/>
                      <a:pPr>
                        <a:defRPr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342772942855827"/>
                      <c:h val="9.7931758530183724E-2"/>
                    </c:manualLayout>
                  </c15:layout>
                  <c15:dlblFieldTable>
                    <c15:dlblFTEntry>
                      <c15:txfldGUID>{F48043BA-4F93-455A-BDFD-BB5447868CFE}</c15:txfldGUID>
                      <c15:f>'MFP-PDF_Avg (2)'!$A$22</c15:f>
                      <c15:dlblFieldTableCache>
                        <c:ptCount val="1"/>
                        <c:pt idx="0">
                          <c:v>0.658NaCl-0.342UCl3 (ANL)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E1F8-4B5E-AA9D-F28E157D64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'MFP-PDF_Avg (2)'!$AX$21:$AX$22</c:f>
              <c:numCache>
                <c:formatCode>General</c:formatCode>
                <c:ptCount val="2"/>
                <c:pt idx="0">
                  <c:v>0.29301529878909899</c:v>
                </c:pt>
                <c:pt idx="1">
                  <c:v>0.316517898560285</c:v>
                </c:pt>
              </c:numCache>
            </c:numRef>
          </c:xVal>
          <c:yVal>
            <c:numRef>
              <c:f>'MFP-PDF_Avg (2)'!$AP$21:$AP$22</c:f>
              <c:numCache>
                <c:formatCode>General</c:formatCode>
                <c:ptCount val="2"/>
                <c:pt idx="0">
                  <c:v>0.28277596034850733</c:v>
                </c:pt>
                <c:pt idx="1">
                  <c:v>0.22655673749565519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1F8-4B5E-AA9D-F28E157D64FC}"/>
            </c:ext>
          </c:extLst>
        </c:ser>
        <c:ser>
          <c:idx val="2"/>
          <c:order val="5"/>
          <c:tx>
            <c:strRef>
              <c:f>'MFP-PDF_Avg (2)'!$AS$62</c:f>
              <c:strCache>
                <c:ptCount val="1"/>
                <c:pt idx="0">
                  <c:v>Water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 (2)'!$BC$23</c:f>
              <c:numCache>
                <c:formatCode>0.000000</c:formatCode>
                <c:ptCount val="1"/>
                <c:pt idx="0">
                  <c:v>0.55623382223307438</c:v>
                </c:pt>
              </c:numCache>
            </c:numRef>
          </c:xVal>
          <c:yVal>
            <c:numRef>
              <c:f>'MFP-PDF_Avg (2)'!$AP$23</c:f>
              <c:numCache>
                <c:formatCode>General</c:formatCode>
                <c:ptCount val="1"/>
                <c:pt idx="0">
                  <c:v>0.60089999999999999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E1F8-4B5E-AA9D-F28E157D64FC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D-E1F8-4B5E-AA9D-F28E157D64FC}"/>
            </c:ext>
          </c:extLst>
        </c:ser>
        <c:ser>
          <c:idx val="0"/>
          <c:order val="7"/>
          <c:tx>
            <c:v>Fit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2.4037627404157057E-2"/>
                  <c:y val="1.395180219933125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MgCl2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E1F8-4B5E-AA9D-F28E157D64FC}"/>
                </c:ext>
              </c:extLst>
            </c:dLbl>
            <c:dLbl>
              <c:idx val="9"/>
              <c:layout>
                <c:manualLayout>
                  <c:x val="-0.15490915438234548"/>
                  <c:y val="-2.325300366555231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CaCl2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E1F8-4B5E-AA9D-F28E157D64FC}"/>
                </c:ext>
              </c:extLst>
            </c:dLbl>
            <c:dLbl>
              <c:idx val="14"/>
              <c:layout>
                <c:manualLayout>
                  <c:x val="3.1895703560828811E-2"/>
                  <c:y val="4.185540659799401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FLiNaK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E1F8-4B5E-AA9D-F28E157D64FC}"/>
                </c:ext>
              </c:extLst>
            </c:dLbl>
            <c:dLbl>
              <c:idx val="15"/>
              <c:layout>
                <c:manualLayout>
                  <c:x val="-0.14475509729809483"/>
                  <c:y val="-1.882122797397636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LiF-NaF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E1F8-4B5E-AA9D-F28E157D64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30008588633579847"/>
                  <c:y val="0.7885142344798968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'MFP-PDF_Avg (2)'!$AW$5:$AW$23</c:f>
              <c:numCache>
                <c:formatCode>General</c:formatCode>
                <c:ptCount val="19"/>
                <c:pt idx="0">
                  <c:v>0.78670723632944894</c:v>
                </c:pt>
                <c:pt idx="1">
                  <c:v>0.53084165353214496</c:v>
                </c:pt>
                <c:pt idx="2">
                  <c:v>0.41602860665791702</c:v>
                </c:pt>
                <c:pt idx="3">
                  <c:v>1.22987712739888</c:v>
                </c:pt>
                <c:pt idx="4">
                  <c:v>0.78264084714836502</c:v>
                </c:pt>
                <c:pt idx="5">
                  <c:v>0.51980918395456199</c:v>
                </c:pt>
                <c:pt idx="8">
                  <c:v>0.54002025954196298</c:v>
                </c:pt>
                <c:pt idx="9">
                  <c:v>0.42656474196147098</c:v>
                </c:pt>
                <c:pt idx="11">
                  <c:v>0.54571904518309799</c:v>
                </c:pt>
                <c:pt idx="13">
                  <c:v>1.28305844543897</c:v>
                </c:pt>
                <c:pt idx="14">
                  <c:v>0.85046707066330796</c:v>
                </c:pt>
                <c:pt idx="15">
                  <c:v>0.73223097949286997</c:v>
                </c:pt>
                <c:pt idx="16">
                  <c:v>0.29301529878909899</c:v>
                </c:pt>
                <c:pt idx="17">
                  <c:v>0.316517898560285</c:v>
                </c:pt>
              </c:numCache>
            </c:numRef>
          </c:xVal>
          <c:yVal>
            <c:numRef>
              <c:f>'MFP-PDF_Avg (2)'!$AP$5:$AP$23</c:f>
              <c:numCache>
                <c:formatCode>General</c:formatCode>
                <c:ptCount val="19"/>
                <c:pt idx="0">
                  <c:v>0.61260000000000003</c:v>
                </c:pt>
                <c:pt idx="1">
                  <c:v>0.46649999999999997</c:v>
                </c:pt>
                <c:pt idx="2">
                  <c:v>0.35505000000000003</c:v>
                </c:pt>
                <c:pt idx="3">
                  <c:v>1.33125</c:v>
                </c:pt>
                <c:pt idx="4">
                  <c:v>0.82789999999999997</c:v>
                </c:pt>
                <c:pt idx="5">
                  <c:v>0.56999999999999995</c:v>
                </c:pt>
                <c:pt idx="6">
                  <c:v>0.48965000000000003</c:v>
                </c:pt>
                <c:pt idx="7">
                  <c:v>0.36715000000000003</c:v>
                </c:pt>
                <c:pt idx="8">
                  <c:v>0.45680000000000004</c:v>
                </c:pt>
                <c:pt idx="9">
                  <c:v>0.44125000000000003</c:v>
                </c:pt>
                <c:pt idx="10">
                  <c:v>0.37705</c:v>
                </c:pt>
                <c:pt idx="11">
                  <c:v>0.51224999999999998</c:v>
                </c:pt>
                <c:pt idx="12">
                  <c:v>0.40920000000000001</c:v>
                </c:pt>
                <c:pt idx="13">
                  <c:v>1.1000000000000001</c:v>
                </c:pt>
                <c:pt idx="14">
                  <c:v>0.84457000000000004</c:v>
                </c:pt>
                <c:pt idx="15">
                  <c:v>0.87448810843065394</c:v>
                </c:pt>
                <c:pt idx="16">
                  <c:v>0.28277596034850733</c:v>
                </c:pt>
                <c:pt idx="17">
                  <c:v>0.22655673749565519</c:v>
                </c:pt>
                <c:pt idx="18">
                  <c:v>0.60089999999999999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E1F8-4B5E-AA9D-F28E157D64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.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_predicted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  <c:majorUnit val="0.2"/>
      </c:valAx>
      <c:valAx>
        <c:axId val="689706896"/>
        <c:scaling>
          <c:orientation val="minMax"/>
          <c:max val="1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  <c:minorUnit val="4.0000000000000008E-2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0.71601650001853678"/>
          <c:y val="7.0767076188923639E-2"/>
          <c:w val="0.28398349998146333"/>
          <c:h val="0.867410006372541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MFP from cat-an</a:t>
            </a:r>
            <a:r>
              <a:rPr lang="en-US" sz="1200" baseline="0"/>
              <a:t> f</a:t>
            </a:r>
            <a:r>
              <a:rPr lang="en-US" sz="1200"/>
              <a:t>irst peak - Tm</a:t>
            </a:r>
          </a:p>
          <a:p>
            <a:pPr>
              <a:defRPr/>
            </a:pPr>
            <a:endParaRPr lang="en-US" sz="1200"/>
          </a:p>
        </c:rich>
      </c:tx>
      <c:layout>
        <c:manualLayout>
          <c:xMode val="edge"/>
          <c:yMode val="edge"/>
          <c:x val="0.1239491434630984"/>
          <c:y val="1.910554666529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66593759113446"/>
          <c:y val="5.9523809523809521E-2"/>
          <c:w val="0.56891659375911341"/>
          <c:h val="0.77617745698454343"/>
        </c:manualLayout>
      </c:layout>
      <c:scatterChart>
        <c:scatterStyle val="lineMarker"/>
        <c:varyColors val="0"/>
        <c:ser>
          <c:idx val="4"/>
          <c:order val="0"/>
          <c:tx>
            <c:v>Unary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 (2)'!$AV$5:$AV$7</c:f>
              <c:numCache>
                <c:formatCode>General</c:formatCode>
                <c:ptCount val="3"/>
                <c:pt idx="0">
                  <c:v>0.37979746319812113</c:v>
                </c:pt>
                <c:pt idx="1">
                  <c:v>0.29184445780135787</c:v>
                </c:pt>
                <c:pt idx="2">
                  <c:v>0.24533629939701559</c:v>
                </c:pt>
              </c:numCache>
            </c:numRef>
          </c:xVal>
          <c:yVal>
            <c:numRef>
              <c:f>'MFP-PDF_Avg (2)'!$AP$5:$AP$7</c:f>
              <c:numCache>
                <c:formatCode>General</c:formatCode>
                <c:ptCount val="3"/>
                <c:pt idx="0">
                  <c:v>0.61260000000000003</c:v>
                </c:pt>
                <c:pt idx="1">
                  <c:v>0.46649999999999997</c:v>
                </c:pt>
                <c:pt idx="2">
                  <c:v>0.35505000000000003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0D-4BE6-8ACF-33058F795869}"/>
            </c:ext>
          </c:extLst>
        </c:ser>
        <c:ser>
          <c:idx val="1"/>
          <c:order val="1"/>
          <c:tx>
            <c:v>Unary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 (2)'!$AV$8:$AV$10</c:f>
              <c:numCache>
                <c:formatCode>General</c:formatCode>
                <c:ptCount val="3"/>
                <c:pt idx="0">
                  <c:v>0.72198244099516784</c:v>
                </c:pt>
                <c:pt idx="1">
                  <c:v>0.49067523585877765</c:v>
                </c:pt>
                <c:pt idx="2">
                  <c:v>0.33236370799974174</c:v>
                </c:pt>
              </c:numCache>
            </c:numRef>
          </c:xVal>
          <c:yVal>
            <c:numRef>
              <c:f>'MFP-PDF_Avg (2)'!$AP$8:$AP$10</c:f>
              <c:numCache>
                <c:formatCode>General</c:formatCode>
                <c:ptCount val="3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0D-4BE6-8ACF-33058F795869}"/>
            </c:ext>
          </c:extLst>
        </c:ser>
        <c:ser>
          <c:idx val="7"/>
          <c:order val="2"/>
          <c:tx>
            <c:v>Unary Alkaline Earth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'MFP-PDF_Avg (2)'!$AV$13:$AV$15</c:f>
              <c:numCache>
                <c:formatCode>General</c:formatCode>
                <c:ptCount val="3"/>
                <c:pt idx="0">
                  <c:v>0.269940662012365</c:v>
                </c:pt>
                <c:pt idx="1">
                  <c:v>0.37024310108699071</c:v>
                </c:pt>
                <c:pt idx="2">
                  <c:v>0.32666098973626601</c:v>
                </c:pt>
              </c:numCache>
            </c:numRef>
          </c:xVal>
          <c:yVal>
            <c:numRef>
              <c:f>'MFP-PDF_Avg (2)'!$AP$13:$AP$15</c:f>
              <c:numCache>
                <c:formatCode>General</c:formatCode>
                <c:ptCount val="3"/>
                <c:pt idx="0">
                  <c:v>0.45680000000000004</c:v>
                </c:pt>
                <c:pt idx="1">
                  <c:v>0.44125000000000003</c:v>
                </c:pt>
                <c:pt idx="2">
                  <c:v>0.37705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90D-4BE6-8ACF-33058F795869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0"/>
                  <c:y val="1.860240293244178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FLiBe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C90D-4BE6-8ACF-33058F79586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'MFP-PDF_Avg (2)'!$AV$18:$AV$20</c:f>
              <c:numCache>
                <c:formatCode>General</c:formatCode>
                <c:ptCount val="3"/>
                <c:pt idx="0">
                  <c:v>1.0187917505808699</c:v>
                </c:pt>
                <c:pt idx="1">
                  <c:v>0.68591483111751272</c:v>
                </c:pt>
                <c:pt idx="2">
                  <c:v>0.64595928661301927</c:v>
                </c:pt>
              </c:numCache>
            </c:numRef>
          </c:xVal>
          <c:yVal>
            <c:numRef>
              <c:f>('MFP-PDF_Avg (2)'!$AP$18,'MFP-PDF_Avg (2)'!$AP$19,'MFP-PDF_Avg (2)'!$AP$20)</c:f>
              <c:numCache>
                <c:formatCode>General</c:formatCode>
                <c:ptCount val="3"/>
                <c:pt idx="0">
                  <c:v>1.1000000000000001</c:v>
                </c:pt>
                <c:pt idx="1">
                  <c:v>0.84457000000000004</c:v>
                </c:pt>
                <c:pt idx="2">
                  <c:v>0.87448810843065394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90D-4BE6-8ACF-33058F795869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3676550468129631"/>
                  <c:y val="9.569306767539539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E0BA487-CCDC-4FE7-BE25-673E4F54B5AB}" type="CELLREF">
                      <a:rPr lang="en-US"/>
                      <a:pPr>
                        <a:defRPr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597216460632209"/>
                      <c:h val="0.11182086614173228"/>
                    </c:manualLayout>
                  </c15:layout>
                  <c15:dlblFieldTable>
                    <c15:dlblFTEntry>
                      <c15:txfldGUID>{4E0BA487-CCDC-4FE7-BE25-673E4F54B5AB}</c15:txfldGUID>
                      <c15:f>'MFP-PDF_Avg (2)'!$A$21</c15:f>
                      <c15:dlblFieldTableCache>
                        <c:ptCount val="1"/>
                        <c:pt idx="0">
                          <c:v>0.63NaCl-0.37UCl3 (ORNL)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C90D-4BE6-8ACF-33058F795869}"/>
                </c:ext>
              </c:extLst>
            </c:dLbl>
            <c:dLbl>
              <c:idx val="1"/>
              <c:layout>
                <c:manualLayout>
                  <c:x val="4.4468155327250548E-2"/>
                  <c:y val="5.289252718038096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48043BA-4F93-455A-BDFD-BB5447868CFE}" type="CELLREF">
                      <a:rPr lang="en-US"/>
                      <a:pPr>
                        <a:defRPr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342772942855827"/>
                      <c:h val="9.7931758530183724E-2"/>
                    </c:manualLayout>
                  </c15:layout>
                  <c15:dlblFieldTable>
                    <c15:dlblFTEntry>
                      <c15:txfldGUID>{F48043BA-4F93-455A-BDFD-BB5447868CFE}</c15:txfldGUID>
                      <c15:f>'MFP-PDF_Avg (2)'!$A$22</c15:f>
                      <c15:dlblFieldTableCache>
                        <c:ptCount val="1"/>
                        <c:pt idx="0">
                          <c:v>0.658NaCl-0.342UCl3 (ANL)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C90D-4BE6-8ACF-33058F79586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'MFP-PDF_Avg (2)'!$AV$21:$AV$22</c:f>
              <c:numCache>
                <c:formatCode>General</c:formatCode>
                <c:ptCount val="2"/>
                <c:pt idx="0">
                  <c:v>0.26539205378729858</c:v>
                </c:pt>
                <c:pt idx="1">
                  <c:v>0.28667900791014594</c:v>
                </c:pt>
              </c:numCache>
            </c:numRef>
          </c:xVal>
          <c:yVal>
            <c:numRef>
              <c:f>'MFP-PDF_Avg (2)'!$AP$21:$AP$22</c:f>
              <c:numCache>
                <c:formatCode>General</c:formatCode>
                <c:ptCount val="2"/>
                <c:pt idx="0">
                  <c:v>0.28277596034850733</c:v>
                </c:pt>
                <c:pt idx="1">
                  <c:v>0.22655673749565519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90D-4BE6-8ACF-33058F795869}"/>
            </c:ext>
          </c:extLst>
        </c:ser>
        <c:ser>
          <c:idx val="2"/>
          <c:order val="5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 (2)'!$BC$23</c:f>
              <c:numCache>
                <c:formatCode>0.000000</c:formatCode>
                <c:ptCount val="1"/>
                <c:pt idx="0">
                  <c:v>0.55623382223307438</c:v>
                </c:pt>
              </c:numCache>
            </c:numRef>
          </c:xVal>
          <c:yVal>
            <c:numRef>
              <c:f>'MFP-PDF_Avg (2)'!$AP$23</c:f>
              <c:numCache>
                <c:formatCode>General</c:formatCode>
                <c:ptCount val="1"/>
                <c:pt idx="0">
                  <c:v>0.60089999999999999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90D-4BE6-8ACF-33058F795869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D-C90D-4BE6-8ACF-33058F795869}"/>
            </c:ext>
          </c:extLst>
        </c:ser>
        <c:ser>
          <c:idx val="0"/>
          <c:order val="7"/>
          <c:tx>
            <c:v>Fit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0.13917665714604047"/>
                  <c:y val="0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MgCl2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C90D-4BE6-8ACF-33058F795869}"/>
                </c:ext>
              </c:extLst>
            </c:dLbl>
            <c:dLbl>
              <c:idx val="9"/>
              <c:layout>
                <c:manualLayout>
                  <c:x val="1.8955811755716218E-2"/>
                  <c:y val="1.860240293244170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CaCl2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C90D-4BE6-8ACF-33058F795869}"/>
                </c:ext>
              </c:extLst>
            </c:dLbl>
            <c:dLbl>
              <c:idx val="10"/>
              <c:layout>
                <c:manualLayout>
                  <c:x val="1.6049075630110508E-2"/>
                  <c:y val="4.185540659799401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SrCl2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C90D-4BE6-8ACF-33058F795869}"/>
                </c:ext>
              </c:extLst>
            </c:dLbl>
            <c:dLbl>
              <c:idx val="14"/>
              <c:layout>
                <c:manualLayout>
                  <c:x val="3.1895703560828811E-2"/>
                  <c:y val="4.185540659799401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FLiNaK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C90D-4BE6-8ACF-33058F79586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3285401876446844"/>
                  <c:y val="0.78648762464159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'MFP-PDF_Avg (2)'!$AV$5:$AV$23</c:f>
              <c:numCache>
                <c:formatCode>General</c:formatCode>
                <c:ptCount val="19"/>
                <c:pt idx="0">
                  <c:v>0.37979746319812113</c:v>
                </c:pt>
                <c:pt idx="1">
                  <c:v>0.29184445780135787</c:v>
                </c:pt>
                <c:pt idx="2">
                  <c:v>0.24533629939701559</c:v>
                </c:pt>
                <c:pt idx="3">
                  <c:v>0.72198244099516784</c:v>
                </c:pt>
                <c:pt idx="4">
                  <c:v>0.49067523585877765</c:v>
                </c:pt>
                <c:pt idx="5">
                  <c:v>0.33236370799974174</c:v>
                </c:pt>
                <c:pt idx="8">
                  <c:v>0.269940662012365</c:v>
                </c:pt>
                <c:pt idx="9">
                  <c:v>0.37024310108699071</c:v>
                </c:pt>
                <c:pt idx="10">
                  <c:v>0.32666098973626601</c:v>
                </c:pt>
                <c:pt idx="11">
                  <c:v>0.38288813854392989</c:v>
                </c:pt>
                <c:pt idx="13">
                  <c:v>1.0187917505808699</c:v>
                </c:pt>
                <c:pt idx="14">
                  <c:v>0.68591483111751272</c:v>
                </c:pt>
                <c:pt idx="15">
                  <c:v>0.64595928661301927</c:v>
                </c:pt>
                <c:pt idx="16">
                  <c:v>0.26539205378729858</c:v>
                </c:pt>
                <c:pt idx="17">
                  <c:v>0.28667900791014594</c:v>
                </c:pt>
              </c:numCache>
            </c:numRef>
          </c:xVal>
          <c:yVal>
            <c:numRef>
              <c:f>'MFP-PDF_Avg (2)'!$AP$5:$AP$23</c:f>
              <c:numCache>
                <c:formatCode>General</c:formatCode>
                <c:ptCount val="19"/>
                <c:pt idx="0">
                  <c:v>0.61260000000000003</c:v>
                </c:pt>
                <c:pt idx="1">
                  <c:v>0.46649999999999997</c:v>
                </c:pt>
                <c:pt idx="2">
                  <c:v>0.35505000000000003</c:v>
                </c:pt>
                <c:pt idx="3">
                  <c:v>1.33125</c:v>
                </c:pt>
                <c:pt idx="4">
                  <c:v>0.82789999999999997</c:v>
                </c:pt>
                <c:pt idx="5">
                  <c:v>0.56999999999999995</c:v>
                </c:pt>
                <c:pt idx="6">
                  <c:v>0.48965000000000003</c:v>
                </c:pt>
                <c:pt idx="7">
                  <c:v>0.36715000000000003</c:v>
                </c:pt>
                <c:pt idx="8">
                  <c:v>0.45680000000000004</c:v>
                </c:pt>
                <c:pt idx="9">
                  <c:v>0.44125000000000003</c:v>
                </c:pt>
                <c:pt idx="10">
                  <c:v>0.37705</c:v>
                </c:pt>
                <c:pt idx="11">
                  <c:v>0.51224999999999998</c:v>
                </c:pt>
                <c:pt idx="12">
                  <c:v>0.40920000000000001</c:v>
                </c:pt>
                <c:pt idx="13">
                  <c:v>1.1000000000000001</c:v>
                </c:pt>
                <c:pt idx="14">
                  <c:v>0.84457000000000004</c:v>
                </c:pt>
                <c:pt idx="15">
                  <c:v>0.87448810843065394</c:v>
                </c:pt>
                <c:pt idx="16">
                  <c:v>0.28277596034850733</c:v>
                </c:pt>
                <c:pt idx="17">
                  <c:v>0.22655673749565519</c:v>
                </c:pt>
                <c:pt idx="18">
                  <c:v>0.60089999999999999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C90D-4BE6-8ACF-33058F795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.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_predicted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  <c:majorUnit val="0.2"/>
      </c:valAx>
      <c:valAx>
        <c:axId val="689706896"/>
        <c:scaling>
          <c:orientation val="minMax"/>
          <c:max val="1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  <c:minorUnit val="4.0000000000000008E-2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0.71601650001853678"/>
          <c:y val="0.1836945902595509"/>
          <c:w val="0.28398349998146333"/>
          <c:h val="0.763893263342082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27133121517705"/>
          <c:y val="4.3650793650793648E-2"/>
          <c:w val="0.47260970668140168"/>
          <c:h val="0.82379640044994373"/>
        </c:manualLayout>
      </c:layout>
      <c:scatterChart>
        <c:scatterStyle val="lineMarker"/>
        <c:varyColors val="0"/>
        <c:ser>
          <c:idx val="4"/>
          <c:order val="0"/>
          <c:tx>
            <c:v>Unary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 (2)'!$BB$5:$BB$7</c:f>
              <c:numCache>
                <c:formatCode>0.000000</c:formatCode>
                <c:ptCount val="3"/>
                <c:pt idx="0">
                  <c:v>1793854.5296090934</c:v>
                </c:pt>
                <c:pt idx="1">
                  <c:v>1629233.3850450402</c:v>
                </c:pt>
                <c:pt idx="2">
                  <c:v>1287313.4602822843</c:v>
                </c:pt>
              </c:numCache>
            </c:numRef>
          </c:xVal>
          <c:yVal>
            <c:numRef>
              <c:f>'MFP-PDF_Avg (2)'!$CA$5:$CA$7</c:f>
              <c:numCache>
                <c:formatCode>0.00E+00</c:formatCode>
                <c:ptCount val="3"/>
                <c:pt idx="0">
                  <c:v>2299027.692598009</c:v>
                </c:pt>
                <c:pt idx="1">
                  <c:v>1849136.7861885792</c:v>
                </c:pt>
                <c:pt idx="2">
                  <c:v>1506961.5069615068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26-4483-B521-08FA3D6B4A00}"/>
            </c:ext>
          </c:extLst>
        </c:ser>
        <c:ser>
          <c:idx val="0"/>
          <c:order val="1"/>
          <c:tx>
            <c:v>Unary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 (2)'!$BB$8:$BB$10</c:f>
              <c:numCache>
                <c:formatCode>0.000000</c:formatCode>
                <c:ptCount val="3"/>
                <c:pt idx="0">
                  <c:v>4845016.5920281839</c:v>
                </c:pt>
                <c:pt idx="1">
                  <c:v>3446190.6171793793</c:v>
                </c:pt>
                <c:pt idx="2">
                  <c:v>2411046.0938777248</c:v>
                </c:pt>
              </c:numCache>
            </c:numRef>
          </c:xVal>
          <c:yVal>
            <c:numRef>
              <c:f>'MFP-PDF_Avg (2)'!$CA$8:$CA$10</c:f>
              <c:numCache>
                <c:formatCode>0.00E+00</c:formatCode>
                <c:ptCount val="3"/>
                <c:pt idx="0">
                  <c:v>4521126.760563381</c:v>
                </c:pt>
                <c:pt idx="1">
                  <c:v>3250000</c:v>
                </c:pt>
                <c:pt idx="2">
                  <c:v>2200657.8947368423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26-4483-B521-08FA3D6B4A00}"/>
            </c:ext>
          </c:extLst>
        </c:ser>
        <c:ser>
          <c:idx val="1"/>
          <c:order val="2"/>
          <c:tx>
            <c:v>Unary Alkaline Earth Chlorides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'MFP-PDF_Avg (2)'!$BB$13:$BB$15</c:f>
              <c:numCache>
                <c:formatCode>0.000000</c:formatCode>
                <c:ptCount val="3"/>
                <c:pt idx="0">
                  <c:v>1377853.2589735894</c:v>
                </c:pt>
                <c:pt idx="1">
                  <c:v>1995383.0026615004</c:v>
                </c:pt>
                <c:pt idx="2">
                  <c:v>1846051.2052025932</c:v>
                </c:pt>
              </c:numCache>
            </c:numRef>
          </c:xVal>
          <c:yVal>
            <c:numRef>
              <c:f>'MFP-PDF_Avg (2)'!$CA$13:$CA$15</c:f>
              <c:numCache>
                <c:formatCode>0.00E+00</c:formatCode>
                <c:ptCount val="3"/>
                <c:pt idx="0">
                  <c:v>1628871.8794256966</c:v>
                </c:pt>
                <c:pt idx="1">
                  <c:v>1928974.5850302745</c:v>
                </c:pt>
                <c:pt idx="2">
                  <c:v>1799756.6027023955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326-4483-B521-08FA3D6B4A00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'MFP-PDF_Avg (2)'!$BB$18:$BB$20</c:f>
              <c:numCache>
                <c:formatCode>0.000000</c:formatCode>
                <c:ptCount val="3"/>
                <c:pt idx="0">
                  <c:v>4555404.5536636701</c:v>
                </c:pt>
                <c:pt idx="1">
                  <c:v>4100777.072131874</c:v>
                </c:pt>
                <c:pt idx="2">
                  <c:v>5006991.6399292899</c:v>
                </c:pt>
              </c:numCache>
            </c:numRef>
          </c:xVal>
          <c:yVal>
            <c:numRef>
              <c:f>'MFP-PDF_Avg (2)'!$CA$18:$CA$20</c:f>
              <c:numCache>
                <c:formatCode>0.00E+00</c:formatCode>
                <c:ptCount val="3"/>
                <c:pt idx="0">
                  <c:v>4323157.1595853949</c:v>
                </c:pt>
                <c:pt idx="1">
                  <c:v>3402318.9027080508</c:v>
                </c:pt>
                <c:pt idx="2">
                  <c:v>4192480.558023226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326-4483-B521-08FA3D6B4A00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'MFP-PDF_Avg (2)'!$CH$21:$CH$22</c:f>
              <c:numCache>
                <c:formatCode>General</c:formatCode>
                <c:ptCount val="2"/>
                <c:pt idx="0">
                  <c:v>1974353.8841670761</c:v>
                </c:pt>
                <c:pt idx="1">
                  <c:v>1515117.258248803</c:v>
                </c:pt>
              </c:numCache>
            </c:numRef>
          </c:xVal>
          <c:yVal>
            <c:numRef>
              <c:f>'MFP-PDF_Avg (2)'!$CA$21:$CA$22</c:f>
              <c:numCache>
                <c:formatCode>0.00E+00</c:formatCode>
                <c:ptCount val="2"/>
                <c:pt idx="0">
                  <c:v>2156336.4385642763</c:v>
                </c:pt>
                <c:pt idx="1">
                  <c:v>2149770.3220167966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326-4483-B521-08FA3D6B4A00}"/>
            </c:ext>
          </c:extLst>
        </c:ser>
        <c:ser>
          <c:idx val="2"/>
          <c:order val="5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 (2)'!$CH$23</c:f>
              <c:numCache>
                <c:formatCode>General</c:formatCode>
                <c:ptCount val="1"/>
                <c:pt idx="0">
                  <c:v>4519039.7092508962</c:v>
                </c:pt>
              </c:numCache>
            </c:numRef>
          </c:xVal>
          <c:yVal>
            <c:numRef>
              <c:f>'MFP-PDF_Avg (2)'!$CA$23</c:f>
              <c:numCache>
                <c:formatCode>0.00E+00</c:formatCode>
                <c:ptCount val="1"/>
                <c:pt idx="0">
                  <c:v>4183129.8557158709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326-4483-B521-08FA3D6B4A00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.000000000000001E-2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7000000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7000000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A326-4483-B521-08FA3D6B4A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70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C_p,calc (phonon)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E+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  <c:majorUnit val="1000000"/>
      </c:valAx>
      <c:valAx>
        <c:axId val="689706896"/>
        <c:scaling>
          <c:orientation val="minMax"/>
          <c:max val="7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C_p,measured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635608048993876E-2"/>
              <c:y val="0.305791776027996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68536096836723448"/>
          <c:y val="8.2917760279965003E-2"/>
          <c:w val="0.30430796313330477"/>
          <c:h val="0.745785943423738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Peak-distributed MFP - Fast Sound</a:t>
            </a:r>
          </a:p>
        </c:rich>
      </c:tx>
      <c:layout>
        <c:manualLayout>
          <c:xMode val="edge"/>
          <c:yMode val="edge"/>
          <c:x val="0.13930434669110217"/>
          <c:y val="6.34211928158213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914129500000443"/>
          <c:y val="2.4448886568095182E-2"/>
          <c:w val="0.70035783448370248"/>
          <c:h val="0.88886118315369433"/>
        </c:manualLayout>
      </c:layout>
      <c:scatterChart>
        <c:scatterStyle val="lineMarker"/>
        <c:varyColors val="0"/>
        <c:ser>
          <c:idx val="4"/>
          <c:order val="0"/>
          <c:tx>
            <c:strRef>
              <c:f>'MFP-PDF_Avg (2)'!$AS$57</c:f>
              <c:strCache>
                <c:ptCount val="1"/>
                <c:pt idx="0">
                  <c:v>Unary Chlorides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 (2)'!$AW$5:$AW$7</c:f>
              <c:numCache>
                <c:formatCode>General</c:formatCode>
                <c:ptCount val="3"/>
                <c:pt idx="0">
                  <c:v>0.78670723632944894</c:v>
                </c:pt>
                <c:pt idx="1">
                  <c:v>0.53084165353214496</c:v>
                </c:pt>
                <c:pt idx="2">
                  <c:v>0.41602860665791702</c:v>
                </c:pt>
              </c:numCache>
            </c:numRef>
          </c:xVal>
          <c:yVal>
            <c:numRef>
              <c:f>'MFP-PDF_Avg (2)'!$AP$5:$AP$7</c:f>
              <c:numCache>
                <c:formatCode>General</c:formatCode>
                <c:ptCount val="3"/>
                <c:pt idx="0">
                  <c:v>0.61260000000000003</c:v>
                </c:pt>
                <c:pt idx="1">
                  <c:v>0.46649999999999997</c:v>
                </c:pt>
                <c:pt idx="2">
                  <c:v>0.35505000000000003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AE-497D-9B91-1070E4127CAB}"/>
            </c:ext>
          </c:extLst>
        </c:ser>
        <c:ser>
          <c:idx val="1"/>
          <c:order val="1"/>
          <c:tx>
            <c:strRef>
              <c:f>'MFP-PDF_Avg (2)'!$AS$58</c:f>
              <c:strCache>
                <c:ptCount val="1"/>
                <c:pt idx="0">
                  <c:v>Unary Flourides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 (2)'!$AW$8:$AW$10</c:f>
              <c:numCache>
                <c:formatCode>General</c:formatCode>
                <c:ptCount val="3"/>
                <c:pt idx="0">
                  <c:v>1.22987712739888</c:v>
                </c:pt>
                <c:pt idx="1">
                  <c:v>0.78264084714836502</c:v>
                </c:pt>
                <c:pt idx="2">
                  <c:v>0.51980918395456199</c:v>
                </c:pt>
              </c:numCache>
            </c:numRef>
          </c:xVal>
          <c:yVal>
            <c:numRef>
              <c:f>'MFP-PDF_Avg (2)'!$AP$8:$AP$10</c:f>
              <c:numCache>
                <c:formatCode>General</c:formatCode>
                <c:ptCount val="3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AE-497D-9B91-1070E4127CAB}"/>
            </c:ext>
          </c:extLst>
        </c:ser>
        <c:ser>
          <c:idx val="7"/>
          <c:order val="2"/>
          <c:tx>
            <c:strRef>
              <c:f>'MFP-PDF_Avg (2)'!$AS$59</c:f>
              <c:strCache>
                <c:ptCount val="1"/>
                <c:pt idx="0">
                  <c:v>Unary Alkaline Earth Chlorides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3.6834253571664755E-2"/>
                  <c:y val="3.679267350593350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MgCl2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56AE-497D-9B91-1070E4127CAB}"/>
                </c:ext>
              </c:extLst>
            </c:dLbl>
            <c:dLbl>
              <c:idx val="1"/>
              <c:layout>
                <c:manualLayout>
                  <c:x val="-0.10709031941708318"/>
                  <c:y val="-1.431095927301185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CaCl2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56AE-497D-9B91-1070E4127CAB}"/>
                </c:ext>
              </c:extLst>
            </c:dLbl>
            <c:dLbl>
              <c:idx val="2"/>
              <c:layout>
                <c:manualLayout>
                  <c:x val="2.3468042910998171E-2"/>
                  <c:y val="1.397712740316712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SrCl2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56AE-497D-9B91-1070E4127C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'MFP-PDF_Avg (2)'!$AW$13:$AW$15</c:f>
              <c:numCache>
                <c:formatCode>General</c:formatCode>
                <c:ptCount val="3"/>
                <c:pt idx="0">
                  <c:v>0.54002025954196298</c:v>
                </c:pt>
                <c:pt idx="1">
                  <c:v>0.42656474196147098</c:v>
                </c:pt>
              </c:numCache>
            </c:numRef>
          </c:xVal>
          <c:yVal>
            <c:numRef>
              <c:f>'MFP-PDF_Avg (2)'!$AP$13:$AP$15</c:f>
              <c:numCache>
                <c:formatCode>General</c:formatCode>
                <c:ptCount val="3"/>
                <c:pt idx="0">
                  <c:v>0.45680000000000004</c:v>
                </c:pt>
                <c:pt idx="1">
                  <c:v>0.44125000000000003</c:v>
                </c:pt>
                <c:pt idx="2">
                  <c:v>0.37705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AE-497D-9B91-1070E4127CAB}"/>
            </c:ext>
          </c:extLst>
        </c:ser>
        <c:ser>
          <c:idx val="5"/>
          <c:order val="3"/>
          <c:tx>
            <c:strRef>
              <c:f>'MFP-PDF_Avg (2)'!$AS$60</c:f>
              <c:strCache>
                <c:ptCount val="1"/>
                <c:pt idx="0">
                  <c:v>Fluoride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2.6223583095411101E-2"/>
                  <c:y val="1.860240293244178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FLiBe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56AE-497D-9B91-1070E4127CAB}"/>
                </c:ext>
              </c:extLst>
            </c:dLbl>
            <c:dLbl>
              <c:idx val="1"/>
              <c:layout>
                <c:manualLayout>
                  <c:x val="2.8845941404952211E-2"/>
                  <c:y val="2.325300366555223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FLiNaK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56AE-497D-9B91-1070E4127CA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6AE-497D-9B91-1070E4127C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'MFP-PDF_Avg (2)'!$AW$18:$AW$20</c:f>
              <c:numCache>
                <c:formatCode>General</c:formatCode>
                <c:ptCount val="3"/>
                <c:pt idx="0">
                  <c:v>1.28305844543897</c:v>
                </c:pt>
                <c:pt idx="1">
                  <c:v>0.85046707066330796</c:v>
                </c:pt>
                <c:pt idx="2">
                  <c:v>0.73223097949286997</c:v>
                </c:pt>
              </c:numCache>
            </c:numRef>
          </c:xVal>
          <c:yVal>
            <c:numRef>
              <c:f>'MFP-PDF_Avg (2)'!$AP$18:$AP$20</c:f>
              <c:numCache>
                <c:formatCode>General</c:formatCode>
                <c:ptCount val="3"/>
                <c:pt idx="0">
                  <c:v>1.1000000000000001</c:v>
                </c:pt>
                <c:pt idx="1">
                  <c:v>0.84457000000000004</c:v>
                </c:pt>
                <c:pt idx="2">
                  <c:v>0.87448810843065394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6AE-497D-9B91-1070E4127CAB}"/>
            </c:ext>
          </c:extLst>
        </c:ser>
        <c:ser>
          <c:idx val="6"/>
          <c:order val="4"/>
          <c:tx>
            <c:strRef>
              <c:f>'MFP-PDF_Avg (2)'!$AS$61</c:f>
              <c:strCache>
                <c:ptCount val="1"/>
                <c:pt idx="0">
                  <c:v>Chloride Actinide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3.272892665097818E-2"/>
                  <c:y val="2.1364125103935497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E0BA487-CCDC-4FE7-BE25-673E4F54B5AB}" type="CELLREF">
                      <a:rPr lang="en-US"/>
                      <a:pPr>
                        <a:defRPr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192675747327166"/>
                      <c:h val="5.4403228437930606E-2"/>
                    </c:manualLayout>
                  </c15:layout>
                  <c15:dlblFieldTable>
                    <c15:dlblFTEntry>
                      <c15:txfldGUID>{4E0BA487-CCDC-4FE7-BE25-673E4F54B5AB}</c15:txfldGUID>
                      <c15:f>'MFP-PDF_Avg (2)'!$A$21</c15:f>
                      <c15:dlblFieldTableCache>
                        <c:ptCount val="1"/>
                        <c:pt idx="0">
                          <c:v>0.63NaCl-0.37UCl3 (ORNL)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56AE-497D-9B91-1070E4127CAB}"/>
                </c:ext>
              </c:extLst>
            </c:dLbl>
            <c:dLbl>
              <c:idx val="1"/>
              <c:layout>
                <c:manualLayout>
                  <c:x val="-5.7130470147701888E-2"/>
                  <c:y val="0.1040991372616855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48043BA-4F93-455A-BDFD-BB5447868CFE}" type="CELLREF">
                      <a:rPr lang="en-US"/>
                      <a:pPr>
                        <a:defRPr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373123246279272"/>
                      <c:h val="6.0485445099453722E-2"/>
                    </c:manualLayout>
                  </c15:layout>
                  <c15:dlblFieldTable>
                    <c15:dlblFTEntry>
                      <c15:txfldGUID>{F48043BA-4F93-455A-BDFD-BB5447868CFE}</c15:txfldGUID>
                      <c15:f>'MFP-PDF_Avg (2)'!$A$22</c15:f>
                      <c15:dlblFieldTableCache>
                        <c:ptCount val="1"/>
                        <c:pt idx="0">
                          <c:v>0.658NaCl-0.342UCl3 (ANL)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56AE-497D-9B91-1070E4127C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'MFP-PDF_Avg (2)'!$AW$21:$AW$22</c:f>
              <c:numCache>
                <c:formatCode>General</c:formatCode>
                <c:ptCount val="2"/>
                <c:pt idx="0">
                  <c:v>0.29301529878909899</c:v>
                </c:pt>
                <c:pt idx="1">
                  <c:v>0.316517898560285</c:v>
                </c:pt>
              </c:numCache>
            </c:numRef>
          </c:xVal>
          <c:yVal>
            <c:numRef>
              <c:f>'MFP-PDF_Avg (2)'!$AP$21:$AP$22</c:f>
              <c:numCache>
                <c:formatCode>General</c:formatCode>
                <c:ptCount val="2"/>
                <c:pt idx="0">
                  <c:v>0.28277596034850733</c:v>
                </c:pt>
                <c:pt idx="1">
                  <c:v>0.22655673749565519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6AE-497D-9B91-1070E4127CAB}"/>
            </c:ext>
          </c:extLst>
        </c:ser>
        <c:ser>
          <c:idx val="2"/>
          <c:order val="5"/>
          <c:tx>
            <c:strRef>
              <c:f>'MFP-PDF_Avg (2)'!$AS$62</c:f>
              <c:strCache>
                <c:ptCount val="1"/>
                <c:pt idx="0">
                  <c:v>Water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 (2)'!$BC$23</c:f>
              <c:numCache>
                <c:formatCode>0.000000</c:formatCode>
                <c:ptCount val="1"/>
                <c:pt idx="0">
                  <c:v>0.55623382223307438</c:v>
                </c:pt>
              </c:numCache>
            </c:numRef>
          </c:xVal>
          <c:yVal>
            <c:numRef>
              <c:f>'MFP-PDF_Avg (2)'!$AO$23</c:f>
              <c:numCache>
                <c:formatCode>General</c:formatCode>
                <c:ptCount val="1"/>
                <c:pt idx="0">
                  <c:v>0.60089999999999999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56AE-497D-9B91-1070E4127CAB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2-56AE-497D-9B91-1070E4127CAB}"/>
            </c:ext>
          </c:extLst>
        </c:ser>
        <c:ser>
          <c:idx val="0"/>
          <c:order val="7"/>
          <c:spPr>
            <a:ln w="25400" cap="rnd">
              <a:noFill/>
              <a:round/>
            </a:ln>
            <a:effectLst/>
          </c:spPr>
          <c:marker>
            <c:symbol val="none"/>
          </c:marker>
          <c:xVal>
            <c:numRef>
              <c:f>'MFP-PDF_Avg (2)'!$AW$5:$AW$23</c:f>
              <c:numCache>
                <c:formatCode>General</c:formatCode>
                <c:ptCount val="19"/>
                <c:pt idx="0">
                  <c:v>0.78670723632944894</c:v>
                </c:pt>
                <c:pt idx="1">
                  <c:v>0.53084165353214496</c:v>
                </c:pt>
                <c:pt idx="2">
                  <c:v>0.41602860665791702</c:v>
                </c:pt>
                <c:pt idx="3">
                  <c:v>1.22987712739888</c:v>
                </c:pt>
                <c:pt idx="4">
                  <c:v>0.78264084714836502</c:v>
                </c:pt>
                <c:pt idx="5">
                  <c:v>0.51980918395456199</c:v>
                </c:pt>
                <c:pt idx="8">
                  <c:v>0.54002025954196298</c:v>
                </c:pt>
                <c:pt idx="9">
                  <c:v>0.42656474196147098</c:v>
                </c:pt>
                <c:pt idx="11">
                  <c:v>0.54571904518309799</c:v>
                </c:pt>
                <c:pt idx="13">
                  <c:v>1.28305844543897</c:v>
                </c:pt>
                <c:pt idx="14">
                  <c:v>0.85046707066330796</c:v>
                </c:pt>
                <c:pt idx="15">
                  <c:v>0.73223097949286997</c:v>
                </c:pt>
                <c:pt idx="16">
                  <c:v>0.29301529878909899</c:v>
                </c:pt>
                <c:pt idx="17">
                  <c:v>0.316517898560285</c:v>
                </c:pt>
              </c:numCache>
            </c:numRef>
          </c:xVal>
          <c:yVal>
            <c:numRef>
              <c:f>'MFP-PDF_Avg (2)'!$AO$5:$AO$23</c:f>
              <c:numCache>
                <c:formatCode>General</c:formatCode>
                <c:ptCount val="19"/>
                <c:pt idx="0">
                  <c:v>0.62813099999999999</c:v>
                </c:pt>
                <c:pt idx="1">
                  <c:v>0.47675999999999996</c:v>
                </c:pt>
                <c:pt idx="2">
                  <c:v>0.35948275000000002</c:v>
                </c:pt>
                <c:pt idx="3">
                  <c:v>1.3489312500000001</c:v>
                </c:pt>
                <c:pt idx="4">
                  <c:v>0.84152399999999994</c:v>
                </c:pt>
                <c:pt idx="5">
                  <c:v>0.58248</c:v>
                </c:pt>
                <c:pt idx="6">
                  <c:v>0.50006000000000006</c:v>
                </c:pt>
                <c:pt idx="7">
                  <c:v>0.38200000000000001</c:v>
                </c:pt>
                <c:pt idx="8">
                  <c:v>0.46085600000000004</c:v>
                </c:pt>
                <c:pt idx="9">
                  <c:v>0.44147999999999998</c:v>
                </c:pt>
                <c:pt idx="10">
                  <c:v>0.37681199999999998</c:v>
                </c:pt>
                <c:pt idx="11">
                  <c:v>0.51364054999999997</c:v>
                </c:pt>
                <c:pt idx="12">
                  <c:v>0.68778329999999999</c:v>
                </c:pt>
                <c:pt idx="13">
                  <c:v>1.1000000000000001</c:v>
                </c:pt>
                <c:pt idx="14">
                  <c:v>0.77032600000000007</c:v>
                </c:pt>
                <c:pt idx="15">
                  <c:v>0.84372400051146534</c:v>
                </c:pt>
                <c:pt idx="16">
                  <c:v>0.20904664500732548</c:v>
                </c:pt>
                <c:pt idx="17">
                  <c:v>0.4953628608812834</c:v>
                </c:pt>
                <c:pt idx="18">
                  <c:v>0.60089999999999999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56AE-497D-9B91-1070E4127C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.4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_predicted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  <c:majorUnit val="0.2"/>
      </c:valAx>
      <c:valAx>
        <c:axId val="689706896"/>
        <c:scaling>
          <c:orientation val="minMax"/>
          <c:max val="1.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  <c:minorUnit val="4.0000000000000008E-2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0.57696937092051948"/>
          <c:y val="0.57671280789450385"/>
          <c:w val="0.28822976653218124"/>
          <c:h val="0.280844686492618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MFP from cat-an</a:t>
            </a:r>
            <a:r>
              <a:rPr lang="en-US" sz="1200" baseline="0"/>
              <a:t> f</a:t>
            </a:r>
            <a:r>
              <a:rPr lang="en-US" sz="1200"/>
              <a:t>irst peak</a:t>
            </a:r>
          </a:p>
        </c:rich>
      </c:tx>
      <c:layout>
        <c:manualLayout>
          <c:xMode val="edge"/>
          <c:yMode val="edge"/>
          <c:x val="0.1239491434630984"/>
          <c:y val="1.910554666529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66593759113446"/>
          <c:y val="5.9523809523809521E-2"/>
          <c:w val="0.56891659375911341"/>
          <c:h val="0.77617745698454343"/>
        </c:manualLayout>
      </c:layout>
      <c:scatterChart>
        <c:scatterStyle val="lineMarker"/>
        <c:varyColors val="0"/>
        <c:ser>
          <c:idx val="4"/>
          <c:order val="0"/>
          <c:tx>
            <c:v>Unary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 (2)'!$AV$5:$AV$7</c:f>
              <c:numCache>
                <c:formatCode>General</c:formatCode>
                <c:ptCount val="3"/>
                <c:pt idx="0">
                  <c:v>0.37979746319812113</c:v>
                </c:pt>
                <c:pt idx="1">
                  <c:v>0.29184445780135787</c:v>
                </c:pt>
                <c:pt idx="2">
                  <c:v>0.24533629939701559</c:v>
                </c:pt>
              </c:numCache>
            </c:numRef>
          </c:xVal>
          <c:yVal>
            <c:numRef>
              <c:f>'MFP-PDF_Avg (2)'!$AO$5:$AO$7</c:f>
              <c:numCache>
                <c:formatCode>General</c:formatCode>
                <c:ptCount val="3"/>
                <c:pt idx="0">
                  <c:v>0.62813099999999999</c:v>
                </c:pt>
                <c:pt idx="1">
                  <c:v>0.47675999999999996</c:v>
                </c:pt>
                <c:pt idx="2">
                  <c:v>0.35948275000000002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80-4D0F-8F71-84B99524C6C7}"/>
            </c:ext>
          </c:extLst>
        </c:ser>
        <c:ser>
          <c:idx val="1"/>
          <c:order val="1"/>
          <c:tx>
            <c:v>Unary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 (2)'!$AV$8:$AV$10</c:f>
              <c:numCache>
                <c:formatCode>General</c:formatCode>
                <c:ptCount val="3"/>
                <c:pt idx="0">
                  <c:v>0.72198244099516784</c:v>
                </c:pt>
                <c:pt idx="1">
                  <c:v>0.49067523585877765</c:v>
                </c:pt>
                <c:pt idx="2">
                  <c:v>0.33236370799974174</c:v>
                </c:pt>
              </c:numCache>
            </c:numRef>
          </c:xVal>
          <c:yVal>
            <c:numRef>
              <c:f>'MFP-PDF_Avg (2)'!$AO$8:$AO$10</c:f>
              <c:numCache>
                <c:formatCode>General</c:formatCode>
                <c:ptCount val="3"/>
                <c:pt idx="0">
                  <c:v>1.3489312500000001</c:v>
                </c:pt>
                <c:pt idx="1">
                  <c:v>0.84152399999999994</c:v>
                </c:pt>
                <c:pt idx="2">
                  <c:v>0.58248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80-4D0F-8F71-84B99524C6C7}"/>
            </c:ext>
          </c:extLst>
        </c:ser>
        <c:ser>
          <c:idx val="7"/>
          <c:order val="2"/>
          <c:tx>
            <c:v>Unary Alkaline Earth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'MFP-PDF_Avg (2)'!$AV$13:$AV$15</c:f>
              <c:numCache>
                <c:formatCode>General</c:formatCode>
                <c:ptCount val="3"/>
                <c:pt idx="0">
                  <c:v>0.269940662012365</c:v>
                </c:pt>
                <c:pt idx="1">
                  <c:v>0.37024310108699071</c:v>
                </c:pt>
                <c:pt idx="2">
                  <c:v>0.32666098973626601</c:v>
                </c:pt>
              </c:numCache>
            </c:numRef>
          </c:xVal>
          <c:yVal>
            <c:numRef>
              <c:f>'MFP-PDF_Avg (2)'!$AO$13:$AO$15</c:f>
              <c:numCache>
                <c:formatCode>General</c:formatCode>
                <c:ptCount val="3"/>
                <c:pt idx="0">
                  <c:v>0.46085600000000004</c:v>
                </c:pt>
                <c:pt idx="1">
                  <c:v>0.44147999999999998</c:v>
                </c:pt>
                <c:pt idx="2">
                  <c:v>0.37681199999999998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980-4D0F-8F71-84B99524C6C7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0"/>
                  <c:y val="1.860240293244178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FLiBe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7980-4D0F-8F71-84B99524C6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'MFP-PDF_Avg (2)'!$AV$18:$AV$20</c:f>
              <c:numCache>
                <c:formatCode>General</c:formatCode>
                <c:ptCount val="3"/>
                <c:pt idx="0">
                  <c:v>1.0187917505808699</c:v>
                </c:pt>
                <c:pt idx="1">
                  <c:v>0.68591483111751272</c:v>
                </c:pt>
                <c:pt idx="2">
                  <c:v>0.64595928661301927</c:v>
                </c:pt>
              </c:numCache>
            </c:numRef>
          </c:xVal>
          <c:yVal>
            <c:numRef>
              <c:f>'MFP-PDF_Avg (2)'!$AO$18:$AO$20</c:f>
              <c:numCache>
                <c:formatCode>General</c:formatCode>
                <c:ptCount val="3"/>
                <c:pt idx="0">
                  <c:v>1.1000000000000001</c:v>
                </c:pt>
                <c:pt idx="1">
                  <c:v>0.77032600000000007</c:v>
                </c:pt>
                <c:pt idx="2">
                  <c:v>0.84372400051146534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980-4D0F-8F71-84B99524C6C7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3676550468129631"/>
                  <c:y val="9.569306767539539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E0BA487-CCDC-4FE7-BE25-673E4F54B5AB}" type="CELLREF">
                      <a:rPr lang="en-US"/>
                      <a:pPr>
                        <a:defRPr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597216460632209"/>
                      <c:h val="0.11182086614173228"/>
                    </c:manualLayout>
                  </c15:layout>
                  <c15:dlblFieldTable>
                    <c15:dlblFTEntry>
                      <c15:txfldGUID>{4E0BA487-CCDC-4FE7-BE25-673E4F54B5AB}</c15:txfldGUID>
                      <c15:f>'MFP-PDF_Avg (2)'!$A$21</c15:f>
                      <c15:dlblFieldTableCache>
                        <c:ptCount val="1"/>
                        <c:pt idx="0">
                          <c:v>0.63NaCl-0.37UCl3 (ORNL)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7980-4D0F-8F71-84B99524C6C7}"/>
                </c:ext>
              </c:extLst>
            </c:dLbl>
            <c:dLbl>
              <c:idx val="1"/>
              <c:layout>
                <c:manualLayout>
                  <c:x val="4.4468155327250548E-2"/>
                  <c:y val="5.289252718038096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48043BA-4F93-455A-BDFD-BB5447868CFE}" type="CELLREF">
                      <a:rPr lang="en-US"/>
                      <a:pPr>
                        <a:defRPr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342772942855827"/>
                      <c:h val="9.7931758530183724E-2"/>
                    </c:manualLayout>
                  </c15:layout>
                  <c15:dlblFieldTable>
                    <c15:dlblFTEntry>
                      <c15:txfldGUID>{F48043BA-4F93-455A-BDFD-BB5447868CFE}</c15:txfldGUID>
                      <c15:f>'MFP-PDF_Avg (2)'!$A$22</c15:f>
                      <c15:dlblFieldTableCache>
                        <c:ptCount val="1"/>
                        <c:pt idx="0">
                          <c:v>0.658NaCl-0.342UCl3 (ANL)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7980-4D0F-8F71-84B99524C6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'MFP-PDF_Avg (2)'!$AV$21:$AV$22</c:f>
              <c:numCache>
                <c:formatCode>General</c:formatCode>
                <c:ptCount val="2"/>
                <c:pt idx="0">
                  <c:v>0.26539205378729858</c:v>
                </c:pt>
                <c:pt idx="1">
                  <c:v>0.28667900791014594</c:v>
                </c:pt>
              </c:numCache>
            </c:numRef>
          </c:xVal>
          <c:yVal>
            <c:numRef>
              <c:f>'MFP-PDF_Avg (2)'!$AO$21:$AO$22</c:f>
              <c:numCache>
                <c:formatCode>General</c:formatCode>
                <c:ptCount val="2"/>
                <c:pt idx="0">
                  <c:v>0.20904664500732548</c:v>
                </c:pt>
                <c:pt idx="1">
                  <c:v>0.4953628608812834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980-4D0F-8F71-84B99524C6C7}"/>
            </c:ext>
          </c:extLst>
        </c:ser>
        <c:ser>
          <c:idx val="2"/>
          <c:order val="5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 (2)'!$BC$23</c:f>
              <c:numCache>
                <c:formatCode>0.000000</c:formatCode>
                <c:ptCount val="1"/>
                <c:pt idx="0">
                  <c:v>0.55623382223307438</c:v>
                </c:pt>
              </c:numCache>
            </c:numRef>
          </c:xVal>
          <c:yVal>
            <c:numRef>
              <c:f>'MFP-PDF_Avg (2)'!$AO$23</c:f>
              <c:numCache>
                <c:formatCode>General</c:formatCode>
                <c:ptCount val="1"/>
                <c:pt idx="0">
                  <c:v>0.60089999999999999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980-4D0F-8F71-84B99524C6C7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D-7980-4D0F-8F71-84B99524C6C7}"/>
            </c:ext>
          </c:extLst>
        </c:ser>
        <c:ser>
          <c:idx val="0"/>
          <c:order val="7"/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0.13917665714604047"/>
                  <c:y val="0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MgCl2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7980-4D0F-8F71-84B99524C6C7}"/>
                </c:ext>
              </c:extLst>
            </c:dLbl>
            <c:dLbl>
              <c:idx val="9"/>
              <c:layout>
                <c:manualLayout>
                  <c:x val="1.8955811755716218E-2"/>
                  <c:y val="1.860240293244170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CaCl2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7980-4D0F-8F71-84B99524C6C7}"/>
                </c:ext>
              </c:extLst>
            </c:dLbl>
            <c:dLbl>
              <c:idx val="10"/>
              <c:layout>
                <c:manualLayout>
                  <c:x val="1.6049075630110508E-2"/>
                  <c:y val="4.185540659799401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SrCl2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7980-4D0F-8F71-84B99524C6C7}"/>
                </c:ext>
              </c:extLst>
            </c:dLbl>
            <c:dLbl>
              <c:idx val="14"/>
              <c:layout>
                <c:manualLayout>
                  <c:x val="3.1895703560828811E-2"/>
                  <c:y val="4.185540659799401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FLiNaK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7980-4D0F-8F71-84B99524C6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3285401876446844"/>
                  <c:y val="0.78648762464159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'MFP-PDF_Avg (2)'!$AV$5:$AV$23</c:f>
              <c:numCache>
                <c:formatCode>General</c:formatCode>
                <c:ptCount val="19"/>
                <c:pt idx="0">
                  <c:v>0.37979746319812113</c:v>
                </c:pt>
                <c:pt idx="1">
                  <c:v>0.29184445780135787</c:v>
                </c:pt>
                <c:pt idx="2">
                  <c:v>0.24533629939701559</c:v>
                </c:pt>
                <c:pt idx="3">
                  <c:v>0.72198244099516784</c:v>
                </c:pt>
                <c:pt idx="4">
                  <c:v>0.49067523585877765</c:v>
                </c:pt>
                <c:pt idx="5">
                  <c:v>0.33236370799974174</c:v>
                </c:pt>
                <c:pt idx="8">
                  <c:v>0.269940662012365</c:v>
                </c:pt>
                <c:pt idx="9">
                  <c:v>0.37024310108699071</c:v>
                </c:pt>
                <c:pt idx="10">
                  <c:v>0.32666098973626601</c:v>
                </c:pt>
                <c:pt idx="11">
                  <c:v>0.38288813854392989</c:v>
                </c:pt>
                <c:pt idx="13">
                  <c:v>1.0187917505808699</c:v>
                </c:pt>
                <c:pt idx="14">
                  <c:v>0.68591483111751272</c:v>
                </c:pt>
                <c:pt idx="15">
                  <c:v>0.64595928661301927</c:v>
                </c:pt>
                <c:pt idx="16">
                  <c:v>0.26539205378729858</c:v>
                </c:pt>
                <c:pt idx="17">
                  <c:v>0.28667900791014594</c:v>
                </c:pt>
              </c:numCache>
            </c:numRef>
          </c:xVal>
          <c:yVal>
            <c:numRef>
              <c:f>'MFP-PDF_Avg (2)'!$AO$5:$AO$23</c:f>
              <c:numCache>
                <c:formatCode>General</c:formatCode>
                <c:ptCount val="19"/>
                <c:pt idx="0">
                  <c:v>0.62813099999999999</c:v>
                </c:pt>
                <c:pt idx="1">
                  <c:v>0.47675999999999996</c:v>
                </c:pt>
                <c:pt idx="2">
                  <c:v>0.35948275000000002</c:v>
                </c:pt>
                <c:pt idx="3">
                  <c:v>1.3489312500000001</c:v>
                </c:pt>
                <c:pt idx="4">
                  <c:v>0.84152399999999994</c:v>
                </c:pt>
                <c:pt idx="5">
                  <c:v>0.58248</c:v>
                </c:pt>
                <c:pt idx="6">
                  <c:v>0.50006000000000006</c:v>
                </c:pt>
                <c:pt idx="7">
                  <c:v>0.38200000000000001</c:v>
                </c:pt>
                <c:pt idx="8">
                  <c:v>0.46085600000000004</c:v>
                </c:pt>
                <c:pt idx="9">
                  <c:v>0.44147999999999998</c:v>
                </c:pt>
                <c:pt idx="10">
                  <c:v>0.37681199999999998</c:v>
                </c:pt>
                <c:pt idx="11">
                  <c:v>0.51364054999999997</c:v>
                </c:pt>
                <c:pt idx="12">
                  <c:v>0.68778329999999999</c:v>
                </c:pt>
                <c:pt idx="13">
                  <c:v>1.1000000000000001</c:v>
                </c:pt>
                <c:pt idx="14">
                  <c:v>0.77032600000000007</c:v>
                </c:pt>
                <c:pt idx="15">
                  <c:v>0.84372400051146534</c:v>
                </c:pt>
                <c:pt idx="16">
                  <c:v>0.20904664500732548</c:v>
                </c:pt>
                <c:pt idx="17">
                  <c:v>0.4953628608812834</c:v>
                </c:pt>
                <c:pt idx="18">
                  <c:v>0.60089999999999999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980-4D0F-8F71-84B99524C6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.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_predicted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  <c:majorUnit val="0.2"/>
      </c:valAx>
      <c:valAx>
        <c:axId val="689706896"/>
        <c:scaling>
          <c:orientation val="minMax"/>
          <c:max val="1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  <c:minorUnit val="4.0000000000000008E-2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0.71601650001853678"/>
          <c:y val="0.1836945902595509"/>
          <c:w val="0.28398349998146333"/>
          <c:h val="0.763893263342082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MFP from cat-an</a:t>
            </a:r>
            <a:r>
              <a:rPr lang="en-US" sz="1200" baseline="0"/>
              <a:t> f</a:t>
            </a:r>
            <a:r>
              <a:rPr lang="en-US" sz="1200"/>
              <a:t>irst peak -PDF_T</a:t>
            </a:r>
          </a:p>
        </c:rich>
      </c:tx>
      <c:layout>
        <c:manualLayout>
          <c:xMode val="edge"/>
          <c:yMode val="edge"/>
          <c:x val="0.1239491434630984"/>
          <c:y val="1.910554666529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66593759113446"/>
          <c:y val="5.9523809523809521E-2"/>
          <c:w val="0.56891659375911341"/>
          <c:h val="0.77617745698454343"/>
        </c:manualLayout>
      </c:layout>
      <c:scatterChart>
        <c:scatterStyle val="lineMarker"/>
        <c:varyColors val="0"/>
        <c:ser>
          <c:idx val="4"/>
          <c:order val="0"/>
          <c:tx>
            <c:v>Unary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 (2)'!$AV$5:$AV$7</c:f>
              <c:numCache>
                <c:formatCode>General</c:formatCode>
                <c:ptCount val="3"/>
                <c:pt idx="0">
                  <c:v>0.37979746319812113</c:v>
                </c:pt>
                <c:pt idx="1">
                  <c:v>0.29184445780135787</c:v>
                </c:pt>
                <c:pt idx="2">
                  <c:v>0.24533629939701559</c:v>
                </c:pt>
              </c:numCache>
            </c:numRef>
          </c:xVal>
          <c:yVal>
            <c:numRef>
              <c:f>'MFP-PDF_Avg (2)'!$AP$5:$AP$7</c:f>
              <c:numCache>
                <c:formatCode>General</c:formatCode>
                <c:ptCount val="3"/>
                <c:pt idx="0">
                  <c:v>0.61260000000000003</c:v>
                </c:pt>
                <c:pt idx="1">
                  <c:v>0.46649999999999997</c:v>
                </c:pt>
                <c:pt idx="2">
                  <c:v>0.35505000000000003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30-4DA8-A69F-C15AAB3C58E8}"/>
            </c:ext>
          </c:extLst>
        </c:ser>
        <c:ser>
          <c:idx val="1"/>
          <c:order val="1"/>
          <c:tx>
            <c:v>Unary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 (2)'!$AV$8:$AV$10</c:f>
              <c:numCache>
                <c:formatCode>General</c:formatCode>
                <c:ptCount val="3"/>
                <c:pt idx="0">
                  <c:v>0.72198244099516784</c:v>
                </c:pt>
                <c:pt idx="1">
                  <c:v>0.49067523585877765</c:v>
                </c:pt>
                <c:pt idx="2">
                  <c:v>0.33236370799974174</c:v>
                </c:pt>
              </c:numCache>
            </c:numRef>
          </c:xVal>
          <c:yVal>
            <c:numRef>
              <c:f>'MFP-PDF_Avg (2)'!$AP$8:$AP$10</c:f>
              <c:numCache>
                <c:formatCode>General</c:formatCode>
                <c:ptCount val="3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30-4DA8-A69F-C15AAB3C58E8}"/>
            </c:ext>
          </c:extLst>
        </c:ser>
        <c:ser>
          <c:idx val="7"/>
          <c:order val="2"/>
          <c:tx>
            <c:v>Unary Alkaline Earth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'MFP-PDF_Avg (2)'!$AV$13:$AV$15</c:f>
              <c:numCache>
                <c:formatCode>General</c:formatCode>
                <c:ptCount val="3"/>
                <c:pt idx="0">
                  <c:v>0.269940662012365</c:v>
                </c:pt>
                <c:pt idx="1">
                  <c:v>0.37024310108699071</c:v>
                </c:pt>
                <c:pt idx="2">
                  <c:v>0.32666098973626601</c:v>
                </c:pt>
              </c:numCache>
            </c:numRef>
          </c:xVal>
          <c:yVal>
            <c:numRef>
              <c:f>'MFP-PDF_Avg (2)'!$AP$13:$AP$15</c:f>
              <c:numCache>
                <c:formatCode>General</c:formatCode>
                <c:ptCount val="3"/>
                <c:pt idx="0">
                  <c:v>0.45680000000000004</c:v>
                </c:pt>
                <c:pt idx="1">
                  <c:v>0.44125000000000003</c:v>
                </c:pt>
                <c:pt idx="2">
                  <c:v>0.37705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30-4DA8-A69F-C15AAB3C58E8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0"/>
                  <c:y val="1.860240293244178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FLiBe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F530-4DA8-A69F-C15AAB3C58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'MFP-PDF_Avg (2)'!$AV$18:$AV$20</c:f>
              <c:numCache>
                <c:formatCode>General</c:formatCode>
                <c:ptCount val="3"/>
                <c:pt idx="0">
                  <c:v>1.0187917505808699</c:v>
                </c:pt>
                <c:pt idx="1">
                  <c:v>0.68591483111751272</c:v>
                </c:pt>
                <c:pt idx="2">
                  <c:v>0.64595928661301927</c:v>
                </c:pt>
              </c:numCache>
            </c:numRef>
          </c:xVal>
          <c:yVal>
            <c:numRef>
              <c:f>('MFP-PDF_Avg (2)'!$AP$18,'MFP-PDF_Avg (2)'!$AP$19,'MFP-PDF_Avg (2)'!$AP$20)</c:f>
              <c:numCache>
                <c:formatCode>General</c:formatCode>
                <c:ptCount val="3"/>
                <c:pt idx="0">
                  <c:v>1.1000000000000001</c:v>
                </c:pt>
                <c:pt idx="1">
                  <c:v>0.84457000000000004</c:v>
                </c:pt>
                <c:pt idx="2">
                  <c:v>0.87448810843065394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30-4DA8-A69F-C15AAB3C58E8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3676550468129631"/>
                  <c:y val="9.569306767539539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E0BA487-CCDC-4FE7-BE25-673E4F54B5AB}" type="CELLREF">
                      <a:rPr lang="en-US"/>
                      <a:pPr>
                        <a:defRPr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597216460632209"/>
                      <c:h val="0.11182086614173228"/>
                    </c:manualLayout>
                  </c15:layout>
                  <c15:dlblFieldTable>
                    <c15:dlblFTEntry>
                      <c15:txfldGUID>{4E0BA487-CCDC-4FE7-BE25-673E4F54B5AB}</c15:txfldGUID>
                      <c15:f>'MFP-PDF_Avg (2)'!$A$21</c15:f>
                      <c15:dlblFieldTableCache>
                        <c:ptCount val="1"/>
                        <c:pt idx="0">
                          <c:v>0.63NaCl-0.37UCl3 (ORNL)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F530-4DA8-A69F-C15AAB3C58E8}"/>
                </c:ext>
              </c:extLst>
            </c:dLbl>
            <c:dLbl>
              <c:idx val="1"/>
              <c:layout>
                <c:manualLayout>
                  <c:x val="4.4468155327250548E-2"/>
                  <c:y val="5.289252718038096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48043BA-4F93-455A-BDFD-BB5447868CFE}" type="CELLREF">
                      <a:rPr lang="en-US"/>
                      <a:pPr>
                        <a:defRPr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342772942855827"/>
                      <c:h val="9.7931758530183724E-2"/>
                    </c:manualLayout>
                  </c15:layout>
                  <c15:dlblFieldTable>
                    <c15:dlblFTEntry>
                      <c15:txfldGUID>{F48043BA-4F93-455A-BDFD-BB5447868CFE}</c15:txfldGUID>
                      <c15:f>'MFP-PDF_Avg (2)'!$A$22</c15:f>
                      <c15:dlblFieldTableCache>
                        <c:ptCount val="1"/>
                        <c:pt idx="0">
                          <c:v>0.658NaCl-0.342UCl3 (ANL)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F530-4DA8-A69F-C15AAB3C58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'MFP-PDF_Avg (2)'!$AV$21:$AV$22</c:f>
              <c:numCache>
                <c:formatCode>General</c:formatCode>
                <c:ptCount val="2"/>
                <c:pt idx="0">
                  <c:v>0.26539205378729858</c:v>
                </c:pt>
                <c:pt idx="1">
                  <c:v>0.28667900791014594</c:v>
                </c:pt>
              </c:numCache>
            </c:numRef>
          </c:xVal>
          <c:yVal>
            <c:numRef>
              <c:f>'MFP-PDF_Avg (2)'!$AP$21:$AP$22</c:f>
              <c:numCache>
                <c:formatCode>General</c:formatCode>
                <c:ptCount val="2"/>
                <c:pt idx="0">
                  <c:v>0.28277596034850733</c:v>
                </c:pt>
                <c:pt idx="1">
                  <c:v>0.22655673749565519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530-4DA8-A69F-C15AAB3C58E8}"/>
            </c:ext>
          </c:extLst>
        </c:ser>
        <c:ser>
          <c:idx val="2"/>
          <c:order val="5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 (2)'!$BC$23</c:f>
              <c:numCache>
                <c:formatCode>0.000000</c:formatCode>
                <c:ptCount val="1"/>
                <c:pt idx="0">
                  <c:v>0.55623382223307438</c:v>
                </c:pt>
              </c:numCache>
            </c:numRef>
          </c:xVal>
          <c:yVal>
            <c:numRef>
              <c:f>'MFP-PDF_Avg (2)'!$AP$23</c:f>
              <c:numCache>
                <c:formatCode>General</c:formatCode>
                <c:ptCount val="1"/>
                <c:pt idx="0">
                  <c:v>0.60089999999999999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530-4DA8-A69F-C15AAB3C58E8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D-F530-4DA8-A69F-C15AAB3C58E8}"/>
            </c:ext>
          </c:extLst>
        </c:ser>
        <c:ser>
          <c:idx val="0"/>
          <c:order val="7"/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0.13917665714604047"/>
                  <c:y val="0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MgCl2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F530-4DA8-A69F-C15AAB3C58E8}"/>
                </c:ext>
              </c:extLst>
            </c:dLbl>
            <c:dLbl>
              <c:idx val="9"/>
              <c:layout>
                <c:manualLayout>
                  <c:x val="1.8955811755716218E-2"/>
                  <c:y val="1.860240293244170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CaCl2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F530-4DA8-A69F-C15AAB3C58E8}"/>
                </c:ext>
              </c:extLst>
            </c:dLbl>
            <c:dLbl>
              <c:idx val="10"/>
              <c:layout>
                <c:manualLayout>
                  <c:x val="1.6049075630110508E-2"/>
                  <c:y val="4.185540659799401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SrCl2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F530-4DA8-A69F-C15AAB3C58E8}"/>
                </c:ext>
              </c:extLst>
            </c:dLbl>
            <c:dLbl>
              <c:idx val="14"/>
              <c:layout>
                <c:manualLayout>
                  <c:x val="-0.13261664098086323"/>
                  <c:y val="-5.115660806421495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FLiNaK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F530-4DA8-A69F-C15AAB3C58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3285401876446844"/>
                  <c:y val="0.78648762464159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'MFP-PDF_Avg (2)'!$AV$5:$AV$23</c:f>
              <c:numCache>
                <c:formatCode>General</c:formatCode>
                <c:ptCount val="19"/>
                <c:pt idx="0">
                  <c:v>0.37979746319812113</c:v>
                </c:pt>
                <c:pt idx="1">
                  <c:v>0.29184445780135787</c:v>
                </c:pt>
                <c:pt idx="2">
                  <c:v>0.24533629939701559</c:v>
                </c:pt>
                <c:pt idx="3">
                  <c:v>0.72198244099516784</c:v>
                </c:pt>
                <c:pt idx="4">
                  <c:v>0.49067523585877765</c:v>
                </c:pt>
                <c:pt idx="5">
                  <c:v>0.33236370799974174</c:v>
                </c:pt>
                <c:pt idx="8">
                  <c:v>0.269940662012365</c:v>
                </c:pt>
                <c:pt idx="9">
                  <c:v>0.37024310108699071</c:v>
                </c:pt>
                <c:pt idx="10">
                  <c:v>0.32666098973626601</c:v>
                </c:pt>
                <c:pt idx="11">
                  <c:v>0.38288813854392989</c:v>
                </c:pt>
                <c:pt idx="13">
                  <c:v>1.0187917505808699</c:v>
                </c:pt>
                <c:pt idx="14">
                  <c:v>0.68591483111751272</c:v>
                </c:pt>
                <c:pt idx="15">
                  <c:v>0.64595928661301927</c:v>
                </c:pt>
                <c:pt idx="16">
                  <c:v>0.26539205378729858</c:v>
                </c:pt>
                <c:pt idx="17">
                  <c:v>0.28667900791014594</c:v>
                </c:pt>
              </c:numCache>
            </c:numRef>
          </c:xVal>
          <c:yVal>
            <c:numRef>
              <c:f>'MFP-PDF_Avg (2)'!$AO$5:$AO$23</c:f>
              <c:numCache>
                <c:formatCode>General</c:formatCode>
                <c:ptCount val="19"/>
                <c:pt idx="0">
                  <c:v>0.62813099999999999</c:v>
                </c:pt>
                <c:pt idx="1">
                  <c:v>0.47675999999999996</c:v>
                </c:pt>
                <c:pt idx="2">
                  <c:v>0.35948275000000002</c:v>
                </c:pt>
                <c:pt idx="3">
                  <c:v>1.3489312500000001</c:v>
                </c:pt>
                <c:pt idx="4">
                  <c:v>0.84152399999999994</c:v>
                </c:pt>
                <c:pt idx="5">
                  <c:v>0.58248</c:v>
                </c:pt>
                <c:pt idx="6">
                  <c:v>0.50006000000000006</c:v>
                </c:pt>
                <c:pt idx="7">
                  <c:v>0.38200000000000001</c:v>
                </c:pt>
                <c:pt idx="8">
                  <c:v>0.46085600000000004</c:v>
                </c:pt>
                <c:pt idx="9">
                  <c:v>0.44147999999999998</c:v>
                </c:pt>
                <c:pt idx="10">
                  <c:v>0.37681199999999998</c:v>
                </c:pt>
                <c:pt idx="11">
                  <c:v>0.51364054999999997</c:v>
                </c:pt>
                <c:pt idx="12">
                  <c:v>0.68778329999999999</c:v>
                </c:pt>
                <c:pt idx="13">
                  <c:v>1.1000000000000001</c:v>
                </c:pt>
                <c:pt idx="14">
                  <c:v>0.77032600000000007</c:v>
                </c:pt>
                <c:pt idx="15">
                  <c:v>0.84372400051146534</c:v>
                </c:pt>
                <c:pt idx="16">
                  <c:v>0.20904664500732548</c:v>
                </c:pt>
                <c:pt idx="17">
                  <c:v>0.4953628608812834</c:v>
                </c:pt>
                <c:pt idx="18">
                  <c:v>0.60089999999999999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F530-4DA8-A69F-C15AAB3C5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.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_predicted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  <c:majorUnit val="0.2"/>
      </c:valAx>
      <c:valAx>
        <c:axId val="689706896"/>
        <c:scaling>
          <c:orientation val="minMax"/>
          <c:max val="1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  <c:minorUnit val="4.0000000000000008E-2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0.71601650001853678"/>
          <c:y val="0.1836945902595509"/>
          <c:w val="0.28398349998146333"/>
          <c:h val="0.763893263342082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r_sum,Tm</a:t>
            </a:r>
          </a:p>
        </c:rich>
      </c:tx>
      <c:layout>
        <c:manualLayout>
          <c:xMode val="edge"/>
          <c:yMode val="edge"/>
          <c:x val="0.15342000603067374"/>
          <c:y val="0.117180578777306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66593759113446"/>
          <c:y val="5.9523809523809521E-2"/>
          <c:w val="0.83569225690670212"/>
          <c:h val="0.83243312135767511"/>
        </c:manualLayout>
      </c:layout>
      <c:scatterChart>
        <c:scatterStyle val="lineMarker"/>
        <c:varyColors val="0"/>
        <c:ser>
          <c:idx val="4"/>
          <c:order val="0"/>
          <c:tx>
            <c:strRef>
              <c:f>'MFP-PDF_Avg (2)'!$AS$57</c:f>
              <c:strCache>
                <c:ptCount val="1"/>
                <c:pt idx="0">
                  <c:v>Unary Chlorides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 (2)'!$AU$5:$AU$7</c:f>
              <c:numCache>
                <c:formatCode>General</c:formatCode>
                <c:ptCount val="3"/>
                <c:pt idx="0">
                  <c:v>0.40225025742942672</c:v>
                </c:pt>
                <c:pt idx="1">
                  <c:v>0.30415923375652942</c:v>
                </c:pt>
                <c:pt idx="2">
                  <c:v>0.25593314786786775</c:v>
                </c:pt>
              </c:numCache>
            </c:numRef>
          </c:xVal>
          <c:yVal>
            <c:numRef>
              <c:f>'MFP-PDF_Avg (2)'!$AP$5:$AP$7</c:f>
              <c:numCache>
                <c:formatCode>General</c:formatCode>
                <c:ptCount val="3"/>
                <c:pt idx="0">
                  <c:v>0.61260000000000003</c:v>
                </c:pt>
                <c:pt idx="1">
                  <c:v>0.46649999999999997</c:v>
                </c:pt>
                <c:pt idx="2">
                  <c:v>0.35505000000000003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BA-4E0A-9A95-CA1C76551FFF}"/>
            </c:ext>
          </c:extLst>
        </c:ser>
        <c:ser>
          <c:idx val="1"/>
          <c:order val="1"/>
          <c:tx>
            <c:strRef>
              <c:f>'MFP-PDF_Avg (2)'!$AS$58</c:f>
              <c:strCache>
                <c:ptCount val="1"/>
                <c:pt idx="0">
                  <c:v>Unary Flourides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 (2)'!$AU$8:$AU$10</c:f>
              <c:numCache>
                <c:formatCode>General</c:formatCode>
                <c:ptCount val="3"/>
                <c:pt idx="0">
                  <c:v>0.80248523098591562</c:v>
                </c:pt>
                <c:pt idx="1">
                  <c:v>0.53093354166666662</c:v>
                </c:pt>
                <c:pt idx="2">
                  <c:v>0.36108717500000004</c:v>
                </c:pt>
              </c:numCache>
            </c:numRef>
          </c:xVal>
          <c:yVal>
            <c:numRef>
              <c:f>'MFP-PDF_Avg (2)'!$AP$8:$AP$10</c:f>
              <c:numCache>
                <c:formatCode>General</c:formatCode>
                <c:ptCount val="3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BA-4E0A-9A95-CA1C76551FFF}"/>
            </c:ext>
          </c:extLst>
        </c:ser>
        <c:ser>
          <c:idx val="7"/>
          <c:order val="2"/>
          <c:tx>
            <c:strRef>
              <c:f>'MFP-PDF_Avg (2)'!$AS$59</c:f>
              <c:strCache>
                <c:ptCount val="1"/>
                <c:pt idx="0">
                  <c:v>Unary Alkaline Earth Chlorides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2516289552532384"/>
                  <c:y val="-6.056755208039085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MgCl2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5BBA-4E0A-9A95-CA1C76551FFF}"/>
                </c:ext>
              </c:extLst>
            </c:dLbl>
            <c:dLbl>
              <c:idx val="1"/>
              <c:layout>
                <c:manualLayout>
                  <c:x val="4.1720965175107892E-2"/>
                  <c:y val="-9.3180849354447485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CaCl2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5BBA-4E0A-9A95-CA1C76551FFF}"/>
                </c:ext>
              </c:extLst>
            </c:dLbl>
            <c:dLbl>
              <c:idx val="2"/>
              <c:layout>
                <c:manualLayout>
                  <c:x val="2.3468042910998171E-2"/>
                  <c:y val="1.397712740316712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SrCl2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5BBA-4E0A-9A95-CA1C76551F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'MFP-PDF_Avg (2)'!$AU$13:$AU$15</c:f>
              <c:numCache>
                <c:formatCode>General</c:formatCode>
                <c:ptCount val="3"/>
                <c:pt idx="0">
                  <c:v>0.28861057804145579</c:v>
                </c:pt>
                <c:pt idx="1">
                  <c:v>0.37311089961278132</c:v>
                </c:pt>
                <c:pt idx="2">
                  <c:v>0.33599408249358714</c:v>
                </c:pt>
              </c:numCache>
            </c:numRef>
          </c:xVal>
          <c:yVal>
            <c:numRef>
              <c:f>'MFP-PDF_Avg (2)'!$AP$13:$AP$15</c:f>
              <c:numCache>
                <c:formatCode>General</c:formatCode>
                <c:ptCount val="3"/>
                <c:pt idx="0">
                  <c:v>0.45680000000000004</c:v>
                </c:pt>
                <c:pt idx="1">
                  <c:v>0.44125000000000003</c:v>
                </c:pt>
                <c:pt idx="2">
                  <c:v>0.37705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BBA-4E0A-9A95-CA1C76551FFF}"/>
            </c:ext>
          </c:extLst>
        </c:ser>
        <c:ser>
          <c:idx val="5"/>
          <c:order val="3"/>
          <c:tx>
            <c:strRef>
              <c:f>'MFP-PDF_Avg (2)'!$AS$60</c:f>
              <c:strCache>
                <c:ptCount val="1"/>
                <c:pt idx="0">
                  <c:v>Fluoride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9.5377810768157212E-2"/>
                  <c:y val="4.417320634122921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FLiBe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5BBA-4E0A-9A95-CA1C76551FFF}"/>
                </c:ext>
              </c:extLst>
            </c:dLbl>
            <c:dLbl>
              <c:idx val="1"/>
              <c:layout>
                <c:manualLayout>
                  <c:x val="2.8845941404952211E-2"/>
                  <c:y val="2.325300366555223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FLiNaK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5BBA-4E0A-9A95-CA1C76551FF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BBA-4E0A-9A95-CA1C76551F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'MFP-PDF_Avg (2)'!$AU$18:$AU$20</c:f>
              <c:numCache>
                <c:formatCode>General</c:formatCode>
                <c:ptCount val="3"/>
                <c:pt idx="0">
                  <c:v>0.71488518084414443</c:v>
                </c:pt>
                <c:pt idx="1">
                  <c:v>0.54326858976638281</c:v>
                </c:pt>
                <c:pt idx="2">
                  <c:v>0.7046599791446102</c:v>
                </c:pt>
              </c:numCache>
            </c:numRef>
          </c:xVal>
          <c:yVal>
            <c:numRef>
              <c:f>('MFP-PDF_Avg (2)'!$AP$18,'MFP-PDF_Avg (2)'!$AP$19,'MFP-PDF_Avg (2)'!$AP$20)</c:f>
              <c:numCache>
                <c:formatCode>General</c:formatCode>
                <c:ptCount val="3"/>
                <c:pt idx="0">
                  <c:v>1.1000000000000001</c:v>
                </c:pt>
                <c:pt idx="1">
                  <c:v>0.84457000000000004</c:v>
                </c:pt>
                <c:pt idx="2">
                  <c:v>0.87448810843065394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BBA-4E0A-9A95-CA1C76551FFF}"/>
            </c:ext>
          </c:extLst>
        </c:ser>
        <c:ser>
          <c:idx val="6"/>
          <c:order val="4"/>
          <c:tx>
            <c:strRef>
              <c:f>'MFP-PDF_Avg (2)'!$AS$61</c:f>
              <c:strCache>
                <c:ptCount val="1"/>
                <c:pt idx="0">
                  <c:v>Chloride Actinide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2269123071947397"/>
                  <c:y val="-1.646687236037159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NaCl-UCL3 (ORNL 2024)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01613630781726"/>
                      <c:h val="3.2551391211063964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A-5BBA-4E0A-9A95-CA1C76551FFF}"/>
                </c:ext>
              </c:extLst>
            </c:dLbl>
            <c:dLbl>
              <c:idx val="1"/>
              <c:layout>
                <c:manualLayout>
                  <c:x val="-9.8979952873202659E-2"/>
                  <c:y val="7.441155009616211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800" b="0" i="0" u="none" strike="noStrike" kern="1200" baseline="0">
                        <a:solidFill>
                          <a:sysClr val="windowText" lastClr="000000">
                            <a:lumMod val="75000"/>
                            <a:lumOff val="25000"/>
                          </a:sysClr>
                        </a:solidFill>
                      </a:rPr>
                      <a:t>NaCl-UCL3 (ANL 2023)</a:t>
                    </a:r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973173836602787"/>
                      <c:h val="4.67902842342298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B-5BBA-4E0A-9A95-CA1C76551F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'MFP-PDF_Avg (2)'!$AU$21:$AU$22</c:f>
              <c:numCache>
                <c:formatCode>General</c:formatCode>
                <c:ptCount val="2"/>
                <c:pt idx="0">
                  <c:v>0.30071201279338977</c:v>
                </c:pt>
                <c:pt idx="1">
                  <c:v>0.42874143670882131</c:v>
                </c:pt>
              </c:numCache>
            </c:numRef>
          </c:xVal>
          <c:yVal>
            <c:numRef>
              <c:f>'MFP-PDF_Avg (2)'!$AP$21:$AP$22</c:f>
              <c:numCache>
                <c:formatCode>General</c:formatCode>
                <c:ptCount val="2"/>
                <c:pt idx="0">
                  <c:v>0.28277596034850733</c:v>
                </c:pt>
                <c:pt idx="1">
                  <c:v>0.22655673749565519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BBA-4E0A-9A95-CA1C76551FFF}"/>
            </c:ext>
          </c:extLst>
        </c:ser>
        <c:ser>
          <c:idx val="2"/>
          <c:order val="5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 (2)'!$BC$23</c:f>
              <c:numCache>
                <c:formatCode>0.000000</c:formatCode>
                <c:ptCount val="1"/>
                <c:pt idx="0">
                  <c:v>0.55623382223307438</c:v>
                </c:pt>
              </c:numCache>
            </c:numRef>
          </c:xVal>
          <c:yVal>
            <c:numRef>
              <c:f>'MFP-PDF_Avg (2)'!$AP$23</c:f>
              <c:numCache>
                <c:formatCode>General</c:formatCode>
                <c:ptCount val="1"/>
                <c:pt idx="0">
                  <c:v>0.60089999999999999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5BBA-4E0A-9A95-CA1C76551FFF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2-5BBA-4E0A-9A95-CA1C76551FFF}"/>
            </c:ext>
          </c:extLst>
        </c:ser>
        <c:ser>
          <c:idx val="0"/>
          <c:order val="7"/>
          <c:spPr>
            <a:ln w="25400" cap="rnd">
              <a:noFill/>
              <a:round/>
            </a:ln>
            <a:effectLst/>
          </c:spPr>
          <c:marker>
            <c:symbol val="none"/>
          </c:marker>
          <c:xVal>
            <c:numRef>
              <c:f>'MFP-PDF_Avg (2)'!$AU$5:$AU$23</c:f>
              <c:numCache>
                <c:formatCode>General</c:formatCode>
                <c:ptCount val="19"/>
                <c:pt idx="0">
                  <c:v>0.40225025742942672</c:v>
                </c:pt>
                <c:pt idx="1">
                  <c:v>0.30415923375652942</c:v>
                </c:pt>
                <c:pt idx="2">
                  <c:v>0.25593314786786775</c:v>
                </c:pt>
                <c:pt idx="3">
                  <c:v>0.80248523098591562</c:v>
                </c:pt>
                <c:pt idx="4">
                  <c:v>0.53093354166666662</c:v>
                </c:pt>
                <c:pt idx="5">
                  <c:v>0.36108717500000004</c:v>
                </c:pt>
                <c:pt idx="6">
                  <c:v>0</c:v>
                </c:pt>
                <c:pt idx="7">
                  <c:v>0</c:v>
                </c:pt>
                <c:pt idx="8">
                  <c:v>0.28861057804145579</c:v>
                </c:pt>
                <c:pt idx="9">
                  <c:v>0.37311089961278132</c:v>
                </c:pt>
                <c:pt idx="10">
                  <c:v>0.33599408249358714</c:v>
                </c:pt>
                <c:pt idx="11">
                  <c:v>0</c:v>
                </c:pt>
                <c:pt idx="12">
                  <c:v>0</c:v>
                </c:pt>
                <c:pt idx="13">
                  <c:v>0.71488518084414443</c:v>
                </c:pt>
                <c:pt idx="14">
                  <c:v>0.54326858976638281</c:v>
                </c:pt>
                <c:pt idx="15">
                  <c:v>0.7046599791446102</c:v>
                </c:pt>
                <c:pt idx="16">
                  <c:v>0.30071201279338977</c:v>
                </c:pt>
                <c:pt idx="17">
                  <c:v>0.42874143670882131</c:v>
                </c:pt>
                <c:pt idx="18">
                  <c:v>0.60645622271550126</c:v>
                </c:pt>
              </c:numCache>
            </c:numRef>
          </c:xVal>
          <c:yVal>
            <c:numRef>
              <c:f>'MFP-PDF_Avg (2)'!$AP$5:$AP$23</c:f>
              <c:numCache>
                <c:formatCode>General</c:formatCode>
                <c:ptCount val="19"/>
                <c:pt idx="0">
                  <c:v>0.61260000000000003</c:v>
                </c:pt>
                <c:pt idx="1">
                  <c:v>0.46649999999999997</c:v>
                </c:pt>
                <c:pt idx="2">
                  <c:v>0.35505000000000003</c:v>
                </c:pt>
                <c:pt idx="3">
                  <c:v>1.33125</c:v>
                </c:pt>
                <c:pt idx="4">
                  <c:v>0.82789999999999997</c:v>
                </c:pt>
                <c:pt idx="5">
                  <c:v>0.56999999999999995</c:v>
                </c:pt>
                <c:pt idx="6">
                  <c:v>0.48965000000000003</c:v>
                </c:pt>
                <c:pt idx="7">
                  <c:v>0.36715000000000003</c:v>
                </c:pt>
                <c:pt idx="8">
                  <c:v>0.45680000000000004</c:v>
                </c:pt>
                <c:pt idx="9">
                  <c:v>0.44125000000000003</c:v>
                </c:pt>
                <c:pt idx="10">
                  <c:v>0.37705</c:v>
                </c:pt>
                <c:pt idx="11">
                  <c:v>0.51224999999999998</c:v>
                </c:pt>
                <c:pt idx="12">
                  <c:v>0.40920000000000001</c:v>
                </c:pt>
                <c:pt idx="13">
                  <c:v>1.1000000000000001</c:v>
                </c:pt>
                <c:pt idx="14">
                  <c:v>0.84457000000000004</c:v>
                </c:pt>
                <c:pt idx="15">
                  <c:v>0.87448810843065394</c:v>
                </c:pt>
                <c:pt idx="16">
                  <c:v>0.28277596034850733</c:v>
                </c:pt>
                <c:pt idx="17">
                  <c:v>0.22655673749565519</c:v>
                </c:pt>
                <c:pt idx="18">
                  <c:v>0.60089999999999999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5BBA-4E0A-9A95-CA1C76551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.4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Predicted </a:t>
                </a: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 [W/m-K]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  <c:majorUnit val="0.2"/>
      </c:valAx>
      <c:valAx>
        <c:axId val="689706896"/>
        <c:scaling>
          <c:orientation val="minMax"/>
          <c:max val="1.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Measured </a:t>
                </a:r>
                <a:r>
                  <a:rPr lang="el-GR" sz="1000" b="0" i="0" u="none" strike="noStrike" baseline="0">
                    <a:effectLst/>
                  </a:rPr>
                  <a:t>λ</a:t>
                </a:r>
                <a:r>
                  <a:rPr lang="en-US" sz="1000" b="0" i="0" u="none" strike="noStrike" baseline="0">
                    <a:effectLst/>
                  </a:rPr>
                  <a:t> [W/m-K]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  <c:minorUnit val="4.0000000000000008E-2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0.66197146494306125"/>
          <c:y val="0.54424246890433059"/>
          <c:w val="0.27876831990781964"/>
          <c:h val="0.329747586280213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r_sum,Tm</a:t>
            </a:r>
          </a:p>
        </c:rich>
      </c:tx>
      <c:layout>
        <c:manualLayout>
          <c:xMode val="edge"/>
          <c:yMode val="edge"/>
          <c:x val="0.15342000603067374"/>
          <c:y val="0.117180578777306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66593759113446"/>
          <c:y val="5.9523809523809521E-2"/>
          <c:w val="0.83569225690670212"/>
          <c:h val="0.83243312135767511"/>
        </c:manualLayout>
      </c:layout>
      <c:scatterChart>
        <c:scatterStyle val="lineMarker"/>
        <c:varyColors val="0"/>
        <c:ser>
          <c:idx val="4"/>
          <c:order val="0"/>
          <c:tx>
            <c:strRef>
              <c:f>'MFP-PDF_Avg (2)'!$AS$57</c:f>
              <c:strCache>
                <c:ptCount val="1"/>
                <c:pt idx="0">
                  <c:v>Unary Chlorides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 (2)'!$AT$5:$AT$7</c:f>
              <c:numCache>
                <c:formatCode>General</c:formatCode>
                <c:ptCount val="3"/>
                <c:pt idx="0">
                  <c:v>0.54897284030784166</c:v>
                </c:pt>
                <c:pt idx="1">
                  <c:v>0.47664358944502805</c:v>
                </c:pt>
                <c:pt idx="2">
                  <c:v>0.40292569836757913</c:v>
                </c:pt>
              </c:numCache>
            </c:numRef>
          </c:xVal>
          <c:yVal>
            <c:numRef>
              <c:f>'MFP-PDF_Avg (2)'!$AO$5:$AO$7</c:f>
              <c:numCache>
                <c:formatCode>General</c:formatCode>
                <c:ptCount val="3"/>
                <c:pt idx="0">
                  <c:v>0.62813099999999999</c:v>
                </c:pt>
                <c:pt idx="1">
                  <c:v>0.47675999999999996</c:v>
                </c:pt>
                <c:pt idx="2">
                  <c:v>0.35948275000000002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5F-4A4B-BD0B-6E1E81FAEAB0}"/>
            </c:ext>
          </c:extLst>
        </c:ser>
        <c:ser>
          <c:idx val="1"/>
          <c:order val="1"/>
          <c:tx>
            <c:strRef>
              <c:f>'MFP-PDF_Avg (2)'!$AS$58</c:f>
              <c:strCache>
                <c:ptCount val="1"/>
                <c:pt idx="0">
                  <c:v>Unary Flourides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 (2)'!$AS$8:$AS$10</c:f>
              <c:numCache>
                <c:formatCode>General</c:formatCode>
                <c:ptCount val="3"/>
                <c:pt idx="0">
                  <c:v>0.72198244099516784</c:v>
                </c:pt>
                <c:pt idx="1">
                  <c:v>0.49067523585877765</c:v>
                </c:pt>
                <c:pt idx="2">
                  <c:v>0.33236370799974174</c:v>
                </c:pt>
              </c:numCache>
            </c:numRef>
          </c:xVal>
          <c:yVal>
            <c:numRef>
              <c:f>'MFP-PDF_Avg (2)'!$AO$8:$AO$10</c:f>
              <c:numCache>
                <c:formatCode>General</c:formatCode>
                <c:ptCount val="3"/>
                <c:pt idx="0">
                  <c:v>1.3489312500000001</c:v>
                </c:pt>
                <c:pt idx="1">
                  <c:v>0.84152399999999994</c:v>
                </c:pt>
                <c:pt idx="2">
                  <c:v>0.58248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5F-4A4B-BD0B-6E1E81FAEAB0}"/>
            </c:ext>
          </c:extLst>
        </c:ser>
        <c:ser>
          <c:idx val="7"/>
          <c:order val="2"/>
          <c:tx>
            <c:strRef>
              <c:f>'MFP-PDF_Avg (2)'!$AS$59</c:f>
              <c:strCache>
                <c:ptCount val="1"/>
                <c:pt idx="0">
                  <c:v>Unary Alkaline Earth Chlorides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2516289552532384"/>
                  <c:y val="-6.056755208039085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MgCl2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4D5F-4A4B-BD0B-6E1E81FAEAB0}"/>
                </c:ext>
              </c:extLst>
            </c:dLbl>
            <c:dLbl>
              <c:idx val="1"/>
              <c:layout>
                <c:manualLayout>
                  <c:x val="4.1720965175107892E-2"/>
                  <c:y val="-9.3180849354447485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CaCl2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4D5F-4A4B-BD0B-6E1E81FAEAB0}"/>
                </c:ext>
              </c:extLst>
            </c:dLbl>
            <c:dLbl>
              <c:idx val="2"/>
              <c:layout>
                <c:manualLayout>
                  <c:x val="2.3468042910998171E-2"/>
                  <c:y val="1.397712740316712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SrCl2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4D5F-4A4B-BD0B-6E1E81FAEA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'MFP-PDF_Avg (2)'!$AS$13:$AS$15</c:f>
              <c:numCache>
                <c:formatCode>General</c:formatCode>
                <c:ptCount val="3"/>
                <c:pt idx="0">
                  <c:v>0.269940662012365</c:v>
                </c:pt>
                <c:pt idx="1">
                  <c:v>0.37024310108699071</c:v>
                </c:pt>
                <c:pt idx="2">
                  <c:v>0.32666098973626601</c:v>
                </c:pt>
              </c:numCache>
            </c:numRef>
          </c:xVal>
          <c:yVal>
            <c:numRef>
              <c:f>'MFP-PDF_Avg (2)'!$AO$13:$AO$15</c:f>
              <c:numCache>
                <c:formatCode>General</c:formatCode>
                <c:ptCount val="3"/>
                <c:pt idx="0">
                  <c:v>0.46085600000000004</c:v>
                </c:pt>
                <c:pt idx="1">
                  <c:v>0.44147999999999998</c:v>
                </c:pt>
                <c:pt idx="2">
                  <c:v>0.37681199999999998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D5F-4A4B-BD0B-6E1E81FAEAB0}"/>
            </c:ext>
          </c:extLst>
        </c:ser>
        <c:ser>
          <c:idx val="5"/>
          <c:order val="3"/>
          <c:tx>
            <c:strRef>
              <c:f>'MFP-PDF_Avg (2)'!$AS$60</c:f>
              <c:strCache>
                <c:ptCount val="1"/>
                <c:pt idx="0">
                  <c:v>Fluoride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9.5377810768157212E-2"/>
                  <c:y val="4.417320634122921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FLiBe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4D5F-4A4B-BD0B-6E1E81FAEAB0}"/>
                </c:ext>
              </c:extLst>
            </c:dLbl>
            <c:dLbl>
              <c:idx val="1"/>
              <c:layout>
                <c:manualLayout>
                  <c:x val="2.8845941404952211E-2"/>
                  <c:y val="2.325300366555223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FLiNaK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4D5F-4A4B-BD0B-6E1E81FAEAB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D5F-4A4B-BD0B-6E1E81FAEA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'MFP-PDF_Avg (2)'!$AS$18:$AS$20</c:f>
              <c:numCache>
                <c:formatCode>General</c:formatCode>
                <c:ptCount val="3"/>
                <c:pt idx="0">
                  <c:v>1.0187917505808699</c:v>
                </c:pt>
                <c:pt idx="1">
                  <c:v>0.68591483111751272</c:v>
                </c:pt>
                <c:pt idx="2">
                  <c:v>0.64595928661301927</c:v>
                </c:pt>
              </c:numCache>
            </c:numRef>
          </c:xVal>
          <c:yVal>
            <c:numRef>
              <c:f>'MFP-PDF_Avg (2)'!$AO$18:$AO$20</c:f>
              <c:numCache>
                <c:formatCode>General</c:formatCode>
                <c:ptCount val="3"/>
                <c:pt idx="0">
                  <c:v>1.1000000000000001</c:v>
                </c:pt>
                <c:pt idx="1">
                  <c:v>0.77032600000000007</c:v>
                </c:pt>
                <c:pt idx="2">
                  <c:v>0.84372400051146534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D5F-4A4B-BD0B-6E1E81FAEAB0}"/>
            </c:ext>
          </c:extLst>
        </c:ser>
        <c:ser>
          <c:idx val="6"/>
          <c:order val="4"/>
          <c:tx>
            <c:strRef>
              <c:f>'MFP-PDF_Avg (2)'!$AS$61</c:f>
              <c:strCache>
                <c:ptCount val="1"/>
                <c:pt idx="0">
                  <c:v>Chloride Actinide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2269123071947397"/>
                  <c:y val="-1.646687236037159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NaCl-UCL3 (ORNL 2024)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01613630781726"/>
                      <c:h val="3.2551391211063964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A-4D5F-4A4B-BD0B-6E1E81FAEAB0}"/>
                </c:ext>
              </c:extLst>
            </c:dLbl>
            <c:dLbl>
              <c:idx val="1"/>
              <c:layout>
                <c:manualLayout>
                  <c:x val="-9.8979952873202659E-2"/>
                  <c:y val="7.441155009616211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800" b="0" i="0" u="none" strike="noStrike" kern="1200" baseline="0">
                        <a:solidFill>
                          <a:sysClr val="windowText" lastClr="000000">
                            <a:lumMod val="75000"/>
                            <a:lumOff val="25000"/>
                          </a:sysClr>
                        </a:solidFill>
                      </a:rPr>
                      <a:t>NaCl-UCL3 (ANL 2023)</a:t>
                    </a:r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973173836602787"/>
                      <c:h val="4.67902842342298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B-4D5F-4A4B-BD0B-6E1E81FAEA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'MFP-PDF_Avg (2)'!$AT$21:$AT$22</c:f>
              <c:numCache>
                <c:formatCode>General</c:formatCode>
                <c:ptCount val="2"/>
                <c:pt idx="0">
                  <c:v>0.30071201279338977</c:v>
                </c:pt>
                <c:pt idx="1">
                  <c:v>0.42874143670882131</c:v>
                </c:pt>
              </c:numCache>
            </c:numRef>
          </c:xVal>
          <c:yVal>
            <c:numRef>
              <c:f>'MFP-PDF_Avg (2)'!$AO$21:$AO$22</c:f>
              <c:numCache>
                <c:formatCode>General</c:formatCode>
                <c:ptCount val="2"/>
                <c:pt idx="0">
                  <c:v>0.20904664500732548</c:v>
                </c:pt>
                <c:pt idx="1">
                  <c:v>0.4953628608812834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4D5F-4A4B-BD0B-6E1E81FAEAB0}"/>
            </c:ext>
          </c:extLst>
        </c:ser>
        <c:ser>
          <c:idx val="2"/>
          <c:order val="5"/>
          <c:tx>
            <c:strRef>
              <c:f>'MFP-PDF_Avg (2)'!$AS$62</c:f>
              <c:strCache>
                <c:ptCount val="1"/>
                <c:pt idx="0">
                  <c:v>Water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 (2)'!$AT$23</c:f>
              <c:numCache>
                <c:formatCode>General</c:formatCode>
                <c:ptCount val="1"/>
                <c:pt idx="0">
                  <c:v>0.60645622271550126</c:v>
                </c:pt>
              </c:numCache>
            </c:numRef>
          </c:xVal>
          <c:yVal>
            <c:numRef>
              <c:f>'MFP-PDF_Avg (2)'!$AO$23</c:f>
              <c:numCache>
                <c:formatCode>General</c:formatCode>
                <c:ptCount val="1"/>
                <c:pt idx="0">
                  <c:v>0.60089999999999999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4D5F-4A4B-BD0B-6E1E81FAEAB0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2-4D5F-4A4B-BD0B-6E1E81FAE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.4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Predicted </a:t>
                </a: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 [W/m-K]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  <c:majorUnit val="0.2"/>
      </c:valAx>
      <c:valAx>
        <c:axId val="689706896"/>
        <c:scaling>
          <c:orientation val="minMax"/>
          <c:max val="1.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Measured </a:t>
                </a:r>
                <a:r>
                  <a:rPr lang="el-GR" sz="1000" b="0" i="0" u="none" strike="noStrike" baseline="0">
                    <a:effectLst/>
                  </a:rPr>
                  <a:t>λ</a:t>
                </a:r>
                <a:r>
                  <a:rPr lang="en-US" sz="1000" b="0" i="0" u="none" strike="noStrike" baseline="0">
                    <a:effectLst/>
                  </a:rPr>
                  <a:t> [W/m-K]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  <c:minorUnit val="4.0000000000000008E-2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66197146494306125"/>
          <c:y val="0.54424246890433059"/>
          <c:w val="0.27876831990781964"/>
          <c:h val="0.329747586280213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PDF-distributed MFP at Stand. T (1200K)</a:t>
            </a:r>
          </a:p>
        </c:rich>
      </c:tx>
      <c:layout>
        <c:manualLayout>
          <c:xMode val="edge"/>
          <c:yMode val="edge"/>
          <c:x val="0.15342000603067374"/>
          <c:y val="0.117180578777306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66593759113446"/>
          <c:y val="5.9523809523809521E-2"/>
          <c:w val="0.83569225690670212"/>
          <c:h val="0.83243312135767511"/>
        </c:manualLayout>
      </c:layout>
      <c:scatterChart>
        <c:scatterStyle val="lineMarker"/>
        <c:varyColors val="0"/>
        <c:ser>
          <c:idx val="4"/>
          <c:order val="0"/>
          <c:tx>
            <c:strRef>
              <c:f>'MFP-PDF_Avg (2)'!$AS$57</c:f>
              <c:strCache>
                <c:ptCount val="1"/>
                <c:pt idx="0">
                  <c:v>Unary Chlorides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 (2)'!$AX$5:$AX$7</c:f>
              <c:numCache>
                <c:formatCode>General</c:formatCode>
                <c:ptCount val="3"/>
                <c:pt idx="0">
                  <c:v>0.467412663978306</c:v>
                </c:pt>
                <c:pt idx="1">
                  <c:v>0.346144472817148</c:v>
                </c:pt>
                <c:pt idx="2">
                  <c:v>0.28781059971565698</c:v>
                </c:pt>
              </c:numCache>
            </c:numRef>
          </c:xVal>
          <c:yVal>
            <c:numRef>
              <c:f>'MFP-PDF_Avg (2)'!$AN$5:$AN$7</c:f>
              <c:numCache>
                <c:formatCode>General</c:formatCode>
                <c:ptCount val="3"/>
                <c:pt idx="0">
                  <c:v>0.52831099999999998</c:v>
                </c:pt>
                <c:pt idx="1">
                  <c:v>0.45410699999999998</c:v>
                </c:pt>
                <c:pt idx="2">
                  <c:v>0.34613775000000002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91-44E0-A40C-EB7A2882E28F}"/>
            </c:ext>
          </c:extLst>
        </c:ser>
        <c:ser>
          <c:idx val="1"/>
          <c:order val="1"/>
          <c:tx>
            <c:strRef>
              <c:f>'MFP-PDF_Avg (2)'!$AS$58</c:f>
              <c:strCache>
                <c:ptCount val="1"/>
                <c:pt idx="0">
                  <c:v>Unary Flourides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 (2)'!$AX$8:$AX$10</c:f>
              <c:numCache>
                <c:formatCode>General</c:formatCode>
                <c:ptCount val="3"/>
                <c:pt idx="0">
                  <c:v>0.90368250947301099</c:v>
                </c:pt>
                <c:pt idx="1">
                  <c:v>0.59812175800891498</c:v>
                </c:pt>
                <c:pt idx="2">
                  <c:v>0.40376310518547798</c:v>
                </c:pt>
              </c:numCache>
            </c:numRef>
          </c:xVal>
          <c:yVal>
            <c:numRef>
              <c:f>'MFP-PDF_Avg (2)'!$AN$8:$AN$10</c:f>
              <c:numCache>
                <c:formatCode>General</c:formatCode>
                <c:ptCount val="3"/>
                <c:pt idx="0">
                  <c:v>1.3193062500000001</c:v>
                </c:pt>
                <c:pt idx="1">
                  <c:v>0.85885529999999999</c:v>
                </c:pt>
                <c:pt idx="2">
                  <c:v>0.56457899999999994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91-44E0-A40C-EB7A2882E28F}"/>
            </c:ext>
          </c:extLst>
        </c:ser>
        <c:ser>
          <c:idx val="7"/>
          <c:order val="2"/>
          <c:tx>
            <c:strRef>
              <c:f>'MFP-PDF_Avg (2)'!$AS$59</c:f>
              <c:strCache>
                <c:ptCount val="1"/>
                <c:pt idx="0">
                  <c:v>Unary Alkaline Earth Chlorides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2516289552532384"/>
                  <c:y val="-6.056755208039085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MgCl2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8B91-44E0-A40C-EB7A2882E28F}"/>
                </c:ext>
              </c:extLst>
            </c:dLbl>
            <c:dLbl>
              <c:idx val="1"/>
              <c:layout>
                <c:manualLayout>
                  <c:x val="4.1720965175107892E-2"/>
                  <c:y val="-9.3180849354447485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CaCl2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8B91-44E0-A40C-EB7A2882E28F}"/>
                </c:ext>
              </c:extLst>
            </c:dLbl>
            <c:dLbl>
              <c:idx val="2"/>
              <c:layout>
                <c:manualLayout>
                  <c:x val="2.3468042910998171E-2"/>
                  <c:y val="1.397712740316712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SrCl2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8B91-44E0-A40C-EB7A2882E2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'MFP-PDF_Avg (2)'!$AX$13:$AX$15</c:f>
              <c:numCache>
                <c:formatCode>General</c:formatCode>
                <c:ptCount val="3"/>
                <c:pt idx="0">
                  <c:v>0.33370075449931302</c:v>
                </c:pt>
                <c:pt idx="1">
                  <c:v>0.40039499504213499</c:v>
                </c:pt>
                <c:pt idx="2">
                  <c:v>0.36759447686851399</c:v>
                </c:pt>
              </c:numCache>
            </c:numRef>
          </c:xVal>
          <c:yVal>
            <c:numRef>
              <c:f>'MFP-PDF_Avg (2)'!$AN$13:$AN$15</c:f>
              <c:numCache>
                <c:formatCode>General</c:formatCode>
                <c:ptCount val="3"/>
                <c:pt idx="0">
                  <c:v>0.43984800000000002</c:v>
                </c:pt>
                <c:pt idx="1">
                  <c:v>0.42917500000000003</c:v>
                </c:pt>
                <c:pt idx="2">
                  <c:v>0.37657400000000002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B91-44E0-A40C-EB7A2882E28F}"/>
            </c:ext>
          </c:extLst>
        </c:ser>
        <c:ser>
          <c:idx val="5"/>
          <c:order val="3"/>
          <c:tx>
            <c:strRef>
              <c:f>'MFP-PDF_Avg (2)'!$AS$60</c:f>
              <c:strCache>
                <c:ptCount val="1"/>
                <c:pt idx="0">
                  <c:v>Fluoride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9.5377810768157212E-2"/>
                  <c:y val="4.417320634122921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FLiBe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8B91-44E0-A40C-EB7A2882E28F}"/>
                </c:ext>
              </c:extLst>
            </c:dLbl>
            <c:dLbl>
              <c:idx val="1"/>
              <c:layout>
                <c:manualLayout>
                  <c:x val="2.8845941404952211E-2"/>
                  <c:y val="2.325300366555223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FLiNaK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8B91-44E0-A40C-EB7A2882E28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B91-44E0-A40C-EB7A2882E2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'MFP-PDF_Avg (2)'!$AX$18:$AX$20</c:f>
              <c:numCache>
                <c:formatCode>General</c:formatCode>
                <c:ptCount val="3"/>
                <c:pt idx="0">
                  <c:v>1.28305844543897</c:v>
                </c:pt>
                <c:pt idx="1">
                  <c:v>0.85046707066330796</c:v>
                </c:pt>
                <c:pt idx="2">
                  <c:v>0.73223097949286997</c:v>
                </c:pt>
              </c:numCache>
            </c:numRef>
          </c:xVal>
          <c:yVal>
            <c:numRef>
              <c:f>'MFP-PDF_Avg (2)'!$AN$18:$AN$20</c:f>
              <c:numCache>
                <c:formatCode>General</c:formatCode>
                <c:ptCount val="3"/>
                <c:pt idx="0">
                  <c:v>1.1000000000000001</c:v>
                </c:pt>
                <c:pt idx="1">
                  <c:v>0.59440000000000004</c:v>
                </c:pt>
                <c:pt idx="2">
                  <c:v>0.72012307134941578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B91-44E0-A40C-EB7A2882E28F}"/>
            </c:ext>
          </c:extLst>
        </c:ser>
        <c:ser>
          <c:idx val="6"/>
          <c:order val="4"/>
          <c:tx>
            <c:strRef>
              <c:f>'MFP-PDF_Avg (2)'!$AS$61</c:f>
              <c:strCache>
                <c:ptCount val="1"/>
                <c:pt idx="0">
                  <c:v>Chloride Actinide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2269123071947397"/>
                  <c:y val="-1.646687236037159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NaCl-UCL3 (ORNL 2024)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01613630781726"/>
                      <c:h val="3.2551391211063964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A-8B91-44E0-A40C-EB7A2882E28F}"/>
                </c:ext>
              </c:extLst>
            </c:dLbl>
            <c:dLbl>
              <c:idx val="1"/>
              <c:layout>
                <c:manualLayout>
                  <c:x val="-9.8979952873202659E-2"/>
                  <c:y val="7.441155009616211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800" b="0" i="0" u="none" strike="noStrike" kern="1200" baseline="0">
                        <a:solidFill>
                          <a:sysClr val="windowText" lastClr="000000">
                            <a:lumMod val="75000"/>
                            <a:lumOff val="25000"/>
                          </a:sysClr>
                        </a:solidFill>
                      </a:rPr>
                      <a:t>NaCl-UCL3 (ANL 2023)</a:t>
                    </a:r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973173836602787"/>
                      <c:h val="4.67902842342298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B-8B91-44E0-A40C-EB7A2882E2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'MFP-PDF_Avg (2)'!$AX$21:$AX$22</c:f>
              <c:numCache>
                <c:formatCode>General</c:formatCode>
                <c:ptCount val="2"/>
                <c:pt idx="0">
                  <c:v>0.29301529878909899</c:v>
                </c:pt>
                <c:pt idx="1">
                  <c:v>0.316517898560285</c:v>
                </c:pt>
              </c:numCache>
            </c:numRef>
          </c:xVal>
          <c:yVal>
            <c:numRef>
              <c:f>'MFP-PDF_Avg (2)'!$AN$21:$AN$22</c:f>
              <c:numCache>
                <c:formatCode>General</c:formatCode>
                <c:ptCount val="2"/>
                <c:pt idx="0">
                  <c:v>0.21695751575208747</c:v>
                </c:pt>
                <c:pt idx="1">
                  <c:v>0.46652100214891984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8B91-44E0-A40C-EB7A2882E28F}"/>
            </c:ext>
          </c:extLst>
        </c:ser>
        <c:ser>
          <c:idx val="2"/>
          <c:order val="5"/>
          <c:tx>
            <c:strRef>
              <c:f>'MFP-PDF_Avg (2)'!$AS$62</c:f>
              <c:strCache>
                <c:ptCount val="1"/>
                <c:pt idx="0">
                  <c:v>Water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 (2)'!$BC$23</c:f>
              <c:numCache>
                <c:formatCode>0.000000</c:formatCode>
                <c:ptCount val="1"/>
                <c:pt idx="0">
                  <c:v>0.55623382223307438</c:v>
                </c:pt>
              </c:numCache>
            </c:numRef>
          </c:xVal>
          <c:yVal>
            <c:numRef>
              <c:f>'MFP-PDF_Avg (2)'!$AP$23</c:f>
              <c:numCache>
                <c:formatCode>General</c:formatCode>
                <c:ptCount val="1"/>
                <c:pt idx="0">
                  <c:v>0.60089999999999999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8B91-44E0-A40C-EB7A2882E28F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2-8B91-44E0-A40C-EB7A2882E28F}"/>
            </c:ext>
          </c:extLst>
        </c:ser>
        <c:ser>
          <c:idx val="0"/>
          <c:order val="7"/>
          <c:spPr>
            <a:ln w="25400" cap="rnd">
              <a:noFill/>
              <a:round/>
            </a:ln>
            <a:effectLst/>
          </c:spPr>
          <c:marker>
            <c:symbol val="none"/>
          </c:marker>
          <c:xVal>
            <c:numRef>
              <c:f>'MFP-PDF_Avg (2)'!$AX$5:$AX$23</c:f>
              <c:numCache>
                <c:formatCode>General</c:formatCode>
                <c:ptCount val="19"/>
                <c:pt idx="0">
                  <c:v>0.467412663978306</c:v>
                </c:pt>
                <c:pt idx="1">
                  <c:v>0.346144472817148</c:v>
                </c:pt>
                <c:pt idx="2">
                  <c:v>0.28781059971565698</c:v>
                </c:pt>
                <c:pt idx="3">
                  <c:v>0.90368250947301099</c:v>
                </c:pt>
                <c:pt idx="4">
                  <c:v>0.59812175800891498</c:v>
                </c:pt>
                <c:pt idx="5">
                  <c:v>0.40376310518547798</c:v>
                </c:pt>
                <c:pt idx="8">
                  <c:v>0.33370075449931302</c:v>
                </c:pt>
                <c:pt idx="9">
                  <c:v>0.40039499504213499</c:v>
                </c:pt>
                <c:pt idx="10">
                  <c:v>0.36759447686851399</c:v>
                </c:pt>
                <c:pt idx="11">
                  <c:v>0.54571904518309799</c:v>
                </c:pt>
                <c:pt idx="13">
                  <c:v>1.28305844543897</c:v>
                </c:pt>
                <c:pt idx="14">
                  <c:v>0.85046707066330796</c:v>
                </c:pt>
                <c:pt idx="15">
                  <c:v>0.73223097949286997</c:v>
                </c:pt>
                <c:pt idx="16">
                  <c:v>0.29301529878909899</c:v>
                </c:pt>
                <c:pt idx="17">
                  <c:v>0.316517898560285</c:v>
                </c:pt>
              </c:numCache>
            </c:numRef>
          </c:xVal>
          <c:yVal>
            <c:numRef>
              <c:f>'MFP-PDF_Avg (2)'!$AN$5:$AN$23</c:f>
              <c:numCache>
                <c:formatCode>General</c:formatCode>
                <c:ptCount val="19"/>
                <c:pt idx="0">
                  <c:v>0.52831099999999998</c:v>
                </c:pt>
                <c:pt idx="1">
                  <c:v>0.45410699999999998</c:v>
                </c:pt>
                <c:pt idx="2">
                  <c:v>0.34613775000000002</c:v>
                </c:pt>
                <c:pt idx="3">
                  <c:v>1.3193062500000001</c:v>
                </c:pt>
                <c:pt idx="4">
                  <c:v>0.85885529999999999</c:v>
                </c:pt>
                <c:pt idx="5">
                  <c:v>0.56457899999999994</c:v>
                </c:pt>
                <c:pt idx="6">
                  <c:v>0.45430805000000002</c:v>
                </c:pt>
                <c:pt idx="7">
                  <c:v>0.30927955000000001</c:v>
                </c:pt>
                <c:pt idx="8">
                  <c:v>0.43984800000000002</c:v>
                </c:pt>
                <c:pt idx="9">
                  <c:v>0.42917500000000003</c:v>
                </c:pt>
                <c:pt idx="10">
                  <c:v>0.37657400000000002</c:v>
                </c:pt>
                <c:pt idx="11">
                  <c:v>0.43459154999999999</c:v>
                </c:pt>
                <c:pt idx="12">
                  <c:v>0.1813833</c:v>
                </c:pt>
                <c:pt idx="13">
                  <c:v>1.1000000000000001</c:v>
                </c:pt>
                <c:pt idx="14">
                  <c:v>0.59440000000000004</c:v>
                </c:pt>
                <c:pt idx="15">
                  <c:v>0.72012307134941578</c:v>
                </c:pt>
                <c:pt idx="16">
                  <c:v>0.21695751575208747</c:v>
                </c:pt>
                <c:pt idx="17">
                  <c:v>0.46652100214891984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8B91-44E0-A40C-EB7A2882E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.4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Predicted </a:t>
                </a: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 [W/m-K]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  <c:majorUnit val="0.2"/>
      </c:valAx>
      <c:valAx>
        <c:axId val="689706896"/>
        <c:scaling>
          <c:orientation val="minMax"/>
          <c:max val="1.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Measured </a:t>
                </a:r>
                <a:r>
                  <a:rPr lang="el-GR" sz="1000" b="0" i="0" u="none" strike="noStrike" baseline="0">
                    <a:effectLst/>
                  </a:rPr>
                  <a:t>λ</a:t>
                </a:r>
                <a:r>
                  <a:rPr lang="en-US" sz="1000" b="0" i="0" u="none" strike="noStrike" baseline="0">
                    <a:effectLst/>
                  </a:rPr>
                  <a:t> [W/m-K]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  <c:minorUnit val="4.0000000000000008E-2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0.66197146494306125"/>
          <c:y val="0.54424246890433059"/>
          <c:w val="0.27876831990781964"/>
          <c:h val="0.329747586280213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Avg</a:t>
            </a:r>
            <a:r>
              <a:rPr lang="en-US" sz="1200" b="1" baseline="0"/>
              <a:t>-x of P(r) </a:t>
            </a:r>
          </a:p>
          <a:p>
            <a:pPr algn="l">
              <a:defRPr/>
            </a:pPr>
            <a:r>
              <a:rPr lang="en-US" sz="1200" baseline="0"/>
              <a:t>(Sum of ideal - nonideal partial PDFs)</a:t>
            </a:r>
            <a:endParaRPr lang="en-US" sz="1200"/>
          </a:p>
        </c:rich>
      </c:tx>
      <c:layout>
        <c:manualLayout>
          <c:xMode val="edge"/>
          <c:yMode val="edge"/>
          <c:x val="0.1494486059323569"/>
          <c:y val="4.84203698386873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66593759113446"/>
          <c:y val="2.4511570406446047E-2"/>
          <c:w val="0.734183178913419"/>
          <c:h val="0.87871346107115611"/>
        </c:manualLayout>
      </c:layout>
      <c:scatterChart>
        <c:scatterStyle val="lineMarker"/>
        <c:varyColors val="0"/>
        <c:ser>
          <c:idx val="4"/>
          <c:order val="0"/>
          <c:tx>
            <c:strRef>
              <c:f>'MFP-PDF_Avg (2)'!$AS$57</c:f>
              <c:strCache>
                <c:ptCount val="1"/>
                <c:pt idx="0">
                  <c:v>Unary Chlorides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'MFP-PDF_Avg (2)'!$AR$5:$AR$7</c:f>
              <c:numCache>
                <c:formatCode>General</c:formatCode>
                <c:ptCount val="3"/>
                <c:pt idx="0">
                  <c:v>0.79185976952139003</c:v>
                </c:pt>
                <c:pt idx="1">
                  <c:v>0.54192857279020001</c:v>
                </c:pt>
                <c:pt idx="2">
                  <c:v>0.43217238471639502</c:v>
                </c:pt>
              </c:numCache>
            </c:numRef>
          </c:xVal>
          <c:yVal>
            <c:numRef>
              <c:f>'MFP-PDF_Avg (2)'!$AP$5:$AP$7</c:f>
              <c:numCache>
                <c:formatCode>General</c:formatCode>
                <c:ptCount val="3"/>
                <c:pt idx="0">
                  <c:v>0.61260000000000003</c:v>
                </c:pt>
                <c:pt idx="1">
                  <c:v>0.46649999999999997</c:v>
                </c:pt>
                <c:pt idx="2">
                  <c:v>0.35505000000000003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D3-4C1F-8639-5AE0D8171AD2}"/>
            </c:ext>
          </c:extLst>
        </c:ser>
        <c:ser>
          <c:idx val="1"/>
          <c:order val="1"/>
          <c:tx>
            <c:strRef>
              <c:f>'MFP-PDF_Avg (2)'!$AS$58</c:f>
              <c:strCache>
                <c:ptCount val="1"/>
                <c:pt idx="0">
                  <c:v>Unary Flourides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'MFP-PDF_Avg (2)'!$AR$8:$AR$10</c:f>
              <c:numCache>
                <c:formatCode>General</c:formatCode>
                <c:ptCount val="3"/>
                <c:pt idx="0">
                  <c:v>1.2195937295724</c:v>
                </c:pt>
                <c:pt idx="1">
                  <c:v>0.78920410369242799</c:v>
                </c:pt>
                <c:pt idx="2">
                  <c:v>0.53497140961714396</c:v>
                </c:pt>
              </c:numCache>
            </c:numRef>
          </c:xVal>
          <c:yVal>
            <c:numRef>
              <c:f>'MFP-PDF_Avg (2)'!$AP$8:$AP$10</c:f>
              <c:numCache>
                <c:formatCode>General</c:formatCode>
                <c:ptCount val="3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D3-4C1F-8639-5AE0D8171AD2}"/>
            </c:ext>
          </c:extLst>
        </c:ser>
        <c:ser>
          <c:idx val="7"/>
          <c:order val="2"/>
          <c:tx>
            <c:strRef>
              <c:f>'MFP-PDF_Avg (2)'!$AS$59</c:f>
              <c:strCache>
                <c:ptCount val="1"/>
                <c:pt idx="0">
                  <c:v>Unary Alkaline Earth Chlorides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1.245444483138765E-2"/>
                  <c:y val="3.702935717163544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MgCl2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21D3-4C1F-8639-5AE0D8171AD2}"/>
                </c:ext>
              </c:extLst>
            </c:dLbl>
            <c:dLbl>
              <c:idx val="1"/>
              <c:layout>
                <c:manualLayout>
                  <c:x val="4.1720965175107892E-2"/>
                  <c:y val="-9.3180849354447485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CaCl2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21D3-4C1F-8639-5AE0D8171AD2}"/>
                </c:ext>
              </c:extLst>
            </c:dLbl>
            <c:dLbl>
              <c:idx val="2"/>
              <c:layout>
                <c:manualLayout>
                  <c:x val="-4.977519092689657E-2"/>
                  <c:y val="-5.354658153437409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SrCl2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21D3-4C1F-8639-5AE0D8171A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'MFP-PDF_Avg (2)'!$AR$13:$AR$15</c:f>
              <c:numCache>
                <c:formatCode>General</c:formatCode>
                <c:ptCount val="3"/>
                <c:pt idx="0">
                  <c:v>0.56648340243984496</c:v>
                </c:pt>
                <c:pt idx="2">
                  <c:v>0.39572551478833601</c:v>
                </c:pt>
              </c:numCache>
            </c:numRef>
          </c:xVal>
          <c:yVal>
            <c:numRef>
              <c:f>'MFP-PDF_Avg (2)'!$AP$13:$AP$15</c:f>
              <c:numCache>
                <c:formatCode>General</c:formatCode>
                <c:ptCount val="3"/>
                <c:pt idx="0">
                  <c:v>0.45680000000000004</c:v>
                </c:pt>
                <c:pt idx="1">
                  <c:v>0.44125000000000003</c:v>
                </c:pt>
                <c:pt idx="2">
                  <c:v>0.37705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1D3-4C1F-8639-5AE0D8171AD2}"/>
            </c:ext>
          </c:extLst>
        </c:ser>
        <c:ser>
          <c:idx val="5"/>
          <c:order val="3"/>
          <c:tx>
            <c:strRef>
              <c:f>'MFP-PDF_Avg (2)'!$AS$60</c:f>
              <c:strCache>
                <c:ptCount val="1"/>
                <c:pt idx="0">
                  <c:v>Fluoride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0757339581248243"/>
                  <c:y val="-4.148692907418735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FLiBe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21D3-4C1F-8639-5AE0D8171AD2}"/>
                </c:ext>
              </c:extLst>
            </c:dLbl>
            <c:dLbl>
              <c:idx val="1"/>
              <c:layout>
                <c:manualLayout>
                  <c:x val="2.8845941404952211E-2"/>
                  <c:y val="2.325300366555223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FLiNaK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21D3-4C1F-8639-5AE0D8171AD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1D3-4C1F-8639-5AE0D8171A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'MFP-PDF_Avg (2)'!$AR$18:$AR$20</c:f>
              <c:numCache>
                <c:formatCode>General</c:formatCode>
                <c:ptCount val="3"/>
                <c:pt idx="0">
                  <c:v>1.0187917505808699</c:v>
                </c:pt>
                <c:pt idx="1">
                  <c:v>0.839610460137869</c:v>
                </c:pt>
              </c:numCache>
            </c:numRef>
          </c:xVal>
          <c:yVal>
            <c:numRef>
              <c:f>'MFP-PDF_Avg (2)'!$AP$18:$AP$20</c:f>
              <c:numCache>
                <c:formatCode>General</c:formatCode>
                <c:ptCount val="3"/>
                <c:pt idx="0">
                  <c:v>1.1000000000000001</c:v>
                </c:pt>
                <c:pt idx="1">
                  <c:v>0.84457000000000004</c:v>
                </c:pt>
                <c:pt idx="2">
                  <c:v>0.87448810843065394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1D3-4C1F-8639-5AE0D8171AD2}"/>
            </c:ext>
          </c:extLst>
        </c:ser>
        <c:ser>
          <c:idx val="6"/>
          <c:order val="4"/>
          <c:tx>
            <c:strRef>
              <c:f>'MFP-PDF_Avg (2)'!$AS$61</c:f>
              <c:strCache>
                <c:ptCount val="1"/>
                <c:pt idx="0">
                  <c:v>Chloride Actinide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2685605195193131"/>
                  <c:y val="8.832150437141858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E0BA487-CCDC-4FE7-BE25-673E4F54B5AB}" type="CELLREF">
                      <a:rPr lang="en-US"/>
                      <a:pPr>
                        <a:defRPr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45585926900267"/>
                      <c:h val="4.1796190550457302E-2"/>
                    </c:manualLayout>
                  </c15:layout>
                  <c15:dlblFieldTable>
                    <c15:dlblFTEntry>
                      <c15:txfldGUID>{4E0BA487-CCDC-4FE7-BE25-673E4F54B5AB}</c15:txfldGUID>
                      <c15:f>'MFP-PDF_Avg (2)'!$A$21</c15:f>
                      <c15:dlblFieldTableCache>
                        <c:ptCount val="1"/>
                        <c:pt idx="0">
                          <c:v>0.63NaCl-0.37UCl3 (ORNL)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21D3-4C1F-8639-5AE0D8171AD2}"/>
                </c:ext>
              </c:extLst>
            </c:dLbl>
            <c:dLbl>
              <c:idx val="1"/>
              <c:layout>
                <c:manualLayout>
                  <c:x val="2.5144234928254006E-2"/>
                  <c:y val="1.006269133203120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48043BA-4F93-455A-BDFD-BB5447868CFE}" type="CELLREF">
                      <a:rPr lang="en-US"/>
                      <a:pPr>
                        <a:defRPr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642847478079172"/>
                      <c:h val="3.7910572496550943E-2"/>
                    </c:manualLayout>
                  </c15:layout>
                  <c15:dlblFieldTable>
                    <c15:dlblFTEntry>
                      <c15:txfldGUID>{F48043BA-4F93-455A-BDFD-BB5447868CFE}</c15:txfldGUID>
                      <c15:f>'MFP-PDF_Avg (2)'!$A$22</c15:f>
                      <c15:dlblFieldTableCache>
                        <c:ptCount val="1"/>
                        <c:pt idx="0">
                          <c:v>0.658NaCl-0.342UCl3 (ANL)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21D3-4C1F-8639-5AE0D8171A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'MFP-PDF_Avg (2)'!$AR$21:$AR$22</c:f>
              <c:numCache>
                <c:formatCode>General</c:formatCode>
                <c:ptCount val="2"/>
                <c:pt idx="0">
                  <c:v>0.31391915321698299</c:v>
                </c:pt>
                <c:pt idx="1">
                  <c:v>0.33909843992678401</c:v>
                </c:pt>
              </c:numCache>
            </c:numRef>
          </c:xVal>
          <c:yVal>
            <c:numRef>
              <c:f>'MFP-PDF_Avg (2)'!$AP$21:$AP$22</c:f>
              <c:numCache>
                <c:formatCode>General</c:formatCode>
                <c:ptCount val="2"/>
                <c:pt idx="0">
                  <c:v>0.28277596034850733</c:v>
                </c:pt>
                <c:pt idx="1">
                  <c:v>0.22655673749565519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1D3-4C1F-8639-5AE0D8171AD2}"/>
            </c:ext>
          </c:extLst>
        </c:ser>
        <c:ser>
          <c:idx val="2"/>
          <c:order val="5"/>
          <c:tx>
            <c:strRef>
              <c:f>'MFP-PDF_Avg (2)'!$AS$62</c:f>
              <c:strCache>
                <c:ptCount val="1"/>
                <c:pt idx="0">
                  <c:v>Water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'MFP-PDF_Avg (2)'!$BC$23</c:f>
              <c:numCache>
                <c:formatCode>0.000000</c:formatCode>
                <c:ptCount val="1"/>
                <c:pt idx="0">
                  <c:v>0.55623382223307438</c:v>
                </c:pt>
              </c:numCache>
            </c:numRef>
          </c:xVal>
          <c:yVal>
            <c:numRef>
              <c:f>'MFP-PDF_Avg (2)'!$AO$23</c:f>
              <c:numCache>
                <c:formatCode>General</c:formatCode>
                <c:ptCount val="1"/>
                <c:pt idx="0">
                  <c:v>0.60089999999999999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1D3-4C1F-8639-5AE0D8171AD2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2-21D3-4C1F-8639-5AE0D8171AD2}"/>
            </c:ext>
          </c:extLst>
        </c:ser>
        <c:ser>
          <c:idx val="0"/>
          <c:order val="7"/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4.6950751988382763E-2"/>
                  <c:y val="-2.5008792461286677E-2"/>
                </c:manualLayout>
              </c:layout>
              <c:tx>
                <c:rich>
                  <a:bodyPr/>
                  <a:lstStyle/>
                  <a:p>
                    <a:fld id="{0B9822D1-E89D-407B-B587-00DEEC863994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{0B9822D1-E89D-407B-B587-00DEEC863994}</c15:txfldGUID>
                      <c15:f>'MFP-PDF_Avg (2)'!$A$5</c15:f>
                      <c15:dlblFieldTableCache>
                        <c:ptCount val="1"/>
                        <c:pt idx="0">
                          <c:v>LiCl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21D3-4C1F-8639-5AE0D8171AD2}"/>
                </c:ext>
              </c:extLst>
            </c:dLbl>
            <c:dLbl>
              <c:idx val="3"/>
              <c:layout>
                <c:manualLayout>
                  <c:x val="-8.2633323499553851E-2"/>
                  <c:y val="-1.5005275476771952E-2"/>
                </c:manualLayout>
              </c:layout>
              <c:tx>
                <c:rich>
                  <a:bodyPr/>
                  <a:lstStyle/>
                  <a:p>
                    <a:fld id="{A5B3419D-7199-4838-B392-7D5CC4F56B23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{A5B3419D-7199-4838-B392-7D5CC4F56B23}</c15:txfldGUID>
                      <c15:f>'MFP-PDF_Avg (2)'!$A$8</c15:f>
                      <c15:dlblFieldTableCache>
                        <c:ptCount val="1"/>
                        <c:pt idx="0">
                          <c:v>LiF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21D3-4C1F-8639-5AE0D8171A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'MFP-PDF_Avg (2)'!$AR$5:$AR$23</c:f>
              <c:numCache>
                <c:formatCode>General</c:formatCode>
                <c:ptCount val="19"/>
                <c:pt idx="0">
                  <c:v>0.79185976952139003</c:v>
                </c:pt>
                <c:pt idx="1">
                  <c:v>0.54192857279020001</c:v>
                </c:pt>
                <c:pt idx="2">
                  <c:v>0.43217238471639502</c:v>
                </c:pt>
                <c:pt idx="3">
                  <c:v>1.2195937295724</c:v>
                </c:pt>
                <c:pt idx="4">
                  <c:v>0.78920410369242799</c:v>
                </c:pt>
                <c:pt idx="5">
                  <c:v>0.53497140961714396</c:v>
                </c:pt>
                <c:pt idx="8">
                  <c:v>0.56648340243984496</c:v>
                </c:pt>
                <c:pt idx="10">
                  <c:v>0.39572551478833601</c:v>
                </c:pt>
                <c:pt idx="13">
                  <c:v>1.0187917505808699</c:v>
                </c:pt>
                <c:pt idx="14">
                  <c:v>0.839610460137869</c:v>
                </c:pt>
                <c:pt idx="16">
                  <c:v>0.31391915321698299</c:v>
                </c:pt>
                <c:pt idx="17">
                  <c:v>0.33909843992678401</c:v>
                </c:pt>
              </c:numCache>
            </c:numRef>
          </c:xVal>
          <c:yVal>
            <c:numRef>
              <c:f>'MFP-PDF_Avg (2)'!$AP$5:$AP$23</c:f>
              <c:numCache>
                <c:formatCode>General</c:formatCode>
                <c:ptCount val="19"/>
                <c:pt idx="0">
                  <c:v>0.61260000000000003</c:v>
                </c:pt>
                <c:pt idx="1">
                  <c:v>0.46649999999999997</c:v>
                </c:pt>
                <c:pt idx="2">
                  <c:v>0.35505000000000003</c:v>
                </c:pt>
                <c:pt idx="3">
                  <c:v>1.33125</c:v>
                </c:pt>
                <c:pt idx="4">
                  <c:v>0.82789999999999997</c:v>
                </c:pt>
                <c:pt idx="5">
                  <c:v>0.56999999999999995</c:v>
                </c:pt>
                <c:pt idx="6">
                  <c:v>0.48965000000000003</c:v>
                </c:pt>
                <c:pt idx="7">
                  <c:v>0.36715000000000003</c:v>
                </c:pt>
                <c:pt idx="8">
                  <c:v>0.45680000000000004</c:v>
                </c:pt>
                <c:pt idx="9">
                  <c:v>0.44125000000000003</c:v>
                </c:pt>
                <c:pt idx="10">
                  <c:v>0.37705</c:v>
                </c:pt>
                <c:pt idx="11">
                  <c:v>0.51224999999999998</c:v>
                </c:pt>
                <c:pt idx="12">
                  <c:v>0.40920000000000001</c:v>
                </c:pt>
                <c:pt idx="13">
                  <c:v>1.1000000000000001</c:v>
                </c:pt>
                <c:pt idx="14">
                  <c:v>0.84457000000000004</c:v>
                </c:pt>
                <c:pt idx="15">
                  <c:v>0.87448810843065394</c:v>
                </c:pt>
                <c:pt idx="16">
                  <c:v>0.28277596034850733</c:v>
                </c:pt>
                <c:pt idx="17">
                  <c:v>0.22655673749565519</c:v>
                </c:pt>
                <c:pt idx="18">
                  <c:v>0.60089999999999999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1D3-4C1F-8639-5AE0D8171A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.4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_predicted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  <c:majorUnit val="0.2"/>
      </c:valAx>
      <c:valAx>
        <c:axId val="689706896"/>
        <c:scaling>
          <c:orientation val="minMax"/>
          <c:max val="1.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layout>
            <c:manualLayout>
              <c:xMode val="edge"/>
              <c:yMode val="edge"/>
              <c:x val="3.1320366053201487E-2"/>
              <c:y val="0.393537176653051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  <c:minorUnit val="4.0000000000000008E-2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0.59018854978369384"/>
          <c:y val="0.59383869998389194"/>
          <c:w val="0.27876831990781964"/>
          <c:h val="0.263717322665015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Sound Velocity (m/s)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Sheet1!$B$4:$B$12</c:f>
              <c:numCache>
                <c:formatCode>General</c:formatCode>
                <c:ptCount val="9"/>
                <c:pt idx="0">
                  <c:v>0.70743584570726004</c:v>
                </c:pt>
                <c:pt idx="1">
                  <c:v>1.1158098907511</c:v>
                </c:pt>
                <c:pt idx="2">
                  <c:v>1.50149648884806</c:v>
                </c:pt>
                <c:pt idx="3">
                  <c:v>1.8727456207061</c:v>
                </c:pt>
                <c:pt idx="4">
                  <c:v>2.2625572091570403</c:v>
                </c:pt>
                <c:pt idx="5">
                  <c:v>2.6668062638468997</c:v>
                </c:pt>
                <c:pt idx="6">
                  <c:v>3.0442428812358999</c:v>
                </c:pt>
                <c:pt idx="7">
                  <c:v>3.5268667526513497</c:v>
                </c:pt>
                <c:pt idx="8">
                  <c:v>3.9146158459253</c:v>
                </c:pt>
              </c:numCache>
            </c:numRef>
          </c:xVal>
          <c:yVal>
            <c:numRef>
              <c:f>Sheet1!$C$4:$C$12</c:f>
              <c:numCache>
                <c:formatCode>General</c:formatCode>
                <c:ptCount val="9"/>
                <c:pt idx="0">
                  <c:v>2281.1111111111099</c:v>
                </c:pt>
                <c:pt idx="1">
                  <c:v>2786.6666666666601</c:v>
                </c:pt>
                <c:pt idx="2">
                  <c:v>3073.3333333333298</c:v>
                </c:pt>
                <c:pt idx="3">
                  <c:v>2878.88888888888</c:v>
                </c:pt>
                <c:pt idx="4">
                  <c:v>2812.2222222222199</c:v>
                </c:pt>
                <c:pt idx="5">
                  <c:v>2875.5555555555502</c:v>
                </c:pt>
                <c:pt idx="6">
                  <c:v>2678.88888888888</c:v>
                </c:pt>
                <c:pt idx="7">
                  <c:v>2486.6666666666601</c:v>
                </c:pt>
                <c:pt idx="8">
                  <c:v>1993.3333333333301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44-4516-A933-701921260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6895583"/>
        <c:axId val="1033786591"/>
      </c:scatterChart>
      <c:valAx>
        <c:axId val="1236895583"/>
        <c:scaling>
          <c:orientation val="minMax"/>
          <c:max val="1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786591"/>
        <c:crosses val="autoZero"/>
        <c:crossBetween val="midCat"/>
      </c:valAx>
      <c:valAx>
        <c:axId val="1033786591"/>
        <c:scaling>
          <c:orientation val="minMax"/>
          <c:min val="17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895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Pure Salts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663695203635465"/>
                  <c:y val="-0.15127041411490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AvgSchemeTest!$BQ$6</c:f>
              <c:numCache>
                <c:formatCode>General</c:formatCode>
                <c:ptCount val="1"/>
                <c:pt idx="0">
                  <c:v>4.2561305898873879E-10</c:v>
                </c:pt>
              </c:numCache>
            </c:numRef>
          </c:xVal>
          <c:yVal>
            <c:numRef>
              <c:f>AvgSchemeTest!$AP$6</c:f>
              <c:numCache>
                <c:formatCode>General</c:formatCode>
                <c:ptCount val="1"/>
                <c:pt idx="0">
                  <c:v>0.46649999999999997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B9-48A9-BE56-AB2746ADFF6F}"/>
            </c:ext>
          </c:extLst>
        </c:ser>
        <c:ser>
          <c:idx val="1"/>
          <c:order val="1"/>
          <c:tx>
            <c:v>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AvgSchemeTest!$BQ$18:$BQ$22</c:f>
              <c:numCache>
                <c:formatCode>0.00E+00</c:formatCode>
                <c:ptCount val="5"/>
                <c:pt idx="0" formatCode="General">
                  <c:v>1.7925891125038326E-10</c:v>
                </c:pt>
                <c:pt idx="1">
                  <c:v>2.6008382143302827E-10</c:v>
                </c:pt>
                <c:pt idx="2" formatCode="General">
                  <c:v>2.4028944916294775E-10</c:v>
                </c:pt>
                <c:pt idx="3" formatCode="General">
                  <c:v>2.9017778590838672E-10</c:v>
                </c:pt>
                <c:pt idx="4" formatCode="General">
                  <c:v>2.2336229748837205E-10</c:v>
                </c:pt>
              </c:numCache>
            </c:numRef>
          </c:xVal>
          <c:yVal>
            <c:numRef>
              <c:f>AvgSchemeTest!$AP$18:$AP$22</c:f>
              <c:numCache>
                <c:formatCode>General</c:formatCode>
                <c:ptCount val="5"/>
                <c:pt idx="0">
                  <c:v>1.1000000000000001</c:v>
                </c:pt>
                <c:pt idx="1">
                  <c:v>0.84457000000000004</c:v>
                </c:pt>
                <c:pt idx="2">
                  <c:v>0.87448810843065394</c:v>
                </c:pt>
                <c:pt idx="3">
                  <c:v>0.28277596034850733</c:v>
                </c:pt>
                <c:pt idx="4">
                  <c:v>0.22655673749565519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9B9-48A9-BE56-AB2746ADFF6F}"/>
            </c:ext>
          </c:extLst>
        </c:ser>
        <c:ser>
          <c:idx val="2"/>
          <c:order val="2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AvgSchemeTest!$BQ$23</c:f>
              <c:numCache>
                <c:formatCode>0.00E+00</c:formatCode>
                <c:ptCount val="1"/>
                <c:pt idx="0">
                  <c:v>3.0715984604116529E-10</c:v>
                </c:pt>
              </c:numCache>
            </c:numRef>
          </c:xVal>
          <c:yVal>
            <c:numRef>
              <c:f>AvgSchemeTest!$AP$23</c:f>
              <c:numCache>
                <c:formatCode>General</c:formatCode>
                <c:ptCount val="1"/>
                <c:pt idx="0">
                  <c:v>0.60089999999999999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9B9-48A9-BE56-AB2746ADF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MFP_calc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baseline="0">
                    <a:effectLst/>
                  </a:rPr>
                  <a:t>λ</a:t>
                </a:r>
                <a:r>
                  <a:rPr lang="en-US" sz="1000" b="0" i="0" u="none" strike="noStrike" baseline="0">
                    <a:effectLst/>
                  </a:rPr>
                  <a:t>_measured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95460239568026"/>
          <c:y val="2.9761956838728492E-2"/>
          <c:w val="0.48245913339779894"/>
          <c:h val="0.82313502478856815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AvgSchemeTest!$BQ$5:$BQ$7</c:f>
              <c:numCache>
                <c:formatCode>General</c:formatCode>
                <c:ptCount val="3"/>
                <c:pt idx="0" formatCode="0.00E+00">
                  <c:v>3.8363612781784311E-10</c:v>
                </c:pt>
                <c:pt idx="1">
                  <c:v>4.2561305898873879E-10</c:v>
                </c:pt>
                <c:pt idx="2">
                  <c:v>4.3251103354176857E-10</c:v>
                </c:pt>
              </c:numCache>
            </c:numRef>
          </c:xVal>
          <c:yVal>
            <c:numRef>
              <c:f>AvgSchemeTest!$BN$5:$BN$7</c:f>
              <c:numCache>
                <c:formatCode>0.00E+00</c:formatCode>
                <c:ptCount val="3"/>
                <c:pt idx="0">
                  <c:v>3.0056447474785299E-10</c:v>
                </c:pt>
                <c:pt idx="1">
                  <c:v>3.3400223720324102E-10</c:v>
                </c:pt>
                <c:pt idx="2">
                  <c:v>3.6182029353950698E-10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10-442F-AEA0-362AF60CB08F}"/>
            </c:ext>
          </c:extLst>
        </c:ser>
        <c:ser>
          <c:idx val="0"/>
          <c:order val="1"/>
          <c:tx>
            <c:v>Pure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AvgSchemeTest!$BQ$8:$BQ$10</c:f>
              <c:numCache>
                <c:formatCode>0.00E+00</c:formatCode>
                <c:ptCount val="3"/>
                <c:pt idx="0">
                  <c:v>3.4694553806744197E-10</c:v>
                </c:pt>
                <c:pt idx="1">
                  <c:v>3.662234640967553E-10</c:v>
                </c:pt>
                <c:pt idx="2">
                  <c:v>4.242378367893328E-10</c:v>
                </c:pt>
              </c:numCache>
            </c:numRef>
          </c:xVal>
          <c:yVal>
            <c:numRef>
              <c:f>AvgSchemeTest!$BN$8:$BN$10</c:f>
              <c:numCache>
                <c:formatCode>0.00E+00</c:formatCode>
                <c:ptCount val="3"/>
                <c:pt idx="0">
                  <c:v>2.3591537099888599E-10</c:v>
                </c:pt>
                <c:pt idx="1">
                  <c:v>2.7110331264484899E-10</c:v>
                </c:pt>
                <c:pt idx="2">
                  <c:v>3.1522574455637898E-10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10-442F-AEA0-362AF60CB08F}"/>
            </c:ext>
          </c:extLst>
        </c:ser>
        <c:ser>
          <c:idx val="1"/>
          <c:order val="2"/>
          <c:tx>
            <c:v>Alkaline Earth Chlorides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AvgSchemeTest!$BQ$13:$BQ$15</c:f>
              <c:numCache>
                <c:formatCode>0.00E+00</c:formatCode>
                <c:ptCount val="3"/>
                <c:pt idx="0">
                  <c:v>4.0043715924854475E-10</c:v>
                </c:pt>
                <c:pt idx="1">
                  <c:v>3.323174158907707E-10</c:v>
                </c:pt>
                <c:pt idx="2">
                  <c:v>3.3553552242144723E-10</c:v>
                </c:pt>
              </c:numCache>
            </c:numRef>
          </c:xVal>
          <c:yVal>
            <c:numRef>
              <c:f>AvgSchemeTest!$BN$13:$BN$15</c:f>
              <c:numCache>
                <c:formatCode>0.00E+00</c:formatCode>
                <c:ptCount val="3"/>
                <c:pt idx="0">
                  <c:v>3.08759615447175E-10</c:v>
                </c:pt>
                <c:pt idx="1">
                  <c:v>3.3211022612034601E-10</c:v>
                </c:pt>
                <c:pt idx="2">
                  <c:v>4.2994626258483001E-10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310-442F-AEA0-362AF60CB08F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AvgSchemeTest!$BQ$18:$BQ$20</c:f>
              <c:numCache>
                <c:formatCode>0.00E+00</c:formatCode>
                <c:ptCount val="3"/>
                <c:pt idx="0" formatCode="General">
                  <c:v>1.7925891125038326E-10</c:v>
                </c:pt>
                <c:pt idx="1">
                  <c:v>2.6008382143302827E-10</c:v>
                </c:pt>
                <c:pt idx="2" formatCode="General">
                  <c:v>2.4028944916294775E-10</c:v>
                </c:pt>
              </c:numCache>
            </c:numRef>
          </c:xVal>
          <c:yVal>
            <c:numRef>
              <c:f>AvgSchemeTest!$BN$18:$BN$20</c:f>
              <c:numCache>
                <c:formatCode>0.00E+00</c:formatCode>
                <c:ptCount val="3"/>
                <c:pt idx="0">
                  <c:v>2.06003844994128E-10</c:v>
                </c:pt>
                <c:pt idx="1">
                  <c:v>2.5955250470707202E-10</c:v>
                </c:pt>
                <c:pt idx="2">
                  <c:v>2.4173581555363199E-10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310-442F-AEA0-362AF60CB08F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AvgSchemeTest!$BQ$21:$BQ$22</c:f>
              <c:numCache>
                <c:formatCode>General</c:formatCode>
                <c:ptCount val="2"/>
                <c:pt idx="0">
                  <c:v>2.9017778590838672E-10</c:v>
                </c:pt>
                <c:pt idx="1">
                  <c:v>2.2336229748837205E-10</c:v>
                </c:pt>
              </c:numCache>
            </c:numRef>
          </c:xVal>
          <c:yVal>
            <c:numRef>
              <c:f>AvgSchemeTest!$BN$21:$BN$22</c:f>
              <c:numCache>
                <c:formatCode>0.00E+00</c:formatCode>
                <c:ptCount val="2"/>
                <c:pt idx="0">
                  <c:v>3.1692440673072701E-10</c:v>
                </c:pt>
                <c:pt idx="1">
                  <c:v>3.1692440673072701E-10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310-442F-AEA0-362AF60CB08F}"/>
            </c:ext>
          </c:extLst>
        </c:ser>
        <c:ser>
          <c:idx val="2"/>
          <c:order val="5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AvgSchemeTest!$BQ$23</c:f>
              <c:numCache>
                <c:formatCode>0.00E+00</c:formatCode>
                <c:ptCount val="1"/>
                <c:pt idx="0">
                  <c:v>3.0715984604116529E-10</c:v>
                </c:pt>
              </c:numCache>
            </c:numRef>
          </c:xVal>
          <c:yVal>
            <c:numRef>
              <c:f>AvgSchemeTest!$BN$23</c:f>
              <c:numCache>
                <c:formatCode>0.00E+00</c:formatCode>
                <c:ptCount val="1"/>
                <c:pt idx="0">
                  <c:v>2.8432800000000002E-10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310-442F-AEA0-362AF60CB08F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9.9999999999999994E-12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9.9999999999999994E-12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8310-442F-AEA0-362AF60CB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6.0000000000000031E-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MFP_calc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6.0000000000000031E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PDF-MFP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66593759113446"/>
          <c:y val="5.9523809523809521E-2"/>
          <c:w val="0.56891659375911341"/>
          <c:h val="0.77617745698454343"/>
        </c:manualLayout>
      </c:layout>
      <c:scatterChart>
        <c:scatterStyle val="lineMarker"/>
        <c:varyColors val="0"/>
        <c:ser>
          <c:idx val="4"/>
          <c:order val="0"/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AvgSchemeTest!$AV$5:$AV$7</c:f>
              <c:numCache>
                <c:formatCode>General</c:formatCode>
                <c:ptCount val="3"/>
                <c:pt idx="0">
                  <c:v>0.78670723632944894</c:v>
                </c:pt>
                <c:pt idx="1">
                  <c:v>0.53084165353214496</c:v>
                </c:pt>
                <c:pt idx="2">
                  <c:v>0.41602860665791702</c:v>
                </c:pt>
              </c:numCache>
            </c:numRef>
          </c:xVal>
          <c:yVal>
            <c:numRef>
              <c:f>AvgSchemeTest!$AP$5:$AP$7</c:f>
              <c:numCache>
                <c:formatCode>General</c:formatCode>
                <c:ptCount val="3"/>
                <c:pt idx="0">
                  <c:v>0.61260000000000003</c:v>
                </c:pt>
                <c:pt idx="1">
                  <c:v>0.46649999999999997</c:v>
                </c:pt>
                <c:pt idx="2">
                  <c:v>0.35505000000000003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67-49D4-BF08-ABF75813926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AvgSchemeTest!$AV$8:$AV$10</c:f>
              <c:numCache>
                <c:formatCode>General</c:formatCode>
                <c:ptCount val="3"/>
                <c:pt idx="0">
                  <c:v>1.22987712739888</c:v>
                </c:pt>
                <c:pt idx="1">
                  <c:v>0.78264084714836502</c:v>
                </c:pt>
                <c:pt idx="2">
                  <c:v>0.51980918395456199</c:v>
                </c:pt>
              </c:numCache>
            </c:numRef>
          </c:xVal>
          <c:yVal>
            <c:numRef>
              <c:f>AvgSchemeTest!$AP$8:$AP$10</c:f>
              <c:numCache>
                <c:formatCode>General</c:formatCode>
                <c:ptCount val="3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67-49D4-BF08-ABF758139262}"/>
            </c:ext>
          </c:extLst>
        </c:ser>
        <c:ser>
          <c:idx val="7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AvgSchemeTest!$AV$13:$AV$15</c:f>
              <c:numCache>
                <c:formatCode>General</c:formatCode>
                <c:ptCount val="3"/>
                <c:pt idx="0">
                  <c:v>0.54002025954196298</c:v>
                </c:pt>
                <c:pt idx="1">
                  <c:v>0.42656474196147098</c:v>
                </c:pt>
              </c:numCache>
            </c:numRef>
          </c:xVal>
          <c:yVal>
            <c:numRef>
              <c:f>AvgSchemeTest!$AP$13:$AP$15</c:f>
              <c:numCache>
                <c:formatCode>General</c:formatCode>
                <c:ptCount val="3"/>
                <c:pt idx="0">
                  <c:v>0.45680000000000004</c:v>
                </c:pt>
                <c:pt idx="1">
                  <c:v>0.44125000000000003</c:v>
                </c:pt>
                <c:pt idx="2">
                  <c:v>0.37705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F67-49D4-BF08-ABF758139262}"/>
            </c:ext>
          </c:extLst>
        </c:ser>
        <c:ser>
          <c:idx val="5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AvgSchemeTest!$AV$18:$AV$20</c:f>
              <c:numCache>
                <c:formatCode>General</c:formatCode>
                <c:ptCount val="3"/>
                <c:pt idx="0">
                  <c:v>1.28305844543897</c:v>
                </c:pt>
                <c:pt idx="1">
                  <c:v>0.85046707066330796</c:v>
                </c:pt>
                <c:pt idx="2">
                  <c:v>0.73223097949286997</c:v>
                </c:pt>
              </c:numCache>
            </c:numRef>
          </c:xVal>
          <c:yVal>
            <c:numRef>
              <c:f>(AvgSchemeTest!$AP$18,AvgSchemeTest!$AP$19,AvgSchemeTest!$AP$20)</c:f>
              <c:numCache>
                <c:formatCode>General</c:formatCode>
                <c:ptCount val="3"/>
                <c:pt idx="0">
                  <c:v>1.1000000000000001</c:v>
                </c:pt>
                <c:pt idx="1">
                  <c:v>0.84457000000000004</c:v>
                </c:pt>
                <c:pt idx="2">
                  <c:v>0.87448810843065394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F67-49D4-BF08-ABF758139262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8.5943333609889649E-2"/>
                  <c:y val="0.104994167395742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E0BA487-CCDC-4FE7-BE25-673E4F54B5AB}" type="CELLREF">
                      <a:rPr lang="en-US"/>
                      <a:pPr>
                        <a:defRPr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597216460632209"/>
                      <c:h val="0.11182086614173228"/>
                    </c:manualLayout>
                  </c15:layout>
                  <c15:dlblFieldTable>
                    <c15:dlblFTEntry>
                      <c15:txfldGUID>{4E0BA487-CCDC-4FE7-BE25-673E4F54B5AB}</c15:txfldGUID>
                      <c15:f>AvgSchemeTest!$A$21</c15:f>
                      <c15:dlblFieldTableCache>
                        <c:ptCount val="1"/>
                        <c:pt idx="0">
                          <c:v>0.63NaCl-0.37UCl3 (ORNL)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6F67-49D4-BF08-ABF758139262}"/>
                </c:ext>
              </c:extLst>
            </c:dLbl>
            <c:dLbl>
              <c:idx val="1"/>
              <c:layout>
                <c:manualLayout>
                  <c:x val="3.1089929548280139E-2"/>
                  <c:y val="1.568788276465432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48043BA-4F93-455A-BDFD-BB5447868CFE}" type="CELLREF">
                      <a:rPr lang="en-US"/>
                      <a:pPr>
                        <a:defRPr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342772942855827"/>
                      <c:h val="9.7931758530183724E-2"/>
                    </c:manualLayout>
                  </c15:layout>
                  <c15:dlblFieldTable>
                    <c15:dlblFTEntry>
                      <c15:txfldGUID>{F48043BA-4F93-455A-BDFD-BB5447868CFE}</c15:txfldGUID>
                      <c15:f>AvgSchemeTest!$A$22</c15:f>
                      <c15:dlblFieldTableCache>
                        <c:ptCount val="1"/>
                        <c:pt idx="0">
                          <c:v>0.658NaCl-0.342UCl3 (ANL)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6F67-49D4-BF08-ABF75813926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AvgSchemeTest!$AV$21:$AV$22</c:f>
              <c:numCache>
                <c:formatCode>General</c:formatCode>
                <c:ptCount val="2"/>
                <c:pt idx="0">
                  <c:v>0.29301529878909899</c:v>
                </c:pt>
                <c:pt idx="1">
                  <c:v>0.316517898560285</c:v>
                </c:pt>
              </c:numCache>
            </c:numRef>
          </c:xVal>
          <c:yVal>
            <c:numRef>
              <c:f>AvgSchemeTest!$AP$21:$AP$22</c:f>
              <c:numCache>
                <c:formatCode>General</c:formatCode>
                <c:ptCount val="2"/>
                <c:pt idx="0">
                  <c:v>0.28277596034850733</c:v>
                </c:pt>
                <c:pt idx="1">
                  <c:v>0.22655673749565519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F67-49D4-BF08-ABF758139262}"/>
            </c:ext>
          </c:extLst>
        </c:ser>
        <c:ser>
          <c:idx val="2"/>
          <c:order val="5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AvgSchemeTest!$BE$23</c:f>
              <c:numCache>
                <c:formatCode>0.000000</c:formatCode>
                <c:ptCount val="1"/>
                <c:pt idx="0">
                  <c:v>0.55623382223307438</c:v>
                </c:pt>
              </c:numCache>
            </c:numRef>
          </c:xVal>
          <c:yVal>
            <c:numRef>
              <c:f>AvgSchemeTest!$AP$23</c:f>
              <c:numCache>
                <c:formatCode>General</c:formatCode>
                <c:ptCount val="1"/>
                <c:pt idx="0">
                  <c:v>0.60089999999999999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F67-49D4-BF08-ABF758139262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C-6F67-49D4-BF08-ABF758139262}"/>
            </c:ext>
          </c:extLst>
        </c:ser>
        <c:ser>
          <c:idx val="0"/>
          <c:order val="7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5761315046934277"/>
                  <c:y val="-2.292578011081948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AvgSchemeTest!$AV$5:$AV$23</c:f>
              <c:numCache>
                <c:formatCode>General</c:formatCode>
                <c:ptCount val="19"/>
                <c:pt idx="0">
                  <c:v>0.78670723632944894</c:v>
                </c:pt>
                <c:pt idx="1">
                  <c:v>0.53084165353214496</c:v>
                </c:pt>
                <c:pt idx="2">
                  <c:v>0.41602860665791702</c:v>
                </c:pt>
                <c:pt idx="3">
                  <c:v>1.22987712739888</c:v>
                </c:pt>
                <c:pt idx="4">
                  <c:v>0.78264084714836502</c:v>
                </c:pt>
                <c:pt idx="5">
                  <c:v>0.51980918395456199</c:v>
                </c:pt>
                <c:pt idx="8">
                  <c:v>0.54002025954196298</c:v>
                </c:pt>
                <c:pt idx="9">
                  <c:v>0.42656474196147098</c:v>
                </c:pt>
                <c:pt idx="11">
                  <c:v>0.54571904518309799</c:v>
                </c:pt>
                <c:pt idx="13">
                  <c:v>1.28305844543897</c:v>
                </c:pt>
                <c:pt idx="14">
                  <c:v>0.85046707066330796</c:v>
                </c:pt>
                <c:pt idx="15">
                  <c:v>0.73223097949286997</c:v>
                </c:pt>
                <c:pt idx="16">
                  <c:v>0.29301529878909899</c:v>
                </c:pt>
                <c:pt idx="17">
                  <c:v>0.316517898560285</c:v>
                </c:pt>
              </c:numCache>
            </c:numRef>
          </c:xVal>
          <c:yVal>
            <c:numRef>
              <c:f>AvgSchemeTest!$AP$5:$AP$23</c:f>
              <c:numCache>
                <c:formatCode>General</c:formatCode>
                <c:ptCount val="19"/>
                <c:pt idx="0">
                  <c:v>0.61260000000000003</c:v>
                </c:pt>
                <c:pt idx="1">
                  <c:v>0.46649999999999997</c:v>
                </c:pt>
                <c:pt idx="2">
                  <c:v>0.35505000000000003</c:v>
                </c:pt>
                <c:pt idx="3">
                  <c:v>1.33125</c:v>
                </c:pt>
                <c:pt idx="4">
                  <c:v>0.82789999999999997</c:v>
                </c:pt>
                <c:pt idx="5">
                  <c:v>0.56999999999999995</c:v>
                </c:pt>
                <c:pt idx="6">
                  <c:v>0.48965000000000003</c:v>
                </c:pt>
                <c:pt idx="7">
                  <c:v>0.36715000000000003</c:v>
                </c:pt>
                <c:pt idx="8">
                  <c:v>0.45680000000000004</c:v>
                </c:pt>
                <c:pt idx="9">
                  <c:v>0.44125000000000003</c:v>
                </c:pt>
                <c:pt idx="10">
                  <c:v>0.37705</c:v>
                </c:pt>
                <c:pt idx="11">
                  <c:v>0.51224999999999998</c:v>
                </c:pt>
                <c:pt idx="12">
                  <c:v>0.40920000000000001</c:v>
                </c:pt>
                <c:pt idx="13">
                  <c:v>1.1000000000000001</c:v>
                </c:pt>
                <c:pt idx="14">
                  <c:v>0.84457000000000004</c:v>
                </c:pt>
                <c:pt idx="15">
                  <c:v>0.87448810843065394</c:v>
                </c:pt>
                <c:pt idx="16">
                  <c:v>0.28277596034850733</c:v>
                </c:pt>
                <c:pt idx="17">
                  <c:v>0.22655673749565519</c:v>
                </c:pt>
                <c:pt idx="18">
                  <c:v>0.60089999999999999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F67-49D4-BF08-ABF758139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.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_predicted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  <c:majorUnit val="0.2"/>
      </c:valAx>
      <c:valAx>
        <c:axId val="689706896"/>
        <c:scaling>
          <c:orientation val="minMax"/>
          <c:max val="1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  <c:minorUnit val="4.0000000000000008E-2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0.71601650001853678"/>
          <c:y val="0.1836945902595509"/>
          <c:w val="0.28398349998146333"/>
          <c:h val="0.763893263342082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27133121517705"/>
          <c:y val="4.3650793650793648E-2"/>
          <c:w val="0.47260970668140168"/>
          <c:h val="0.82379640044994373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AvgSchemeTest!$CJ$5:$CJ$7</c:f>
              <c:numCache>
                <c:formatCode>General</c:formatCode>
                <c:ptCount val="3"/>
                <c:pt idx="0">
                  <c:v>2934445.5377642317</c:v>
                </c:pt>
                <c:pt idx="1">
                  <c:v>2356321.8337948439</c:v>
                </c:pt>
                <c:pt idx="2">
                  <c:v>1801384.5285115675</c:v>
                </c:pt>
              </c:numCache>
            </c:numRef>
          </c:xVal>
          <c:yVal>
            <c:numRef>
              <c:f>AvgSchemeTest!$CC$5:$CC$7</c:f>
              <c:numCache>
                <c:formatCode>0.00E+00</c:formatCode>
                <c:ptCount val="3"/>
                <c:pt idx="0">
                  <c:v>2299027.692598009</c:v>
                </c:pt>
                <c:pt idx="1">
                  <c:v>1849136.7861885792</c:v>
                </c:pt>
                <c:pt idx="2">
                  <c:v>1506961.5069615068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A7-472C-A2CC-E236E2EA94E4}"/>
            </c:ext>
          </c:extLst>
        </c:ser>
        <c:ser>
          <c:idx val="0"/>
          <c:order val="1"/>
          <c:tx>
            <c:v>Pure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AvgSchemeTest!$CJ$8:$CJ$10</c:f>
              <c:numCache>
                <c:formatCode>General</c:formatCode>
                <c:ptCount val="3"/>
                <c:pt idx="0">
                  <c:v>6648929.8682542378</c:v>
                </c:pt>
                <c:pt idx="1">
                  <c:v>4403494.191886411</c:v>
                </c:pt>
                <c:pt idx="2">
                  <c:v>2959168.7727243449</c:v>
                </c:pt>
              </c:numCache>
            </c:numRef>
          </c:xVal>
          <c:yVal>
            <c:numRef>
              <c:f>AvgSchemeTest!$CC$8:$CC$10</c:f>
              <c:numCache>
                <c:formatCode>0.00E+00</c:formatCode>
                <c:ptCount val="3"/>
                <c:pt idx="0">
                  <c:v>4521126.760563381</c:v>
                </c:pt>
                <c:pt idx="1">
                  <c:v>3250000</c:v>
                </c:pt>
                <c:pt idx="2">
                  <c:v>2200657.8947368423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A7-472C-A2CC-E236E2EA94E4}"/>
            </c:ext>
          </c:extLst>
        </c:ser>
        <c:ser>
          <c:idx val="1"/>
          <c:order val="2"/>
          <c:tx>
            <c:v>Alkaline Earth Chlorides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AvgSchemeTest!$CJ$13:$CJ$15</c:f>
              <c:numCache>
                <c:formatCode>General</c:formatCode>
                <c:ptCount val="3"/>
                <c:pt idx="0">
                  <c:v>2112519.887785173</c:v>
                </c:pt>
                <c:pt idx="1">
                  <c:v>1930177.9921222366</c:v>
                </c:pt>
                <c:pt idx="2">
                  <c:v>1404552.9045622179</c:v>
                </c:pt>
              </c:numCache>
            </c:numRef>
          </c:xVal>
          <c:yVal>
            <c:numRef>
              <c:f>AvgSchemeTest!$CC$13:$CC$15</c:f>
              <c:numCache>
                <c:formatCode>0.00E+00</c:formatCode>
                <c:ptCount val="3"/>
                <c:pt idx="0">
                  <c:v>1628871.8794256966</c:v>
                </c:pt>
                <c:pt idx="1">
                  <c:v>1928974.5850302745</c:v>
                </c:pt>
                <c:pt idx="2">
                  <c:v>1799756.6027023955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CA7-472C-A2CC-E236E2EA94E4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AvgSchemeTest!$CJ$18:$CJ$20</c:f>
              <c:numCache>
                <c:formatCode>General</c:formatCode>
                <c:ptCount val="3"/>
                <c:pt idx="0">
                  <c:v>4148562.4961009878</c:v>
                </c:pt>
                <c:pt idx="1">
                  <c:v>4015277.2732061055</c:v>
                </c:pt>
                <c:pt idx="2">
                  <c:v>4167395.8887993586</c:v>
                </c:pt>
              </c:numCache>
            </c:numRef>
          </c:xVal>
          <c:yVal>
            <c:numRef>
              <c:f>AvgSchemeTest!$CC$18:$CC$20</c:f>
              <c:numCache>
                <c:formatCode>0.00E+00</c:formatCode>
                <c:ptCount val="3"/>
                <c:pt idx="0">
                  <c:v>4323157.1595853949</c:v>
                </c:pt>
                <c:pt idx="1">
                  <c:v>3402318.9027080508</c:v>
                </c:pt>
                <c:pt idx="2">
                  <c:v>4192480.558023226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CA7-472C-A2CC-E236E2EA94E4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AvgSchemeTest!$CJ$21:$CJ$22</c:f>
              <c:numCache>
                <c:formatCode>General</c:formatCode>
                <c:ptCount val="2"/>
                <c:pt idx="0">
                  <c:v>1974353.8841670761</c:v>
                </c:pt>
                <c:pt idx="1">
                  <c:v>1515117.258248803</c:v>
                </c:pt>
              </c:numCache>
            </c:numRef>
          </c:xVal>
          <c:yVal>
            <c:numRef>
              <c:f>AvgSchemeTest!$CC$21:$CC$22</c:f>
              <c:numCache>
                <c:formatCode>0.00E+00</c:formatCode>
                <c:ptCount val="2"/>
                <c:pt idx="0">
                  <c:v>2156336.4385642763</c:v>
                </c:pt>
                <c:pt idx="1">
                  <c:v>2149770.3220167966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CA7-472C-A2CC-E236E2EA94E4}"/>
            </c:ext>
          </c:extLst>
        </c:ser>
        <c:ser>
          <c:idx val="2"/>
          <c:order val="5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AvgSchemeTest!$CJ$23</c:f>
              <c:numCache>
                <c:formatCode>General</c:formatCode>
                <c:ptCount val="1"/>
                <c:pt idx="0">
                  <c:v>4519039.7092508962</c:v>
                </c:pt>
              </c:numCache>
            </c:numRef>
          </c:xVal>
          <c:yVal>
            <c:numRef>
              <c:f>AvgSchemeTest!$CC$23</c:f>
              <c:numCache>
                <c:formatCode>0.00E+00</c:formatCode>
                <c:ptCount val="1"/>
                <c:pt idx="0">
                  <c:v>4183129.8557158709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CA7-472C-A2CC-E236E2EA94E4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.000000000000001E-2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7000000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7000000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1CA7-472C-A2CC-E236E2EA9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70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C_p,calc (phonon)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E+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  <c:majorUnit val="1000000"/>
      </c:valAx>
      <c:valAx>
        <c:axId val="689706896"/>
        <c:scaling>
          <c:orientation val="minMax"/>
          <c:max val="7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C_p,measured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635608048993876E-2"/>
              <c:y val="0.305791776027996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68536096836723448"/>
          <c:y val="8.2917760279965003E-2"/>
          <c:w val="0.30430796313330477"/>
          <c:h val="0.745785943423738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00991542723829"/>
          <c:y val="4.3650793650793648E-2"/>
          <c:w val="0.51074058688893342"/>
          <c:h val="0.80527777777777776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AvgSchemeTest!$BZ$5:$BZ$7</c:f>
              <c:numCache>
                <c:formatCode>0.00E+00</c:formatCode>
                <c:ptCount val="3"/>
                <c:pt idx="0">
                  <c:v>2654.2218825171644</c:v>
                </c:pt>
                <c:pt idx="1">
                  <c:v>2260.0959707447478</c:v>
                </c:pt>
                <c:pt idx="2">
                  <c:v>1951.6406821956732</c:v>
                </c:pt>
              </c:numCache>
            </c:numRef>
          </c:xVal>
          <c:yVal>
            <c:numRef>
              <c:f>AvgSchemeTest!$BV$5:$BV$7</c:f>
              <c:numCache>
                <c:formatCode>0.0000E+00</c:formatCode>
                <c:ptCount val="3"/>
                <c:pt idx="0">
                  <c:v>2042.3974499999999</c:v>
                </c:pt>
                <c:pt idx="1">
                  <c:v>1743.6799999999998</c:v>
                </c:pt>
                <c:pt idx="2">
                  <c:v>1597.1839999999997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52-4031-97B2-533ED6065334}"/>
            </c:ext>
          </c:extLst>
        </c:ser>
        <c:ser>
          <c:idx val="0"/>
          <c:order val="1"/>
          <c:tx>
            <c:v>Pure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AvgSchemeTest!$BZ$8:$BZ$10</c:f>
              <c:numCache>
                <c:formatCode>0.00E+00</c:formatCode>
                <c:ptCount val="3"/>
                <c:pt idx="0">
                  <c:v>3782.0499879267163</c:v>
                </c:pt>
                <c:pt idx="1">
                  <c:v>2810.4652972558115</c:v>
                </c:pt>
                <c:pt idx="2">
                  <c:v>2467.1321700698095</c:v>
                </c:pt>
              </c:numCache>
            </c:numRef>
          </c:xVal>
          <c:yVal>
            <c:numRef>
              <c:f>AvgSchemeTest!$BV$8:$BV$10</c:f>
              <c:numCache>
                <c:formatCode>0.0000E+00</c:formatCode>
                <c:ptCount val="3"/>
                <c:pt idx="0">
                  <c:v>2547.8000000000002</c:v>
                </c:pt>
                <c:pt idx="1">
                  <c:v>2085.5</c:v>
                </c:pt>
                <c:pt idx="2">
                  <c:v>1816.4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52-4031-97B2-533ED6065334}"/>
            </c:ext>
          </c:extLst>
        </c:ser>
        <c:ser>
          <c:idx val="1"/>
          <c:order val="2"/>
          <c:tx>
            <c:v>Alkaline Earth Chlorides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AvgSchemeTest!$BZ$13:$BZ$15</c:f>
              <c:numCache>
                <c:formatCode>0.00E+00</c:formatCode>
                <c:ptCount val="3"/>
                <c:pt idx="0">
                  <c:v>2724.8332666910214</c:v>
                </c:pt>
                <c:pt idx="1">
                  <c:v>2066.3182864120718</c:v>
                </c:pt>
                <c:pt idx="2">
                  <c:v>1461.8144354476785</c:v>
                </c:pt>
              </c:numCache>
            </c:numRef>
          </c:xVal>
          <c:yVal>
            <c:numRef>
              <c:f>AvgSchemeTest!$BV$13:$BV$15</c:f>
              <c:numCache>
                <c:formatCode>0.0000E+00</c:formatCode>
                <c:ptCount val="3"/>
                <c:pt idx="0">
                  <c:v>2101</c:v>
                </c:pt>
                <c:pt idx="1">
                  <c:v>2065.0300000000002</c:v>
                </c:pt>
                <c:pt idx="2">
                  <c:v>1873.13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C52-4031-97B2-533ED6065334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AvgSchemeTest!$BZ$18:$BZ$20</c:f>
              <c:numCache>
                <c:formatCode>0.00E+00</c:formatCode>
                <c:ptCount val="3"/>
                <c:pt idx="0">
                  <c:v>3014.7958403196781</c:v>
                </c:pt>
                <c:pt idx="1">
                  <c:v>2363.979295927822</c:v>
                </c:pt>
                <c:pt idx="2">
                  <c:v>2588.5890241203952</c:v>
                </c:pt>
              </c:numCache>
            </c:numRef>
          </c:xVal>
          <c:yVal>
            <c:numRef>
              <c:f>AvgSchemeTest!$BV$18:$BV$20</c:f>
              <c:numCache>
                <c:formatCode>0.0000E+00</c:formatCode>
                <c:ptCount val="3"/>
                <c:pt idx="0">
                  <c:v>2547.6863757231322</c:v>
                </c:pt>
                <c:pt idx="1">
                  <c:v>2012.468707779205</c:v>
                </c:pt>
                <c:pt idx="2">
                  <c:v>2298.228366828082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C52-4031-97B2-533ED6065334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AvgSchemeTest!$BZ$21:$BZ$22</c:f>
              <c:numCache>
                <c:formatCode>0.00E+00</c:formatCode>
                <c:ptCount val="2"/>
                <c:pt idx="0">
                  <c:v>1332.9578486026016</c:v>
                </c:pt>
                <c:pt idx="1">
                  <c:v>1039.4331216672322</c:v>
                </c:pt>
              </c:numCache>
            </c:numRef>
          </c:xVal>
          <c:yVal>
            <c:numRef>
              <c:f>AvgSchemeTest!$BV$21:$BV$22</c:f>
              <c:numCache>
                <c:formatCode>0.0000E+00</c:formatCode>
                <c:ptCount val="2"/>
                <c:pt idx="0">
                  <c:v>1451.7494609289899</c:v>
                </c:pt>
                <c:pt idx="1">
                  <c:v>1470.4555590061771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C52-4031-97B2-533ED6065334}"/>
            </c:ext>
          </c:extLst>
        </c:ser>
        <c:ser>
          <c:idx val="2"/>
          <c:order val="5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AvgSchemeTest!$BZ$23</c:f>
              <c:numCache>
                <c:formatCode>0.00E+00</c:formatCode>
                <c:ptCount val="1"/>
                <c:pt idx="0">
                  <c:v>1515.6624180374595</c:v>
                </c:pt>
              </c:numCache>
            </c:numRef>
          </c:xVal>
          <c:yVal>
            <c:numRef>
              <c:f>AvgSchemeTest!$BV$23</c:f>
              <c:numCache>
                <c:formatCode>0.0000E+00</c:formatCode>
                <c:ptCount val="1"/>
                <c:pt idx="0">
                  <c:v>1403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C52-4031-97B2-533ED6065334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6000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6000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3C52-4031-97B2-533ED60653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vs_calc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v_sound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66593759113446"/>
          <c:y val="5.9523809523809521E-2"/>
          <c:w val="0.56891659375911341"/>
          <c:h val="0.77617745698454343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AvgSchemeTest!$BK$5:$BK$7</c:f>
              <c:numCache>
                <c:formatCode>0.00E+00</c:formatCode>
                <c:ptCount val="3"/>
                <c:pt idx="0">
                  <c:v>1596825626.1070199</c:v>
                </c:pt>
                <c:pt idx="1">
                  <c:v>1096065992.68455</c:v>
                </c:pt>
                <c:pt idx="2">
                  <c:v>820903913.34655297</c:v>
                </c:pt>
              </c:numCache>
            </c:numRef>
          </c:xVal>
          <c:yVal>
            <c:numRef>
              <c:f>AvgSchemeTest!$AP$5:$AP$7</c:f>
              <c:numCache>
                <c:formatCode>General</c:formatCode>
                <c:ptCount val="3"/>
                <c:pt idx="0">
                  <c:v>0.61260000000000003</c:v>
                </c:pt>
                <c:pt idx="1">
                  <c:v>0.46649999999999997</c:v>
                </c:pt>
                <c:pt idx="2">
                  <c:v>0.35505000000000003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E3-4AFA-BA85-5ADBDB6D9AAA}"/>
            </c:ext>
          </c:extLst>
        </c:ser>
        <c:ser>
          <c:idx val="5"/>
          <c:order val="1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AvgSchemeTest!$BK$18:$BK$20</c:f>
              <c:numCache>
                <c:formatCode>0.00E+00</c:formatCode>
                <c:ptCount val="3"/>
                <c:pt idx="0">
                  <c:v>6136375549.3502598</c:v>
                </c:pt>
                <c:pt idx="1">
                  <c:v>3247299256.6262999</c:v>
                </c:pt>
                <c:pt idx="2">
                  <c:v>3639311303.4173899</c:v>
                </c:pt>
              </c:numCache>
            </c:numRef>
          </c:xVal>
          <c:yVal>
            <c:numRef>
              <c:f>(AvgSchemeTest!$AP$18,AvgSchemeTest!$AP$19,AvgSchemeTest!$AP$20)</c:f>
              <c:numCache>
                <c:formatCode>General</c:formatCode>
                <c:ptCount val="3"/>
                <c:pt idx="0">
                  <c:v>1.1000000000000001</c:v>
                </c:pt>
                <c:pt idx="1">
                  <c:v>0.84457000000000004</c:v>
                </c:pt>
                <c:pt idx="2">
                  <c:v>0.87448810843065394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E3-4AFA-BA85-5ADBDB6D9AAA}"/>
            </c:ext>
          </c:extLst>
        </c:ser>
        <c:ser>
          <c:idx val="6"/>
          <c:order val="2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9.3845873432487625E-2"/>
                  <c:y val="9.8049462567179099E-2"/>
                </c:manualLayout>
              </c:layout>
              <c:tx>
                <c:rich>
                  <a:bodyPr/>
                  <a:lstStyle/>
                  <a:p>
                    <a:fld id="{4E0BA487-CCDC-4FE7-BE25-673E4F54B5AB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328813065033539"/>
                      <c:h val="9.793182102237219E-2"/>
                    </c:manualLayout>
                  </c15:layout>
                  <c15:dlblFieldTable>
                    <c15:dlblFTEntry>
                      <c15:txfldGUID>{4E0BA487-CCDC-4FE7-BE25-673E4F54B5AB}</c15:txfldGUID>
                      <c15:f>AvgSchemeTest!$A$21</c15:f>
                      <c15:dlblFieldTableCache>
                        <c:ptCount val="1"/>
                        <c:pt idx="0">
                          <c:v>0.63NaCl-0.37UCl3 (ORNL)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09E3-4AFA-BA85-5ADBDB6D9AAA}"/>
                </c:ext>
              </c:extLst>
            </c:dLbl>
            <c:dLbl>
              <c:idx val="1"/>
              <c:layout>
                <c:manualLayout>
                  <c:x val="3.1089929548280139E-2"/>
                  <c:y val="1.568788276465432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48043BA-4F93-455A-BDFD-BB5447868CFE}" type="CELLREF">
                      <a:rPr lang="en-US"/>
                      <a:pPr>
                        <a:defRPr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342772942855827"/>
                      <c:h val="9.7931758530183724E-2"/>
                    </c:manualLayout>
                  </c15:layout>
                  <c15:dlblFieldTable>
                    <c15:dlblFTEntry>
                      <c15:txfldGUID>{F48043BA-4F93-455A-BDFD-BB5447868CFE}</c15:txfldGUID>
                      <c15:f>AvgSchemeTest!$A$22</c15:f>
                      <c15:dlblFieldTableCache>
                        <c:ptCount val="1"/>
                        <c:pt idx="0">
                          <c:v>0.658NaCl-0.342UCl3 (ANL)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09E3-4AFA-BA85-5ADBDB6D9A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AvgSchemeTest!$BK$21:$BK$22</c:f>
              <c:numCache>
                <c:formatCode>0.00E+00</c:formatCode>
                <c:ptCount val="2"/>
                <c:pt idx="0">
                  <c:v>974492101.32778299</c:v>
                </c:pt>
                <c:pt idx="1">
                  <c:v>1014301607.94012</c:v>
                </c:pt>
              </c:numCache>
            </c:numRef>
          </c:xVal>
          <c:yVal>
            <c:numRef>
              <c:f>AvgSchemeTest!$AP$21:$AP$22</c:f>
              <c:numCache>
                <c:formatCode>General</c:formatCode>
                <c:ptCount val="2"/>
                <c:pt idx="0">
                  <c:v>0.28277596034850733</c:v>
                </c:pt>
                <c:pt idx="1">
                  <c:v>0.22655673749565519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9E3-4AFA-BA85-5ADBDB6D9AAA}"/>
            </c:ext>
          </c:extLst>
        </c:ser>
        <c:ser>
          <c:idx val="2"/>
          <c:order val="3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AvgSchemeTest!$BK$23</c:f>
              <c:numCache>
                <c:formatCode>0.00E+00</c:formatCode>
                <c:ptCount val="1"/>
                <c:pt idx="0">
                  <c:v>1956310395.8564556</c:v>
                </c:pt>
              </c:numCache>
            </c:numRef>
          </c:xVal>
          <c:yVal>
            <c:numRef>
              <c:f>AvgSchemeTest!$AP$23</c:f>
              <c:numCache>
                <c:formatCode>General</c:formatCode>
                <c:ptCount val="1"/>
                <c:pt idx="0">
                  <c:v>0.60089999999999999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9E3-4AFA-BA85-5ADBDB6D9AAA}"/>
            </c:ext>
          </c:extLst>
        </c:ser>
        <c:ser>
          <c:idx val="0"/>
          <c:order val="5"/>
          <c:tx>
            <c:v>Pure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AvgSchemeTest!$BK$8</c:f>
              <c:numCache>
                <c:formatCode>0.00E+00</c:formatCode>
                <c:ptCount val="1"/>
                <c:pt idx="0">
                  <c:v>3837057560.7207298</c:v>
                </c:pt>
              </c:numCache>
            </c:numRef>
          </c:xVal>
          <c:yVal>
            <c:numRef>
              <c:f>AvgSchemeTest!$AP$8</c:f>
              <c:numCache>
                <c:formatCode>General</c:formatCode>
                <c:ptCount val="1"/>
                <c:pt idx="0">
                  <c:v>1.33125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9E3-4AFA-BA85-5ADBDB6D9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4"/>
                <c:tx>
                  <c:v>Ideal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noFill/>
                    <a:ln w="9525">
                      <a:noFill/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4"/>
                      </a:solidFill>
                      <a:prstDash val="sysDot"/>
                    </a:ln>
                    <a:effectLst/>
                  </c:spPr>
                  <c:trendlineType val="linear"/>
                  <c:forward val="1.0000000000000005E-9"/>
                  <c:intercept val="0"/>
                  <c:dispRSqr val="0"/>
                  <c:dispEq val="0"/>
                </c:trendline>
                <c:x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2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2</c:v>
                    </c:pt>
                  </c:numLit>
                </c:yVal>
                <c:smooth val="0"/>
                <c:extLst>
                  <c:ext xmlns:c16="http://schemas.microsoft.com/office/drawing/2014/chart" uri="{C3380CC4-5D6E-409C-BE32-E72D297353CC}">
                    <c16:uniqueId val="{0000000B-09E3-4AFA-BA85-5ADBDB6D9AAA}"/>
                  </c:ext>
                </c:extLst>
              </c15:ser>
            </c15:filteredScatterSeries>
          </c:ext>
        </c:extLst>
      </c:scatterChart>
      <c:valAx>
        <c:axId val="75714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1/3*cp*vs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ayout>
        <c:manualLayout>
          <c:xMode val="edge"/>
          <c:yMode val="edge"/>
          <c:x val="0.67247133581986451"/>
          <c:y val="0.32258347914843982"/>
          <c:w val="0.24063406547865726"/>
          <c:h val="0.303353371560249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PDF-avg_peak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703066721922917"/>
          <c:y val="4.3650793650793648E-2"/>
          <c:w val="0.53801468895335458"/>
          <c:h val="0.82313502478856815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AvgSchemeTest!$CQ$5:$CQ$7</c:f>
              <c:numCache>
                <c:formatCode>0.00E+00</c:formatCode>
                <c:ptCount val="3"/>
                <c:pt idx="0">
                  <c:v>5.0986492855295244E-10</c:v>
                </c:pt>
                <c:pt idx="1">
                  <c:v>3.7944326183477726E-10</c:v>
                </c:pt>
                <c:pt idx="2">
                  <c:v>4.5335791979318428E-10</c:v>
                </c:pt>
              </c:numCache>
            </c:numRef>
          </c:xVal>
          <c:yVal>
            <c:numRef>
              <c:f>AvgSchemeTest!$BN$5:$BN$7</c:f>
              <c:numCache>
                <c:formatCode>0.00E+00</c:formatCode>
                <c:ptCount val="3"/>
                <c:pt idx="0">
                  <c:v>3.0056447474785299E-10</c:v>
                </c:pt>
                <c:pt idx="1">
                  <c:v>3.3400223720324102E-10</c:v>
                </c:pt>
                <c:pt idx="2">
                  <c:v>3.6182029353950698E-10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99-4E8D-8C8A-33A15DF8EF9A}"/>
            </c:ext>
          </c:extLst>
        </c:ser>
        <c:ser>
          <c:idx val="5"/>
          <c:order val="1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AvgSchemeTest!$CQ$18:$CQ$20</c:f>
              <c:numCache>
                <c:formatCode>0.00E+00</c:formatCode>
                <c:ptCount val="3"/>
                <c:pt idx="0">
                  <c:v>3.8338347353322035E-9</c:v>
                </c:pt>
                <c:pt idx="1">
                  <c:v>2.8369914793196441E-9</c:v>
                </c:pt>
                <c:pt idx="2">
                  <c:v>8.4406168446792717E-10</c:v>
                </c:pt>
              </c:numCache>
            </c:numRef>
          </c:xVal>
          <c:yVal>
            <c:numRef>
              <c:f>AvgSchemeTest!$BN$18:$BN$20</c:f>
              <c:numCache>
                <c:formatCode>0.00E+00</c:formatCode>
                <c:ptCount val="3"/>
                <c:pt idx="0">
                  <c:v>2.06003844994128E-10</c:v>
                </c:pt>
                <c:pt idx="1">
                  <c:v>2.5955250470707202E-10</c:v>
                </c:pt>
                <c:pt idx="2">
                  <c:v>2.4173581555363199E-10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99-4E8D-8C8A-33A15DF8EF9A}"/>
            </c:ext>
          </c:extLst>
        </c:ser>
        <c:ser>
          <c:idx val="6"/>
          <c:order val="2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AvgSchemeTest!$CQ$21:$CQ$22</c:f>
              <c:numCache>
                <c:formatCode>0.00E+00</c:formatCode>
                <c:ptCount val="2"/>
                <c:pt idx="0">
                  <c:v>1.8511567318115176E-9</c:v>
                </c:pt>
                <c:pt idx="1">
                  <c:v>1.3749528367298905E-9</c:v>
                </c:pt>
              </c:numCache>
            </c:numRef>
          </c:xVal>
          <c:yVal>
            <c:numRef>
              <c:f>AvgSchemeTest!$BN$21:$BN$22</c:f>
              <c:numCache>
                <c:formatCode>0.00E+00</c:formatCode>
                <c:ptCount val="2"/>
                <c:pt idx="0">
                  <c:v>3.1692440673072701E-10</c:v>
                </c:pt>
                <c:pt idx="1">
                  <c:v>3.1692440673072701E-10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399-4E8D-8C8A-33A15DF8EF9A}"/>
            </c:ext>
          </c:extLst>
        </c:ser>
        <c:ser>
          <c:idx val="2"/>
          <c:order val="3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AvgSchemeTest!$CQ$23</c:f>
              <c:numCache>
                <c:formatCode>0.00E+00</c:formatCode>
                <c:ptCount val="1"/>
                <c:pt idx="0">
                  <c:v>1.2781802750592626E-9</c:v>
                </c:pt>
              </c:numCache>
            </c:numRef>
          </c:xVal>
          <c:yVal>
            <c:numRef>
              <c:f>AvgSchemeTest!$BN$23</c:f>
              <c:numCache>
                <c:formatCode>0.00E+00</c:formatCode>
                <c:ptCount val="1"/>
                <c:pt idx="0">
                  <c:v>2.8432800000000002E-10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399-4E8D-8C8A-33A15DF8E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4"/>
                <c:tx>
                  <c:v>Ideal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noFill/>
                    <a:ln w="9525">
                      <a:noFill/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4"/>
                      </a:solidFill>
                      <a:prstDash val="sysDot"/>
                    </a:ln>
                    <a:effectLst/>
                  </c:spPr>
                  <c:trendlineType val="linear"/>
                  <c:forward val="1.0000000000000005E-9"/>
                  <c:intercept val="0"/>
                  <c:dispRSqr val="0"/>
                  <c:dispEq val="0"/>
                </c:trendline>
                <c:x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9.9999999999999994E-12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9.9999999999999994E-12</c:v>
                    </c:pt>
                  </c:numLit>
                </c:yVal>
                <c:smooth val="0"/>
                <c:extLst>
                  <c:ext xmlns:c16="http://schemas.microsoft.com/office/drawing/2014/chart" uri="{C3380CC4-5D6E-409C-BE32-E72D297353CC}">
                    <c16:uniqueId val="{00000008-5399-4E8D-8C8A-33A15DF8EF9A}"/>
                  </c:ext>
                </c:extLst>
              </c15:ser>
            </c15:filteredScatterSeries>
          </c:ext>
        </c:extLst>
      </c:scatterChart>
      <c:valAx>
        <c:axId val="75714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Visc/(Dens*vsound)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6.0000000000000031E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PDF-avg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95460239568026"/>
          <c:y val="2.9761956838728492E-2"/>
          <c:w val="0.48245913339779894"/>
          <c:h val="0.82313502478856815"/>
        </c:manualLayout>
      </c:layout>
      <c:scatterChart>
        <c:scatterStyle val="lineMarker"/>
        <c:varyColors val="0"/>
        <c:ser>
          <c:idx val="4"/>
          <c:order val="0"/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AvgSchemeTest!$AY$5:$AY$7</c:f>
              <c:numCache>
                <c:formatCode>General</c:formatCode>
                <c:ptCount val="3"/>
                <c:pt idx="0">
                  <c:v>2.927136541E-10</c:v>
                </c:pt>
                <c:pt idx="1">
                  <c:v>3.1580623349999998E-10</c:v>
                </c:pt>
                <c:pt idx="2">
                  <c:v>3.5060205590000002E-10</c:v>
                </c:pt>
              </c:numCache>
            </c:numRef>
          </c:xVal>
          <c:yVal>
            <c:numRef>
              <c:f>AvgSchemeTest!$CP$5:$CP$7</c:f>
              <c:numCache>
                <c:formatCode>0.00E+00</c:formatCode>
                <c:ptCount val="3"/>
                <c:pt idx="0">
                  <c:v>1961303757.1305401</c:v>
                </c:pt>
                <c:pt idx="1">
                  <c:v>2635440131.8514771</c:v>
                </c:pt>
                <c:pt idx="2">
                  <c:v>2205762723.7573934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25-446F-BD1F-3B0FE987B6A2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AvgSchemeTest!$AY$8:$AY$10</c:f>
              <c:numCache>
                <c:formatCode>General</c:formatCode>
                <c:ptCount val="3"/>
                <c:pt idx="0">
                  <c:v>2.3551445219999998E-10</c:v>
                </c:pt>
                <c:pt idx="1">
                  <c:v>2.6496648079999998E-10</c:v>
                </c:pt>
                <c:pt idx="2">
                  <c:v>3.0052360800000003E-10</c:v>
                </c:pt>
              </c:numCache>
            </c:numRef>
          </c:xVal>
          <c:yVal>
            <c:numRef>
              <c:f>AvgSchemeTest!$CP$8:$CP$10</c:f>
              <c:numCache>
                <c:formatCode>0.00E+00</c:formatCode>
                <c:ptCount val="3"/>
                <c:pt idx="0">
                  <c:v>2197146030.5161104</c:v>
                </c:pt>
                <c:pt idx="1">
                  <c:v>2745105769.7939444</c:v>
                </c:pt>
                <c:pt idx="2">
                  <c:v>2569749634.2140079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25-446F-BD1F-3B0FE987B6A2}"/>
            </c:ext>
          </c:extLst>
        </c:ser>
        <c:ser>
          <c:idx val="1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AvgSchemeTest!$AY$13:$AY$15</c:f>
              <c:numCache>
                <c:formatCode>General</c:formatCode>
                <c:ptCount val="3"/>
                <c:pt idx="0">
                  <c:v>2.9252666850000001E-10</c:v>
                </c:pt>
                <c:pt idx="1">
                  <c:v>3.0154839680000001E-10</c:v>
                </c:pt>
                <c:pt idx="2">
                  <c:v>3.2712108429999999E-10</c:v>
                </c:pt>
              </c:numCache>
            </c:numRef>
          </c:xVal>
          <c:yVal>
            <c:numRef>
              <c:f>AvgSchemeTest!$CP$13:$CP$15</c:f>
              <c:numCache>
                <c:formatCode>0.00E+00</c:formatCode>
                <c:ptCount val="3"/>
                <c:pt idx="0">
                  <c:v>1617409747.5848701</c:v>
                </c:pt>
                <c:pt idx="1">
                  <c:v>1283421056.6482842</c:v>
                </c:pt>
                <c:pt idx="2">
                  <c:v>1351317495.4836404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825-446F-BD1F-3B0FE987B6A2}"/>
            </c:ext>
          </c:extLst>
        </c:ser>
        <c:ser>
          <c:idx val="5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AvgSchemeTest!$AY$18:$AY$20</c:f>
              <c:numCache>
                <c:formatCode>General</c:formatCode>
                <c:ptCount val="3"/>
                <c:pt idx="0">
                  <c:v>2.090905522E-10</c:v>
                </c:pt>
                <c:pt idx="1">
                  <c:v>2.6189981379999998E-10</c:v>
                </c:pt>
                <c:pt idx="2">
                  <c:v>2.1702517760000003E-10</c:v>
                </c:pt>
              </c:numCache>
            </c:numRef>
          </c:xVal>
          <c:yVal>
            <c:numRef>
              <c:f>AvgSchemeTest!$CP$18:$CP$20</c:f>
              <c:numCache>
                <c:formatCode>0.00E+00</c:formatCode>
                <c:ptCount val="3"/>
                <c:pt idx="0">
                  <c:v>260835447.80480725</c:v>
                </c:pt>
                <c:pt idx="1">
                  <c:v>352486078.0476563</c:v>
                </c:pt>
                <c:pt idx="2">
                  <c:v>1184747534.927346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825-446F-BD1F-3B0FE987B6A2}"/>
            </c:ext>
          </c:extLst>
        </c:ser>
        <c:ser>
          <c:idx val="6"/>
          <c:order val="4"/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AvgSchemeTest!$AY$21:$AY$22</c:f>
              <c:numCache>
                <c:formatCode>General</c:formatCode>
                <c:ptCount val="2"/>
                <c:pt idx="0">
                  <c:v>3.0068514500000001E-10</c:v>
                </c:pt>
                <c:pt idx="1">
                  <c:v>3.0068514500000001E-10</c:v>
                </c:pt>
              </c:numCache>
            </c:numRef>
          </c:xVal>
          <c:yVal>
            <c:numRef>
              <c:f>AvgSchemeTest!$CP$21:$CP$22</c:f>
              <c:numCache>
                <c:formatCode>0.00E+00</c:formatCode>
                <c:ptCount val="2"/>
                <c:pt idx="0">
                  <c:v>540202773.11765659</c:v>
                </c:pt>
                <c:pt idx="1">
                  <c:v>727297673.99028981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825-446F-BD1F-3B0FE987B6A2}"/>
            </c:ext>
          </c:extLst>
        </c:ser>
        <c:ser>
          <c:idx val="2"/>
          <c:order val="5"/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AvgSchemeTest!$BQ$23</c:f>
              <c:numCache>
                <c:formatCode>0.00E+00</c:formatCode>
                <c:ptCount val="1"/>
                <c:pt idx="0">
                  <c:v>3.0715984604116529E-10</c:v>
                </c:pt>
              </c:numCache>
            </c:numRef>
          </c:xVal>
          <c:yVal>
            <c:numRef>
              <c:f>AvgSchemeTest!$CP$23</c:f>
              <c:numCache>
                <c:formatCode>0.00E+00</c:formatCode>
                <c:ptCount val="1"/>
                <c:pt idx="0">
                  <c:v>782362253.20691574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825-446F-BD1F-3B0FE987B6A2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9.9999999999999994E-12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9.9999999999999994E-12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9825-446F-BD1F-3B0FE987B6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5.0000000000000024E-10"/>
          <c:min val="1.0000000000000006E-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MFPcalc_salt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baseline="0">
                    <a:effectLst/>
                  </a:rPr>
                  <a:t>Visc/(Dens*C0)</a:t>
                </a:r>
                <a:endParaRPr lang="en-US" sz="7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95460239568026"/>
          <c:y val="2.9761956838728492E-2"/>
          <c:w val="0.48245913339779894"/>
          <c:h val="0.82313502478856815"/>
        </c:manualLayout>
      </c:layout>
      <c:scatterChart>
        <c:scatterStyle val="lineMarker"/>
        <c:varyColors val="0"/>
        <c:ser>
          <c:idx val="4"/>
          <c:order val="0"/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AvgSchemeTest!$BN$5:$BN$7</c:f>
              <c:numCache>
                <c:formatCode>0.00E+00</c:formatCode>
                <c:ptCount val="3"/>
                <c:pt idx="0">
                  <c:v>3.0056447474785299E-10</c:v>
                </c:pt>
                <c:pt idx="1">
                  <c:v>3.3400223720324102E-10</c:v>
                </c:pt>
                <c:pt idx="2">
                  <c:v>3.6182029353950698E-10</c:v>
                </c:pt>
              </c:numCache>
            </c:numRef>
          </c:xVal>
          <c:yVal>
            <c:numRef>
              <c:f>AvgSchemeTest!$CP$5:$CP$7</c:f>
              <c:numCache>
                <c:formatCode>0.00E+00</c:formatCode>
                <c:ptCount val="3"/>
                <c:pt idx="0">
                  <c:v>1961303757.1305401</c:v>
                </c:pt>
                <c:pt idx="1">
                  <c:v>2635440131.8514771</c:v>
                </c:pt>
                <c:pt idx="2">
                  <c:v>2205762723.7573934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B5-4099-85DD-F730F4668070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AvgSchemeTest!$BN$8:$BN$10</c:f>
              <c:numCache>
                <c:formatCode>0.00E+00</c:formatCode>
                <c:ptCount val="3"/>
                <c:pt idx="0">
                  <c:v>2.3591537099888599E-10</c:v>
                </c:pt>
                <c:pt idx="1">
                  <c:v>2.7110331264484899E-10</c:v>
                </c:pt>
                <c:pt idx="2">
                  <c:v>3.1522574455637898E-10</c:v>
                </c:pt>
              </c:numCache>
            </c:numRef>
          </c:xVal>
          <c:yVal>
            <c:numRef>
              <c:f>AvgSchemeTest!$CP$8:$CP$10</c:f>
              <c:numCache>
                <c:formatCode>0.00E+00</c:formatCode>
                <c:ptCount val="3"/>
                <c:pt idx="0">
                  <c:v>2197146030.5161104</c:v>
                </c:pt>
                <c:pt idx="1">
                  <c:v>2745105769.7939444</c:v>
                </c:pt>
                <c:pt idx="2">
                  <c:v>2569749634.2140079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B5-4099-85DD-F730F4668070}"/>
            </c:ext>
          </c:extLst>
        </c:ser>
        <c:ser>
          <c:idx val="1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AvgSchemeTest!$BN$13:$BN$15</c:f>
              <c:numCache>
                <c:formatCode>0.00E+00</c:formatCode>
                <c:ptCount val="3"/>
                <c:pt idx="0">
                  <c:v>3.08759615447175E-10</c:v>
                </c:pt>
                <c:pt idx="1">
                  <c:v>3.3211022612034601E-10</c:v>
                </c:pt>
                <c:pt idx="2">
                  <c:v>4.2994626258483001E-10</c:v>
                </c:pt>
              </c:numCache>
            </c:numRef>
          </c:xVal>
          <c:yVal>
            <c:numRef>
              <c:f>AvgSchemeTest!$CP$13:$CP$15</c:f>
              <c:numCache>
                <c:formatCode>0.00E+00</c:formatCode>
                <c:ptCount val="3"/>
                <c:pt idx="0">
                  <c:v>1617409747.5848701</c:v>
                </c:pt>
                <c:pt idx="1">
                  <c:v>1283421056.6482842</c:v>
                </c:pt>
                <c:pt idx="2">
                  <c:v>1351317495.4836404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6B5-4099-85DD-F730F4668070}"/>
            </c:ext>
          </c:extLst>
        </c:ser>
        <c:ser>
          <c:idx val="5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AvgSchemeTest!$BN$18:$BN$20</c:f>
              <c:numCache>
                <c:formatCode>0.00E+00</c:formatCode>
                <c:ptCount val="3"/>
                <c:pt idx="0">
                  <c:v>2.06003844994128E-10</c:v>
                </c:pt>
                <c:pt idx="1">
                  <c:v>2.5955250470707202E-10</c:v>
                </c:pt>
                <c:pt idx="2">
                  <c:v>2.4173581555363199E-10</c:v>
                </c:pt>
              </c:numCache>
            </c:numRef>
          </c:xVal>
          <c:yVal>
            <c:numRef>
              <c:f>AvgSchemeTest!$CP$18:$CP$20</c:f>
              <c:numCache>
                <c:formatCode>0.00E+00</c:formatCode>
                <c:ptCount val="3"/>
                <c:pt idx="0">
                  <c:v>260835447.80480725</c:v>
                </c:pt>
                <c:pt idx="1">
                  <c:v>352486078.0476563</c:v>
                </c:pt>
                <c:pt idx="2">
                  <c:v>1184747534.927346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6B5-4099-85DD-F730F4668070}"/>
            </c:ext>
          </c:extLst>
        </c:ser>
        <c:ser>
          <c:idx val="6"/>
          <c:order val="4"/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AvgSchemeTest!$BN$21:$BN$22</c:f>
              <c:numCache>
                <c:formatCode>0.00E+00</c:formatCode>
                <c:ptCount val="2"/>
                <c:pt idx="0">
                  <c:v>3.1692440673072701E-10</c:v>
                </c:pt>
                <c:pt idx="1">
                  <c:v>3.1692440673072701E-10</c:v>
                </c:pt>
              </c:numCache>
            </c:numRef>
          </c:xVal>
          <c:yVal>
            <c:numRef>
              <c:f>AvgSchemeTest!$CP$21:$CP$22</c:f>
              <c:numCache>
                <c:formatCode>0.00E+00</c:formatCode>
                <c:ptCount val="2"/>
                <c:pt idx="0">
                  <c:v>540202773.11765659</c:v>
                </c:pt>
                <c:pt idx="1">
                  <c:v>727297673.99028981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6B5-4099-85DD-F730F4668070}"/>
            </c:ext>
          </c:extLst>
        </c:ser>
        <c:ser>
          <c:idx val="2"/>
          <c:order val="5"/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AvgSchemeTest!$BN$23</c:f>
              <c:numCache>
                <c:formatCode>0.00E+00</c:formatCode>
                <c:ptCount val="1"/>
                <c:pt idx="0">
                  <c:v>2.8432800000000002E-10</c:v>
                </c:pt>
              </c:numCache>
            </c:numRef>
          </c:xVal>
          <c:yVal>
            <c:numRef>
              <c:f>AvgSchemeTest!$CP$23</c:f>
              <c:numCache>
                <c:formatCode>0.00E+00</c:formatCode>
                <c:ptCount val="1"/>
                <c:pt idx="0">
                  <c:v>782362253.20691574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6B5-4099-85DD-F730F4668070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9.9999999999999994E-12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9.9999999999999994E-12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76B5-4099-85DD-F730F4668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PDF_MFP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baseline="0">
                    <a:effectLst/>
                  </a:rPr>
                  <a:t>Visc/(Dens*C0)</a:t>
                </a:r>
                <a:endParaRPr lang="en-US" sz="700">
                  <a:effectLst/>
                </a:endParaRP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66593759113446"/>
          <c:y val="5.9523809523809521E-2"/>
          <c:w val="0.83569225690670212"/>
          <c:h val="0.7726925190936923"/>
        </c:manualLayout>
      </c:layout>
      <c:scatterChart>
        <c:scatterStyle val="lineMarker"/>
        <c:varyColors val="0"/>
        <c:ser>
          <c:idx val="4"/>
          <c:order val="0"/>
          <c:tx>
            <c:strRef>
              <c:f>AvgSchemeTest!$AR$57</c:f>
              <c:strCache>
                <c:ptCount val="1"/>
                <c:pt idx="0">
                  <c:v>Unary Chlorides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AvgSchemeTest!$AW$5:$AW$7</c:f>
              <c:numCache>
                <c:formatCode>General</c:formatCode>
                <c:ptCount val="3"/>
                <c:pt idx="0">
                  <c:v>0.467412663978306</c:v>
                </c:pt>
                <c:pt idx="1">
                  <c:v>0.346144472817148</c:v>
                </c:pt>
                <c:pt idx="2">
                  <c:v>0.28781059971565698</c:v>
                </c:pt>
              </c:numCache>
            </c:numRef>
          </c:xVal>
          <c:yVal>
            <c:numRef>
              <c:f>AvgSchemeTest!$AP$5:$AP$7</c:f>
              <c:numCache>
                <c:formatCode>General</c:formatCode>
                <c:ptCount val="3"/>
                <c:pt idx="0">
                  <c:v>0.61260000000000003</c:v>
                </c:pt>
                <c:pt idx="1">
                  <c:v>0.46649999999999997</c:v>
                </c:pt>
                <c:pt idx="2">
                  <c:v>0.35505000000000003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A3-4B79-90D5-F2A482D711D0}"/>
            </c:ext>
          </c:extLst>
        </c:ser>
        <c:ser>
          <c:idx val="1"/>
          <c:order val="1"/>
          <c:tx>
            <c:strRef>
              <c:f>AvgSchemeTest!$AR$58</c:f>
              <c:strCache>
                <c:ptCount val="1"/>
                <c:pt idx="0">
                  <c:v>Unary Flourides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AvgSchemeTest!$AW$8:$AW$10</c:f>
              <c:numCache>
                <c:formatCode>General</c:formatCode>
                <c:ptCount val="3"/>
                <c:pt idx="0">
                  <c:v>0.90368250947301099</c:v>
                </c:pt>
                <c:pt idx="1">
                  <c:v>0.59812175800891498</c:v>
                </c:pt>
                <c:pt idx="2">
                  <c:v>0.40376310518547798</c:v>
                </c:pt>
              </c:numCache>
            </c:numRef>
          </c:xVal>
          <c:yVal>
            <c:numRef>
              <c:f>AvgSchemeTest!$AP$8:$AP$10</c:f>
              <c:numCache>
                <c:formatCode>General</c:formatCode>
                <c:ptCount val="3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A3-4B79-90D5-F2A482D711D0}"/>
            </c:ext>
          </c:extLst>
        </c:ser>
        <c:ser>
          <c:idx val="7"/>
          <c:order val="2"/>
          <c:tx>
            <c:strRef>
              <c:f>AvgSchemeTest!$AR$59</c:f>
              <c:strCache>
                <c:ptCount val="1"/>
                <c:pt idx="0">
                  <c:v>Unary Alkaline Earth Chlorides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2516289552532384"/>
                  <c:y val="-6.056755208039085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MgCl2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70A3-4B79-90D5-F2A482D711D0}"/>
                </c:ext>
              </c:extLst>
            </c:dLbl>
            <c:dLbl>
              <c:idx val="1"/>
              <c:layout>
                <c:manualLayout>
                  <c:x val="4.1720965175107892E-2"/>
                  <c:y val="-9.3180849354447485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CaCl2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70A3-4B79-90D5-F2A482D711D0}"/>
                </c:ext>
              </c:extLst>
            </c:dLbl>
            <c:dLbl>
              <c:idx val="2"/>
              <c:layout>
                <c:manualLayout>
                  <c:x val="2.3468042910998171E-2"/>
                  <c:y val="1.397712740316712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SrCl2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70A3-4B79-90D5-F2A482D711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AvgSchemeTest!$AW$13:$AW$15</c:f>
              <c:numCache>
                <c:formatCode>General</c:formatCode>
                <c:ptCount val="3"/>
                <c:pt idx="0">
                  <c:v>0.33370075449931302</c:v>
                </c:pt>
                <c:pt idx="1">
                  <c:v>0.40039499504213499</c:v>
                </c:pt>
                <c:pt idx="2">
                  <c:v>0.36759447686851399</c:v>
                </c:pt>
              </c:numCache>
            </c:numRef>
          </c:xVal>
          <c:yVal>
            <c:numRef>
              <c:f>AvgSchemeTest!$AP$13:$AP$15</c:f>
              <c:numCache>
                <c:formatCode>General</c:formatCode>
                <c:ptCount val="3"/>
                <c:pt idx="0">
                  <c:v>0.45680000000000004</c:v>
                </c:pt>
                <c:pt idx="1">
                  <c:v>0.44125000000000003</c:v>
                </c:pt>
                <c:pt idx="2">
                  <c:v>0.37705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A3-4B79-90D5-F2A482D711D0}"/>
            </c:ext>
          </c:extLst>
        </c:ser>
        <c:ser>
          <c:idx val="5"/>
          <c:order val="3"/>
          <c:tx>
            <c:strRef>
              <c:f>AvgSchemeTest!$AR$60</c:f>
              <c:strCache>
                <c:ptCount val="1"/>
                <c:pt idx="0">
                  <c:v>Fluoride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9.5377810768157212E-2"/>
                  <c:y val="4.417320634122921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FLiBe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70A3-4B79-90D5-F2A482D711D0}"/>
                </c:ext>
              </c:extLst>
            </c:dLbl>
            <c:dLbl>
              <c:idx val="1"/>
              <c:layout>
                <c:manualLayout>
                  <c:x val="2.8845941404952211E-2"/>
                  <c:y val="2.325300366555223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FLiNaK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70A3-4B79-90D5-F2A482D711D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0A3-4B79-90D5-F2A482D711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AvgSchemeTest!$AW$18:$AW$20</c:f>
              <c:numCache>
                <c:formatCode>General</c:formatCode>
                <c:ptCount val="3"/>
                <c:pt idx="0">
                  <c:v>1.28305844543897</c:v>
                </c:pt>
                <c:pt idx="1">
                  <c:v>0.85046707066330796</c:v>
                </c:pt>
                <c:pt idx="2">
                  <c:v>0.73223097949286997</c:v>
                </c:pt>
              </c:numCache>
            </c:numRef>
          </c:xVal>
          <c:yVal>
            <c:numRef>
              <c:f>(AvgSchemeTest!$AP$18,AvgSchemeTest!$AP$19,AvgSchemeTest!$AP$20)</c:f>
              <c:numCache>
                <c:formatCode>General</c:formatCode>
                <c:ptCount val="3"/>
                <c:pt idx="0">
                  <c:v>1.1000000000000001</c:v>
                </c:pt>
                <c:pt idx="1">
                  <c:v>0.84457000000000004</c:v>
                </c:pt>
                <c:pt idx="2">
                  <c:v>0.87448810843065394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A3-4B79-90D5-F2A482D711D0}"/>
            </c:ext>
          </c:extLst>
        </c:ser>
        <c:ser>
          <c:idx val="6"/>
          <c:order val="4"/>
          <c:tx>
            <c:strRef>
              <c:f>AvgSchemeTest!$AR$61</c:f>
              <c:strCache>
                <c:ptCount val="1"/>
                <c:pt idx="0">
                  <c:v>Chloride Actinide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2269123071947397"/>
                  <c:y val="-1.646687236037159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NaCl-UCL3 (ORNL 2024)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01613630781726"/>
                      <c:h val="3.2551391211063964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A-70A3-4B79-90D5-F2A482D711D0}"/>
                </c:ext>
              </c:extLst>
            </c:dLbl>
            <c:dLbl>
              <c:idx val="1"/>
              <c:layout>
                <c:manualLayout>
                  <c:x val="-9.8979952873202659E-2"/>
                  <c:y val="7.441155009616211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800" b="0" i="0" u="none" strike="noStrike" kern="1200" baseline="0">
                        <a:solidFill>
                          <a:sysClr val="windowText" lastClr="000000">
                            <a:lumMod val="75000"/>
                            <a:lumOff val="25000"/>
                          </a:sysClr>
                        </a:solidFill>
                      </a:rPr>
                      <a:t>NaCl-UCL3 (ANL 2023)</a:t>
                    </a:r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973173836602787"/>
                      <c:h val="4.67902842342298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B-70A3-4B79-90D5-F2A482D711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AvgSchemeTest!$AW$21:$AW$22</c:f>
              <c:numCache>
                <c:formatCode>General</c:formatCode>
                <c:ptCount val="2"/>
                <c:pt idx="0">
                  <c:v>0.29301529878909899</c:v>
                </c:pt>
                <c:pt idx="1">
                  <c:v>0.316517898560285</c:v>
                </c:pt>
              </c:numCache>
            </c:numRef>
          </c:xVal>
          <c:yVal>
            <c:numRef>
              <c:f>AvgSchemeTest!$AP$21:$AP$22</c:f>
              <c:numCache>
                <c:formatCode>General</c:formatCode>
                <c:ptCount val="2"/>
                <c:pt idx="0">
                  <c:v>0.28277596034850733</c:v>
                </c:pt>
                <c:pt idx="1">
                  <c:v>0.22655673749565519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A3-4B79-90D5-F2A482D711D0}"/>
            </c:ext>
          </c:extLst>
        </c:ser>
        <c:ser>
          <c:idx val="2"/>
          <c:order val="5"/>
          <c:tx>
            <c:strRef>
              <c:f>AvgSchemeTest!$AR$62</c:f>
              <c:strCache>
                <c:ptCount val="1"/>
                <c:pt idx="0">
                  <c:v>Water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AvgSchemeTest!$BE$23</c:f>
              <c:numCache>
                <c:formatCode>0.000000</c:formatCode>
                <c:ptCount val="1"/>
                <c:pt idx="0">
                  <c:v>0.55623382223307438</c:v>
                </c:pt>
              </c:numCache>
            </c:numRef>
          </c:xVal>
          <c:yVal>
            <c:numRef>
              <c:f>AvgSchemeTest!$AP$23</c:f>
              <c:numCache>
                <c:formatCode>General</c:formatCode>
                <c:ptCount val="1"/>
                <c:pt idx="0">
                  <c:v>0.60089999999999999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A3-4B79-90D5-F2A482D711D0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2-70A3-4B79-90D5-F2A482D711D0}"/>
            </c:ext>
          </c:extLst>
        </c:ser>
        <c:ser>
          <c:idx val="0"/>
          <c:order val="7"/>
          <c:tx>
            <c:v>Fit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xVal>
            <c:numRef>
              <c:f>AvgSchemeTest!$AW$5:$AW$23</c:f>
              <c:numCache>
                <c:formatCode>General</c:formatCode>
                <c:ptCount val="19"/>
                <c:pt idx="0">
                  <c:v>0.467412663978306</c:v>
                </c:pt>
                <c:pt idx="1">
                  <c:v>0.346144472817148</c:v>
                </c:pt>
                <c:pt idx="2">
                  <c:v>0.28781059971565698</c:v>
                </c:pt>
                <c:pt idx="3">
                  <c:v>0.90368250947301099</c:v>
                </c:pt>
                <c:pt idx="4">
                  <c:v>0.59812175800891498</c:v>
                </c:pt>
                <c:pt idx="5">
                  <c:v>0.40376310518547798</c:v>
                </c:pt>
                <c:pt idx="8">
                  <c:v>0.33370075449931302</c:v>
                </c:pt>
                <c:pt idx="9">
                  <c:v>0.40039499504213499</c:v>
                </c:pt>
                <c:pt idx="10">
                  <c:v>0.36759447686851399</c:v>
                </c:pt>
                <c:pt idx="11">
                  <c:v>0.54571904518309799</c:v>
                </c:pt>
                <c:pt idx="13">
                  <c:v>1.28305844543897</c:v>
                </c:pt>
                <c:pt idx="14">
                  <c:v>0.85046707066330796</c:v>
                </c:pt>
                <c:pt idx="15">
                  <c:v>0.73223097949286997</c:v>
                </c:pt>
                <c:pt idx="16">
                  <c:v>0.29301529878909899</c:v>
                </c:pt>
                <c:pt idx="17">
                  <c:v>0.316517898560285</c:v>
                </c:pt>
              </c:numCache>
            </c:numRef>
          </c:xVal>
          <c:yVal>
            <c:numRef>
              <c:f>AvgSchemeTest!$AP$5:$AP$23</c:f>
              <c:numCache>
                <c:formatCode>General</c:formatCode>
                <c:ptCount val="19"/>
                <c:pt idx="0">
                  <c:v>0.61260000000000003</c:v>
                </c:pt>
                <c:pt idx="1">
                  <c:v>0.46649999999999997</c:v>
                </c:pt>
                <c:pt idx="2">
                  <c:v>0.35505000000000003</c:v>
                </c:pt>
                <c:pt idx="3">
                  <c:v>1.33125</c:v>
                </c:pt>
                <c:pt idx="4">
                  <c:v>0.82789999999999997</c:v>
                </c:pt>
                <c:pt idx="5">
                  <c:v>0.56999999999999995</c:v>
                </c:pt>
                <c:pt idx="6">
                  <c:v>0.48965000000000003</c:v>
                </c:pt>
                <c:pt idx="7">
                  <c:v>0.36715000000000003</c:v>
                </c:pt>
                <c:pt idx="8">
                  <c:v>0.45680000000000004</c:v>
                </c:pt>
                <c:pt idx="9">
                  <c:v>0.44125000000000003</c:v>
                </c:pt>
                <c:pt idx="10">
                  <c:v>0.37705</c:v>
                </c:pt>
                <c:pt idx="11">
                  <c:v>0.51224999999999998</c:v>
                </c:pt>
                <c:pt idx="12">
                  <c:v>0.40920000000000001</c:v>
                </c:pt>
                <c:pt idx="13">
                  <c:v>1.1000000000000001</c:v>
                </c:pt>
                <c:pt idx="14">
                  <c:v>0.84457000000000004</c:v>
                </c:pt>
                <c:pt idx="15">
                  <c:v>0.87448810843065394</c:v>
                </c:pt>
                <c:pt idx="16">
                  <c:v>0.28277596034850733</c:v>
                </c:pt>
                <c:pt idx="17">
                  <c:v>0.22655673749565519</c:v>
                </c:pt>
                <c:pt idx="18">
                  <c:v>0.60089999999999999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A3-4B79-90D5-F2A482D71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.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Predicted </a:t>
                </a: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 [W/m-K]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  <c:majorUnit val="0.2"/>
      </c:valAx>
      <c:valAx>
        <c:axId val="689706896"/>
        <c:scaling>
          <c:orientation val="minMax"/>
          <c:max val="1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Measured </a:t>
                </a:r>
                <a:r>
                  <a:rPr lang="el-GR" sz="1000" b="0" i="0" u="none" strike="noStrike" baseline="0">
                    <a:effectLst/>
                  </a:rPr>
                  <a:t>λ</a:t>
                </a:r>
                <a:r>
                  <a:rPr lang="en-US" sz="1000" b="0" i="0" u="none" strike="noStrike" baseline="0">
                    <a:effectLst/>
                  </a:rPr>
                  <a:t> [W/m-K]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  <c:minorUnit val="4.0000000000000008E-2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0.66197146494306125"/>
          <c:y val="0.54424246890433059"/>
          <c:w val="0.27876831990781964"/>
          <c:h val="0.329747586280213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Distributed</a:t>
            </a:r>
            <a:r>
              <a:rPr lang="en-US" sz="1100" baseline="0"/>
              <a:t> MFP, f</a:t>
            </a:r>
            <a:r>
              <a:rPr lang="en-US" sz="1100"/>
              <a:t>ast</a:t>
            </a:r>
            <a:r>
              <a:rPr lang="en-US" sz="1100" baseline="0"/>
              <a:t> sound for unary salts</a:t>
            </a:r>
            <a:endParaRPr lang="en-US" sz="1100"/>
          </a:p>
        </c:rich>
      </c:tx>
      <c:layout>
        <c:manualLayout>
          <c:xMode val="edge"/>
          <c:yMode val="edge"/>
          <c:x val="0.1105778658100407"/>
          <c:y val="1.85581753782770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66593759113446"/>
          <c:y val="5.9523809523809521E-2"/>
          <c:w val="0.56891659375911341"/>
          <c:h val="0.77617745698454343"/>
        </c:manualLayout>
      </c:layout>
      <c:scatterChart>
        <c:scatterStyle val="lineMarker"/>
        <c:varyColors val="0"/>
        <c:ser>
          <c:idx val="4"/>
          <c:order val="0"/>
          <c:tx>
            <c:strRef>
              <c:f>AvgSchemeTest!$AR$57</c:f>
              <c:strCache>
                <c:ptCount val="1"/>
                <c:pt idx="0">
                  <c:v>Unary Chlorides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AvgSchemeTest!$AV$5:$AV$7</c:f>
              <c:numCache>
                <c:formatCode>General</c:formatCode>
                <c:ptCount val="3"/>
                <c:pt idx="0">
                  <c:v>0.78670723632944894</c:v>
                </c:pt>
                <c:pt idx="1">
                  <c:v>0.53084165353214496</c:v>
                </c:pt>
                <c:pt idx="2">
                  <c:v>0.41602860665791702</c:v>
                </c:pt>
              </c:numCache>
            </c:numRef>
          </c:xVal>
          <c:yVal>
            <c:numRef>
              <c:f>AvgSchemeTest!$AP$5:$AP$7</c:f>
              <c:numCache>
                <c:formatCode>General</c:formatCode>
                <c:ptCount val="3"/>
                <c:pt idx="0">
                  <c:v>0.61260000000000003</c:v>
                </c:pt>
                <c:pt idx="1">
                  <c:v>0.46649999999999997</c:v>
                </c:pt>
                <c:pt idx="2">
                  <c:v>0.35505000000000003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6A-46B3-9236-34F3C2821927}"/>
            </c:ext>
          </c:extLst>
        </c:ser>
        <c:ser>
          <c:idx val="1"/>
          <c:order val="1"/>
          <c:tx>
            <c:strRef>
              <c:f>AvgSchemeTest!$AR$58</c:f>
              <c:strCache>
                <c:ptCount val="1"/>
                <c:pt idx="0">
                  <c:v>Unary Flourides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AvgSchemeTest!$AV$8:$AV$10</c:f>
              <c:numCache>
                <c:formatCode>General</c:formatCode>
                <c:ptCount val="3"/>
                <c:pt idx="0">
                  <c:v>1.22987712739888</c:v>
                </c:pt>
                <c:pt idx="1">
                  <c:v>0.78264084714836502</c:v>
                </c:pt>
                <c:pt idx="2">
                  <c:v>0.51980918395456199</c:v>
                </c:pt>
              </c:numCache>
            </c:numRef>
          </c:xVal>
          <c:yVal>
            <c:numRef>
              <c:f>AvgSchemeTest!$AP$8:$AP$10</c:f>
              <c:numCache>
                <c:formatCode>General</c:formatCode>
                <c:ptCount val="3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6A-46B3-9236-34F3C2821927}"/>
            </c:ext>
          </c:extLst>
        </c:ser>
        <c:ser>
          <c:idx val="7"/>
          <c:order val="2"/>
          <c:tx>
            <c:strRef>
              <c:f>AvgSchemeTest!$AR$59</c:f>
              <c:strCache>
                <c:ptCount val="1"/>
                <c:pt idx="0">
                  <c:v>Unary Alkaline Earth Chlorides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AvgSchemeTest!$AV$13:$AV$15</c:f>
              <c:numCache>
                <c:formatCode>General</c:formatCode>
                <c:ptCount val="3"/>
                <c:pt idx="0">
                  <c:v>0.54002025954196298</c:v>
                </c:pt>
                <c:pt idx="1">
                  <c:v>0.42656474196147098</c:v>
                </c:pt>
              </c:numCache>
            </c:numRef>
          </c:xVal>
          <c:yVal>
            <c:numRef>
              <c:f>AvgSchemeTest!$AP$13:$AP$15</c:f>
              <c:numCache>
                <c:formatCode>General</c:formatCode>
                <c:ptCount val="3"/>
                <c:pt idx="0">
                  <c:v>0.45680000000000004</c:v>
                </c:pt>
                <c:pt idx="1">
                  <c:v>0.44125000000000003</c:v>
                </c:pt>
                <c:pt idx="2">
                  <c:v>0.37705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96A-46B3-9236-34F3C2821927}"/>
            </c:ext>
          </c:extLst>
        </c:ser>
        <c:ser>
          <c:idx val="5"/>
          <c:order val="3"/>
          <c:tx>
            <c:strRef>
              <c:f>AvgSchemeTest!$AR$60</c:f>
              <c:strCache>
                <c:ptCount val="1"/>
                <c:pt idx="0">
                  <c:v>Fluoride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0"/>
                  <c:y val="1.860240293244178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FLiBe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C96A-46B3-9236-34F3C28219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AvgSchemeTest!$AW$18:$AW$20</c:f>
              <c:numCache>
                <c:formatCode>General</c:formatCode>
                <c:ptCount val="3"/>
                <c:pt idx="0">
                  <c:v>1.28305844543897</c:v>
                </c:pt>
                <c:pt idx="1">
                  <c:v>0.85046707066330796</c:v>
                </c:pt>
                <c:pt idx="2">
                  <c:v>0.73223097949286997</c:v>
                </c:pt>
              </c:numCache>
            </c:numRef>
          </c:xVal>
          <c:yVal>
            <c:numRef>
              <c:f>(AvgSchemeTest!$AP$18,AvgSchemeTest!$AP$19,AvgSchemeTest!$AP$20)</c:f>
              <c:numCache>
                <c:formatCode>General</c:formatCode>
                <c:ptCount val="3"/>
                <c:pt idx="0">
                  <c:v>1.1000000000000001</c:v>
                </c:pt>
                <c:pt idx="1">
                  <c:v>0.84457000000000004</c:v>
                </c:pt>
                <c:pt idx="2">
                  <c:v>0.87448810843065394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96A-46B3-9236-34F3C2821927}"/>
            </c:ext>
          </c:extLst>
        </c:ser>
        <c:ser>
          <c:idx val="6"/>
          <c:order val="4"/>
          <c:tx>
            <c:strRef>
              <c:f>AvgSchemeTest!$AR$61</c:f>
              <c:strCache>
                <c:ptCount val="1"/>
                <c:pt idx="0">
                  <c:v>Chloride Actinide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8.5943333609889649E-2"/>
                  <c:y val="0.104994167395742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E0BA487-CCDC-4FE7-BE25-673E4F54B5AB}" type="CELLREF">
                      <a:rPr lang="en-US"/>
                      <a:pPr>
                        <a:defRPr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597216460632209"/>
                      <c:h val="0.11182086614173228"/>
                    </c:manualLayout>
                  </c15:layout>
                  <c15:dlblFieldTable>
                    <c15:dlblFTEntry>
                      <c15:txfldGUID>{4E0BA487-CCDC-4FE7-BE25-673E4F54B5AB}</c15:txfldGUID>
                      <c15:f>AvgSchemeTest!$A$21</c15:f>
                      <c15:dlblFieldTableCache>
                        <c:ptCount val="1"/>
                        <c:pt idx="0">
                          <c:v>0.63NaCl-0.37UCl3 (ORNL)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C96A-46B3-9236-34F3C2821927}"/>
                </c:ext>
              </c:extLst>
            </c:dLbl>
            <c:dLbl>
              <c:idx val="1"/>
              <c:layout>
                <c:manualLayout>
                  <c:x val="3.1089929548280139E-2"/>
                  <c:y val="1.568788276465432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48043BA-4F93-455A-BDFD-BB5447868CFE}" type="CELLREF">
                      <a:rPr lang="en-US"/>
                      <a:pPr>
                        <a:defRPr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342772942855827"/>
                      <c:h val="9.7931758530183724E-2"/>
                    </c:manualLayout>
                  </c15:layout>
                  <c15:dlblFieldTable>
                    <c15:dlblFTEntry>
                      <c15:txfldGUID>{F48043BA-4F93-455A-BDFD-BB5447868CFE}</c15:txfldGUID>
                      <c15:f>AvgSchemeTest!$A$22</c15:f>
                      <c15:dlblFieldTableCache>
                        <c:ptCount val="1"/>
                        <c:pt idx="0">
                          <c:v>0.658NaCl-0.342UCl3 (ANL)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C96A-46B3-9236-34F3C28219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AvgSchemeTest!$AW$21:$AW$22</c:f>
              <c:numCache>
                <c:formatCode>General</c:formatCode>
                <c:ptCount val="2"/>
                <c:pt idx="0">
                  <c:v>0.29301529878909899</c:v>
                </c:pt>
                <c:pt idx="1">
                  <c:v>0.316517898560285</c:v>
                </c:pt>
              </c:numCache>
            </c:numRef>
          </c:xVal>
          <c:yVal>
            <c:numRef>
              <c:f>AvgSchemeTest!$AP$21:$AP$22</c:f>
              <c:numCache>
                <c:formatCode>General</c:formatCode>
                <c:ptCount val="2"/>
                <c:pt idx="0">
                  <c:v>0.28277596034850733</c:v>
                </c:pt>
                <c:pt idx="1">
                  <c:v>0.22655673749565519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96A-46B3-9236-34F3C2821927}"/>
            </c:ext>
          </c:extLst>
        </c:ser>
        <c:ser>
          <c:idx val="2"/>
          <c:order val="5"/>
          <c:tx>
            <c:strRef>
              <c:f>AvgSchemeTest!$AR$62</c:f>
              <c:strCache>
                <c:ptCount val="1"/>
                <c:pt idx="0">
                  <c:v>Water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AvgSchemeTest!$BE$23</c:f>
              <c:numCache>
                <c:formatCode>0.000000</c:formatCode>
                <c:ptCount val="1"/>
                <c:pt idx="0">
                  <c:v>0.55623382223307438</c:v>
                </c:pt>
              </c:numCache>
            </c:numRef>
          </c:xVal>
          <c:yVal>
            <c:numRef>
              <c:f>AvgSchemeTest!$AP$23</c:f>
              <c:numCache>
                <c:formatCode>General</c:formatCode>
                <c:ptCount val="1"/>
                <c:pt idx="0">
                  <c:v>0.60089999999999999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96A-46B3-9236-34F3C2821927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D-C96A-46B3-9236-34F3C2821927}"/>
            </c:ext>
          </c:extLst>
        </c:ser>
        <c:ser>
          <c:idx val="0"/>
          <c:order val="7"/>
          <c:tx>
            <c:v>Fit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2.4037627404157057E-2"/>
                  <c:y val="1.395180219933125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MgCl2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C96A-46B3-9236-34F3C2821927}"/>
                </c:ext>
              </c:extLst>
            </c:dLbl>
            <c:dLbl>
              <c:idx val="9"/>
              <c:layout>
                <c:manualLayout>
                  <c:x val="-0.15490915438234548"/>
                  <c:y val="-2.325300366555231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CaCl2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C96A-46B3-9236-34F3C2821927}"/>
                </c:ext>
              </c:extLst>
            </c:dLbl>
            <c:dLbl>
              <c:idx val="14"/>
              <c:layout>
                <c:manualLayout>
                  <c:x val="3.1895703560828811E-2"/>
                  <c:y val="4.185540659799401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FLiNaK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C96A-46B3-9236-34F3C2821927}"/>
                </c:ext>
              </c:extLst>
            </c:dLbl>
            <c:dLbl>
              <c:idx val="15"/>
              <c:layout>
                <c:manualLayout>
                  <c:x val="-0.14475509729809483"/>
                  <c:y val="-1.882122797397636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LiF-NaF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C96A-46B3-9236-34F3C28219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30008588633579847"/>
                  <c:y val="0.7885142344798968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AvgSchemeTest!$AV$5:$AV$23</c:f>
              <c:numCache>
                <c:formatCode>General</c:formatCode>
                <c:ptCount val="19"/>
                <c:pt idx="0">
                  <c:v>0.78670723632944894</c:v>
                </c:pt>
                <c:pt idx="1">
                  <c:v>0.53084165353214496</c:v>
                </c:pt>
                <c:pt idx="2">
                  <c:v>0.41602860665791702</c:v>
                </c:pt>
                <c:pt idx="3">
                  <c:v>1.22987712739888</c:v>
                </c:pt>
                <c:pt idx="4">
                  <c:v>0.78264084714836502</c:v>
                </c:pt>
                <c:pt idx="5">
                  <c:v>0.51980918395456199</c:v>
                </c:pt>
                <c:pt idx="8">
                  <c:v>0.54002025954196298</c:v>
                </c:pt>
                <c:pt idx="9">
                  <c:v>0.42656474196147098</c:v>
                </c:pt>
                <c:pt idx="11">
                  <c:v>0.54571904518309799</c:v>
                </c:pt>
                <c:pt idx="13">
                  <c:v>1.28305844543897</c:v>
                </c:pt>
                <c:pt idx="14">
                  <c:v>0.85046707066330796</c:v>
                </c:pt>
                <c:pt idx="15">
                  <c:v>0.73223097949286997</c:v>
                </c:pt>
                <c:pt idx="16">
                  <c:v>0.29301529878909899</c:v>
                </c:pt>
                <c:pt idx="17">
                  <c:v>0.316517898560285</c:v>
                </c:pt>
              </c:numCache>
            </c:numRef>
          </c:xVal>
          <c:yVal>
            <c:numRef>
              <c:f>AvgSchemeTest!$AP$5:$AP$23</c:f>
              <c:numCache>
                <c:formatCode>General</c:formatCode>
                <c:ptCount val="19"/>
                <c:pt idx="0">
                  <c:v>0.61260000000000003</c:v>
                </c:pt>
                <c:pt idx="1">
                  <c:v>0.46649999999999997</c:v>
                </c:pt>
                <c:pt idx="2">
                  <c:v>0.35505000000000003</c:v>
                </c:pt>
                <c:pt idx="3">
                  <c:v>1.33125</c:v>
                </c:pt>
                <c:pt idx="4">
                  <c:v>0.82789999999999997</c:v>
                </c:pt>
                <c:pt idx="5">
                  <c:v>0.56999999999999995</c:v>
                </c:pt>
                <c:pt idx="6">
                  <c:v>0.48965000000000003</c:v>
                </c:pt>
                <c:pt idx="7">
                  <c:v>0.36715000000000003</c:v>
                </c:pt>
                <c:pt idx="8">
                  <c:v>0.45680000000000004</c:v>
                </c:pt>
                <c:pt idx="9">
                  <c:v>0.44125000000000003</c:v>
                </c:pt>
                <c:pt idx="10">
                  <c:v>0.37705</c:v>
                </c:pt>
                <c:pt idx="11">
                  <c:v>0.51224999999999998</c:v>
                </c:pt>
                <c:pt idx="12">
                  <c:v>0.40920000000000001</c:v>
                </c:pt>
                <c:pt idx="13">
                  <c:v>1.1000000000000001</c:v>
                </c:pt>
                <c:pt idx="14">
                  <c:v>0.84457000000000004</c:v>
                </c:pt>
                <c:pt idx="15">
                  <c:v>0.87448810843065394</c:v>
                </c:pt>
                <c:pt idx="16">
                  <c:v>0.28277596034850733</c:v>
                </c:pt>
                <c:pt idx="17">
                  <c:v>0.22655673749565519</c:v>
                </c:pt>
                <c:pt idx="18">
                  <c:v>0.60089999999999999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C96A-46B3-9236-34F3C2821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.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_predicted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  <c:majorUnit val="0.2"/>
      </c:valAx>
      <c:valAx>
        <c:axId val="689706896"/>
        <c:scaling>
          <c:orientation val="minMax"/>
          <c:max val="1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  <c:minorUnit val="4.0000000000000008E-2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0.71601650001853678"/>
          <c:y val="7.0767076188923639E-2"/>
          <c:w val="0.28398349998146333"/>
          <c:h val="0.867410006372541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MFP from cat-an</a:t>
            </a:r>
            <a:r>
              <a:rPr lang="en-US" sz="1200" baseline="0"/>
              <a:t> f</a:t>
            </a:r>
            <a:r>
              <a:rPr lang="en-US" sz="1200"/>
              <a:t>irst peak - Tm</a:t>
            </a:r>
          </a:p>
          <a:p>
            <a:pPr>
              <a:defRPr/>
            </a:pPr>
            <a:endParaRPr lang="en-US" sz="1200"/>
          </a:p>
        </c:rich>
      </c:tx>
      <c:layout>
        <c:manualLayout>
          <c:xMode val="edge"/>
          <c:yMode val="edge"/>
          <c:x val="0.1239491434630984"/>
          <c:y val="1.910554666529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66593759113446"/>
          <c:y val="5.9523809523809521E-2"/>
          <c:w val="0.56891659375911341"/>
          <c:h val="0.77617745698454343"/>
        </c:manualLayout>
      </c:layout>
      <c:scatterChart>
        <c:scatterStyle val="lineMarker"/>
        <c:varyColors val="0"/>
        <c:ser>
          <c:idx val="4"/>
          <c:order val="0"/>
          <c:tx>
            <c:v>Unary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AvgSchemeTest!$AU$5:$AU$7</c:f>
              <c:numCache>
                <c:formatCode>General</c:formatCode>
                <c:ptCount val="3"/>
                <c:pt idx="0">
                  <c:v>0.37979746319812113</c:v>
                </c:pt>
                <c:pt idx="1">
                  <c:v>0.29184445780135787</c:v>
                </c:pt>
                <c:pt idx="2">
                  <c:v>0.24533629939701559</c:v>
                </c:pt>
              </c:numCache>
            </c:numRef>
          </c:xVal>
          <c:yVal>
            <c:numRef>
              <c:f>AvgSchemeTest!$AP$5:$AP$7</c:f>
              <c:numCache>
                <c:formatCode>General</c:formatCode>
                <c:ptCount val="3"/>
                <c:pt idx="0">
                  <c:v>0.61260000000000003</c:v>
                </c:pt>
                <c:pt idx="1">
                  <c:v>0.46649999999999997</c:v>
                </c:pt>
                <c:pt idx="2">
                  <c:v>0.35505000000000003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C4-418F-8F73-AFA9091F1226}"/>
            </c:ext>
          </c:extLst>
        </c:ser>
        <c:ser>
          <c:idx val="1"/>
          <c:order val="1"/>
          <c:tx>
            <c:v>Unary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AvgSchemeTest!$AU$8:$AU$10</c:f>
              <c:numCache>
                <c:formatCode>General</c:formatCode>
                <c:ptCount val="3"/>
                <c:pt idx="0">
                  <c:v>0.72198244099516784</c:v>
                </c:pt>
                <c:pt idx="1">
                  <c:v>0.49067523585877765</c:v>
                </c:pt>
                <c:pt idx="2">
                  <c:v>0.33236370799974174</c:v>
                </c:pt>
              </c:numCache>
            </c:numRef>
          </c:xVal>
          <c:yVal>
            <c:numRef>
              <c:f>AvgSchemeTest!$AP$8:$AP$10</c:f>
              <c:numCache>
                <c:formatCode>General</c:formatCode>
                <c:ptCount val="3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C4-418F-8F73-AFA9091F1226}"/>
            </c:ext>
          </c:extLst>
        </c:ser>
        <c:ser>
          <c:idx val="7"/>
          <c:order val="2"/>
          <c:tx>
            <c:v>Unary Alkaline Earth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AvgSchemeTest!$AU$13:$AU$15</c:f>
              <c:numCache>
                <c:formatCode>General</c:formatCode>
                <c:ptCount val="3"/>
                <c:pt idx="0">
                  <c:v>0.269940662012365</c:v>
                </c:pt>
                <c:pt idx="1">
                  <c:v>0.37024310108699071</c:v>
                </c:pt>
                <c:pt idx="2">
                  <c:v>0.32666098973626601</c:v>
                </c:pt>
              </c:numCache>
            </c:numRef>
          </c:xVal>
          <c:yVal>
            <c:numRef>
              <c:f>AvgSchemeTest!$AP$13:$AP$15</c:f>
              <c:numCache>
                <c:formatCode>General</c:formatCode>
                <c:ptCount val="3"/>
                <c:pt idx="0">
                  <c:v>0.45680000000000004</c:v>
                </c:pt>
                <c:pt idx="1">
                  <c:v>0.44125000000000003</c:v>
                </c:pt>
                <c:pt idx="2">
                  <c:v>0.37705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1C4-418F-8F73-AFA9091F1226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0"/>
                  <c:y val="1.860240293244178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FLiBe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81C4-418F-8F73-AFA9091F12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AvgSchemeTest!$AU$18:$AU$20</c:f>
              <c:numCache>
                <c:formatCode>General</c:formatCode>
                <c:ptCount val="3"/>
                <c:pt idx="0">
                  <c:v>1.0187917505808699</c:v>
                </c:pt>
                <c:pt idx="1">
                  <c:v>0.68591483111751272</c:v>
                </c:pt>
                <c:pt idx="2">
                  <c:v>0.64595928661301927</c:v>
                </c:pt>
              </c:numCache>
            </c:numRef>
          </c:xVal>
          <c:yVal>
            <c:numRef>
              <c:f>(AvgSchemeTest!$AP$18,AvgSchemeTest!$AP$19,AvgSchemeTest!$AP$20)</c:f>
              <c:numCache>
                <c:formatCode>General</c:formatCode>
                <c:ptCount val="3"/>
                <c:pt idx="0">
                  <c:v>1.1000000000000001</c:v>
                </c:pt>
                <c:pt idx="1">
                  <c:v>0.84457000000000004</c:v>
                </c:pt>
                <c:pt idx="2">
                  <c:v>0.87448810843065394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1C4-418F-8F73-AFA9091F1226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3676550468129631"/>
                  <c:y val="9.569306767539539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E0BA487-CCDC-4FE7-BE25-673E4F54B5AB}" type="CELLREF">
                      <a:rPr lang="en-US"/>
                      <a:pPr>
                        <a:defRPr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597216460632209"/>
                      <c:h val="0.11182086614173228"/>
                    </c:manualLayout>
                  </c15:layout>
                  <c15:dlblFieldTable>
                    <c15:dlblFTEntry>
                      <c15:txfldGUID>{4E0BA487-CCDC-4FE7-BE25-673E4F54B5AB}</c15:txfldGUID>
                      <c15:f>AvgSchemeTest!$A$21</c15:f>
                      <c15:dlblFieldTableCache>
                        <c:ptCount val="1"/>
                        <c:pt idx="0">
                          <c:v>0.63NaCl-0.37UCl3 (ORNL)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81C4-418F-8F73-AFA9091F1226}"/>
                </c:ext>
              </c:extLst>
            </c:dLbl>
            <c:dLbl>
              <c:idx val="1"/>
              <c:layout>
                <c:manualLayout>
                  <c:x val="4.4468155327250548E-2"/>
                  <c:y val="5.289252718038096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48043BA-4F93-455A-BDFD-BB5447868CFE}" type="CELLREF">
                      <a:rPr lang="en-US"/>
                      <a:pPr>
                        <a:defRPr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342772942855827"/>
                      <c:h val="9.7931758530183724E-2"/>
                    </c:manualLayout>
                  </c15:layout>
                  <c15:dlblFieldTable>
                    <c15:dlblFTEntry>
                      <c15:txfldGUID>{F48043BA-4F93-455A-BDFD-BB5447868CFE}</c15:txfldGUID>
                      <c15:f>AvgSchemeTest!$A$22</c15:f>
                      <c15:dlblFieldTableCache>
                        <c:ptCount val="1"/>
                        <c:pt idx="0">
                          <c:v>0.658NaCl-0.342UCl3 (ANL)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81C4-418F-8F73-AFA9091F12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AvgSchemeTest!$AU$21:$AU$22</c:f>
              <c:numCache>
                <c:formatCode>General</c:formatCode>
                <c:ptCount val="2"/>
                <c:pt idx="0">
                  <c:v>0.26539205378729858</c:v>
                </c:pt>
                <c:pt idx="1">
                  <c:v>0.28667900791014594</c:v>
                </c:pt>
              </c:numCache>
            </c:numRef>
          </c:xVal>
          <c:yVal>
            <c:numRef>
              <c:f>AvgSchemeTest!$AP$21:$AP$22</c:f>
              <c:numCache>
                <c:formatCode>General</c:formatCode>
                <c:ptCount val="2"/>
                <c:pt idx="0">
                  <c:v>0.28277596034850733</c:v>
                </c:pt>
                <c:pt idx="1">
                  <c:v>0.22655673749565519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1C4-418F-8F73-AFA9091F1226}"/>
            </c:ext>
          </c:extLst>
        </c:ser>
        <c:ser>
          <c:idx val="2"/>
          <c:order val="5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AvgSchemeTest!$BE$23</c:f>
              <c:numCache>
                <c:formatCode>0.000000</c:formatCode>
                <c:ptCount val="1"/>
                <c:pt idx="0">
                  <c:v>0.55623382223307438</c:v>
                </c:pt>
              </c:numCache>
            </c:numRef>
          </c:xVal>
          <c:yVal>
            <c:numRef>
              <c:f>AvgSchemeTest!$AP$23</c:f>
              <c:numCache>
                <c:formatCode>General</c:formatCode>
                <c:ptCount val="1"/>
                <c:pt idx="0">
                  <c:v>0.60089999999999999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1C4-418F-8F73-AFA9091F1226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D-81C4-418F-8F73-AFA9091F1226}"/>
            </c:ext>
          </c:extLst>
        </c:ser>
        <c:ser>
          <c:idx val="0"/>
          <c:order val="7"/>
          <c:tx>
            <c:v>Fit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0.13917665714604047"/>
                  <c:y val="0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MgCl2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81C4-418F-8F73-AFA9091F1226}"/>
                </c:ext>
              </c:extLst>
            </c:dLbl>
            <c:dLbl>
              <c:idx val="9"/>
              <c:layout>
                <c:manualLayout>
                  <c:x val="1.8955811755716218E-2"/>
                  <c:y val="1.860240293244170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CaCl2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81C4-418F-8F73-AFA9091F1226}"/>
                </c:ext>
              </c:extLst>
            </c:dLbl>
            <c:dLbl>
              <c:idx val="10"/>
              <c:layout>
                <c:manualLayout>
                  <c:x val="1.6049075630110508E-2"/>
                  <c:y val="4.185540659799401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SrCl2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81C4-418F-8F73-AFA9091F1226}"/>
                </c:ext>
              </c:extLst>
            </c:dLbl>
            <c:dLbl>
              <c:idx val="14"/>
              <c:layout>
                <c:manualLayout>
                  <c:x val="3.1895703560828811E-2"/>
                  <c:y val="4.185540659799401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FLiNaK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81C4-418F-8F73-AFA9091F12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3285401876446844"/>
                  <c:y val="0.78648762464159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AvgSchemeTest!$AU$5:$AU$23</c:f>
              <c:numCache>
                <c:formatCode>General</c:formatCode>
                <c:ptCount val="19"/>
                <c:pt idx="0">
                  <c:v>0.37979746319812113</c:v>
                </c:pt>
                <c:pt idx="1">
                  <c:v>0.29184445780135787</c:v>
                </c:pt>
                <c:pt idx="2">
                  <c:v>0.24533629939701559</c:v>
                </c:pt>
                <c:pt idx="3">
                  <c:v>0.72198244099516784</c:v>
                </c:pt>
                <c:pt idx="4">
                  <c:v>0.49067523585877765</c:v>
                </c:pt>
                <c:pt idx="5">
                  <c:v>0.33236370799974174</c:v>
                </c:pt>
                <c:pt idx="8">
                  <c:v>0.269940662012365</c:v>
                </c:pt>
                <c:pt idx="9">
                  <c:v>0.37024310108699071</c:v>
                </c:pt>
                <c:pt idx="10">
                  <c:v>0.32666098973626601</c:v>
                </c:pt>
                <c:pt idx="11">
                  <c:v>0.38288813854392989</c:v>
                </c:pt>
                <c:pt idx="13">
                  <c:v>1.0187917505808699</c:v>
                </c:pt>
                <c:pt idx="14">
                  <c:v>0.68591483111751272</c:v>
                </c:pt>
                <c:pt idx="15">
                  <c:v>0.64595928661301927</c:v>
                </c:pt>
                <c:pt idx="16">
                  <c:v>0.26539205378729858</c:v>
                </c:pt>
                <c:pt idx="17">
                  <c:v>0.28667900791014594</c:v>
                </c:pt>
              </c:numCache>
            </c:numRef>
          </c:xVal>
          <c:yVal>
            <c:numRef>
              <c:f>AvgSchemeTest!$AP$5:$AP$23</c:f>
              <c:numCache>
                <c:formatCode>General</c:formatCode>
                <c:ptCount val="19"/>
                <c:pt idx="0">
                  <c:v>0.61260000000000003</c:v>
                </c:pt>
                <c:pt idx="1">
                  <c:v>0.46649999999999997</c:v>
                </c:pt>
                <c:pt idx="2">
                  <c:v>0.35505000000000003</c:v>
                </c:pt>
                <c:pt idx="3">
                  <c:v>1.33125</c:v>
                </c:pt>
                <c:pt idx="4">
                  <c:v>0.82789999999999997</c:v>
                </c:pt>
                <c:pt idx="5">
                  <c:v>0.56999999999999995</c:v>
                </c:pt>
                <c:pt idx="6">
                  <c:v>0.48965000000000003</c:v>
                </c:pt>
                <c:pt idx="7">
                  <c:v>0.36715000000000003</c:v>
                </c:pt>
                <c:pt idx="8">
                  <c:v>0.45680000000000004</c:v>
                </c:pt>
                <c:pt idx="9">
                  <c:v>0.44125000000000003</c:v>
                </c:pt>
                <c:pt idx="10">
                  <c:v>0.37705</c:v>
                </c:pt>
                <c:pt idx="11">
                  <c:v>0.51224999999999998</c:v>
                </c:pt>
                <c:pt idx="12">
                  <c:v>0.40920000000000001</c:v>
                </c:pt>
                <c:pt idx="13">
                  <c:v>1.1000000000000001</c:v>
                </c:pt>
                <c:pt idx="14">
                  <c:v>0.84457000000000004</c:v>
                </c:pt>
                <c:pt idx="15">
                  <c:v>0.87448810843065394</c:v>
                </c:pt>
                <c:pt idx="16">
                  <c:v>0.28277596034850733</c:v>
                </c:pt>
                <c:pt idx="17">
                  <c:v>0.22655673749565519</c:v>
                </c:pt>
                <c:pt idx="18">
                  <c:v>0.60089999999999999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81C4-418F-8F73-AFA9091F1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.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_predicted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  <c:majorUnit val="0.2"/>
      </c:valAx>
      <c:valAx>
        <c:axId val="689706896"/>
        <c:scaling>
          <c:orientation val="minMax"/>
          <c:max val="1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  <c:minorUnit val="4.0000000000000008E-2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0.71601650001853678"/>
          <c:y val="0.1836945902595509"/>
          <c:w val="0.28398349998146333"/>
          <c:h val="0.763893263342082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27133121517705"/>
          <c:y val="4.3650793650793648E-2"/>
          <c:w val="0.47260970668140168"/>
          <c:h val="0.82379640044994373"/>
        </c:manualLayout>
      </c:layout>
      <c:scatterChart>
        <c:scatterStyle val="lineMarker"/>
        <c:varyColors val="0"/>
        <c:ser>
          <c:idx val="4"/>
          <c:order val="0"/>
          <c:tx>
            <c:v>Unary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AvgSchemeTest!$BA$5:$BA$7</c:f>
              <c:numCache>
                <c:formatCode>0.000000</c:formatCode>
                <c:ptCount val="3"/>
                <c:pt idx="0">
                  <c:v>2730.933113092186</c:v>
                </c:pt>
                <c:pt idx="1">
                  <c:v>2396.5316359622593</c:v>
                </c:pt>
                <c:pt idx="2">
                  <c:v>2016.0168340277282</c:v>
                </c:pt>
              </c:numCache>
            </c:numRef>
          </c:xVal>
          <c:yVal>
            <c:numRef>
              <c:f>AvgSchemeTest!$CC$5:$CC$7</c:f>
              <c:numCache>
                <c:formatCode>0.00E+00</c:formatCode>
                <c:ptCount val="3"/>
                <c:pt idx="0">
                  <c:v>2299027.692598009</c:v>
                </c:pt>
                <c:pt idx="1">
                  <c:v>1849136.7861885792</c:v>
                </c:pt>
                <c:pt idx="2">
                  <c:v>1506961.5069615068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38-41F7-9E24-A86C4A154338}"/>
            </c:ext>
          </c:extLst>
        </c:ser>
        <c:ser>
          <c:idx val="0"/>
          <c:order val="1"/>
          <c:tx>
            <c:v>Unary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AvgSchemeTest!$BA$8:$BA$10</c:f>
              <c:numCache>
                <c:formatCode>0.000000</c:formatCode>
                <c:ptCount val="3"/>
                <c:pt idx="0">
                  <c:v>3750.7371436729086</c:v>
                </c:pt>
                <c:pt idx="1">
                  <c:v>2884.1964549932036</c:v>
                </c:pt>
                <c:pt idx="2">
                  <c:v>2585.62168847778</c:v>
                </c:pt>
              </c:numCache>
            </c:numRef>
          </c:xVal>
          <c:yVal>
            <c:numRef>
              <c:f>AvgSchemeTest!$CC$8:$CC$10</c:f>
              <c:numCache>
                <c:formatCode>0.00E+00</c:formatCode>
                <c:ptCount val="3"/>
                <c:pt idx="0">
                  <c:v>4521126.760563381</c:v>
                </c:pt>
                <c:pt idx="1">
                  <c:v>3250000</c:v>
                </c:pt>
                <c:pt idx="2">
                  <c:v>2200657.8947368423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38-41F7-9E24-A86C4A154338}"/>
            </c:ext>
          </c:extLst>
        </c:ser>
        <c:ser>
          <c:idx val="1"/>
          <c:order val="2"/>
          <c:tx>
            <c:v>Unary Alkaline Earth Chlorides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AvgSchemeTest!$BA$13:$BA$15</c:f>
              <c:numCache>
                <c:formatCode>0.000000</c:formatCode>
                <c:ptCount val="3"/>
                <c:pt idx="0">
                  <c:v>2876.0402458184271</c:v>
                </c:pt>
                <c:pt idx="1">
                  <c:v>2275.7389547392108</c:v>
                </c:pt>
                <c:pt idx="2">
                  <c:v>1921.311964522863</c:v>
                </c:pt>
              </c:numCache>
            </c:numRef>
          </c:xVal>
          <c:yVal>
            <c:numRef>
              <c:f>AvgSchemeTest!$CC$13:$CC$15</c:f>
              <c:numCache>
                <c:formatCode>0.00E+00</c:formatCode>
                <c:ptCount val="3"/>
                <c:pt idx="0">
                  <c:v>1628871.8794256966</c:v>
                </c:pt>
                <c:pt idx="1">
                  <c:v>1928974.5850302745</c:v>
                </c:pt>
                <c:pt idx="2">
                  <c:v>1799756.6027023955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938-41F7-9E24-A86C4A154338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AvgSchemeTest!$BA$18:$BA$20</c:f>
              <c:numCache>
                <c:formatCode>0.000000</c:formatCode>
                <c:ptCount val="3"/>
                <c:pt idx="0">
                  <c:v>3650.7198447687724</c:v>
                </c:pt>
                <c:pt idx="1">
                  <c:v>2843.4572144367976</c:v>
                </c:pt>
                <c:pt idx="2">
                  <c:v>2883.3275742423598</c:v>
                </c:pt>
              </c:numCache>
            </c:numRef>
          </c:xVal>
          <c:yVal>
            <c:numRef>
              <c:f>AvgSchemeTest!$CC$18:$CC$20</c:f>
              <c:numCache>
                <c:formatCode>0.00E+00</c:formatCode>
                <c:ptCount val="3"/>
                <c:pt idx="0">
                  <c:v>4323157.1595853949</c:v>
                </c:pt>
                <c:pt idx="1">
                  <c:v>3402318.9027080508</c:v>
                </c:pt>
                <c:pt idx="2">
                  <c:v>4192480.558023226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938-41F7-9E24-A86C4A154338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AvgSchemeTest!$CJ$21:$CJ$22</c:f>
              <c:numCache>
                <c:formatCode>General</c:formatCode>
                <c:ptCount val="2"/>
                <c:pt idx="0">
                  <c:v>1974353.8841670761</c:v>
                </c:pt>
                <c:pt idx="1">
                  <c:v>1515117.258248803</c:v>
                </c:pt>
              </c:numCache>
            </c:numRef>
          </c:xVal>
          <c:yVal>
            <c:numRef>
              <c:f>AvgSchemeTest!$CC$21:$CC$22</c:f>
              <c:numCache>
                <c:formatCode>0.00E+00</c:formatCode>
                <c:ptCount val="2"/>
                <c:pt idx="0">
                  <c:v>2156336.4385642763</c:v>
                </c:pt>
                <c:pt idx="1">
                  <c:v>2149770.3220167966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938-41F7-9E24-A86C4A154338}"/>
            </c:ext>
          </c:extLst>
        </c:ser>
        <c:ser>
          <c:idx val="2"/>
          <c:order val="5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AvgSchemeTest!$CJ$23</c:f>
              <c:numCache>
                <c:formatCode>General</c:formatCode>
                <c:ptCount val="1"/>
                <c:pt idx="0">
                  <c:v>4519039.7092508962</c:v>
                </c:pt>
              </c:numCache>
            </c:numRef>
          </c:xVal>
          <c:yVal>
            <c:numRef>
              <c:f>AvgSchemeTest!$CC$23</c:f>
              <c:numCache>
                <c:formatCode>0.00E+00</c:formatCode>
                <c:ptCount val="1"/>
                <c:pt idx="0">
                  <c:v>4183129.8557158709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938-41F7-9E24-A86C4A154338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.000000000000001E-2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7000000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7000000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8938-41F7-9E24-A86C4A154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70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C_p,calc (phonon)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E+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  <c:majorUnit val="1000000"/>
      </c:valAx>
      <c:valAx>
        <c:axId val="689706896"/>
        <c:scaling>
          <c:orientation val="minMax"/>
          <c:max val="7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C_p,measured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635608048993876E-2"/>
              <c:y val="0.305791776027996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68536096836723448"/>
          <c:y val="8.2917760279965003E-2"/>
          <c:w val="0.30430796313330477"/>
          <c:h val="0.745785943423738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PDF-distributed MFP at PDF temp</a:t>
            </a:r>
          </a:p>
        </c:rich>
      </c:tx>
      <c:layout>
        <c:manualLayout>
          <c:xMode val="edge"/>
          <c:yMode val="edge"/>
          <c:x val="0.11481638647246525"/>
          <c:y val="6.09248473004130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66593759113446"/>
          <c:y val="5.9523809523809521E-2"/>
          <c:w val="0.56891659375911341"/>
          <c:h val="0.77617745698454343"/>
        </c:manualLayout>
      </c:layout>
      <c:scatterChart>
        <c:scatterStyle val="lineMarker"/>
        <c:varyColors val="0"/>
        <c:ser>
          <c:idx val="4"/>
          <c:order val="0"/>
          <c:tx>
            <c:strRef>
              <c:f>AvgSchemeTest!$AR$57</c:f>
              <c:strCache>
                <c:ptCount val="1"/>
                <c:pt idx="0">
                  <c:v>Unary Chlorides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AvgSchemeTest!$AW$5:$AW$7</c:f>
              <c:numCache>
                <c:formatCode>General</c:formatCode>
                <c:ptCount val="3"/>
                <c:pt idx="0">
                  <c:v>0.467412663978306</c:v>
                </c:pt>
                <c:pt idx="1">
                  <c:v>0.346144472817148</c:v>
                </c:pt>
                <c:pt idx="2">
                  <c:v>0.28781059971565698</c:v>
                </c:pt>
              </c:numCache>
            </c:numRef>
          </c:xVal>
          <c:yVal>
            <c:numRef>
              <c:f>AvgSchemeTest!$AO$5:$AO$7</c:f>
              <c:numCache>
                <c:formatCode>General</c:formatCode>
                <c:ptCount val="3"/>
                <c:pt idx="0">
                  <c:v>0.62813099999999999</c:v>
                </c:pt>
                <c:pt idx="1">
                  <c:v>0.47675999999999996</c:v>
                </c:pt>
                <c:pt idx="2">
                  <c:v>0.35948275000000002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20-4936-AB37-BFFCA8D3FB5E}"/>
            </c:ext>
          </c:extLst>
        </c:ser>
        <c:ser>
          <c:idx val="1"/>
          <c:order val="1"/>
          <c:tx>
            <c:strRef>
              <c:f>AvgSchemeTest!$AR$58</c:f>
              <c:strCache>
                <c:ptCount val="1"/>
                <c:pt idx="0">
                  <c:v>Unary Flourides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AvgSchemeTest!$AW$8:$AW$10</c:f>
              <c:numCache>
                <c:formatCode>General</c:formatCode>
                <c:ptCount val="3"/>
                <c:pt idx="0">
                  <c:v>0.90368250947301099</c:v>
                </c:pt>
                <c:pt idx="1">
                  <c:v>0.59812175800891498</c:v>
                </c:pt>
                <c:pt idx="2">
                  <c:v>0.40376310518547798</c:v>
                </c:pt>
              </c:numCache>
            </c:numRef>
          </c:xVal>
          <c:yVal>
            <c:numRef>
              <c:f>AvgSchemeTest!$AO$8:$AO$10</c:f>
              <c:numCache>
                <c:formatCode>General</c:formatCode>
                <c:ptCount val="3"/>
                <c:pt idx="0">
                  <c:v>1.3489312500000001</c:v>
                </c:pt>
                <c:pt idx="1">
                  <c:v>0.84152399999999994</c:v>
                </c:pt>
                <c:pt idx="2">
                  <c:v>0.58248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20-4936-AB37-BFFCA8D3FB5E}"/>
            </c:ext>
          </c:extLst>
        </c:ser>
        <c:ser>
          <c:idx val="7"/>
          <c:order val="2"/>
          <c:tx>
            <c:strRef>
              <c:f>AvgSchemeTest!$AR$59</c:f>
              <c:strCache>
                <c:ptCount val="1"/>
                <c:pt idx="0">
                  <c:v>Unary Alkaline Earth Chlorides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2516289552532384"/>
                  <c:y val="-6.056755208039085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MgCl2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E020-4936-AB37-BFFCA8D3FB5E}"/>
                </c:ext>
              </c:extLst>
            </c:dLbl>
            <c:dLbl>
              <c:idx val="1"/>
              <c:layout>
                <c:manualLayout>
                  <c:x val="4.1720965175107892E-2"/>
                  <c:y val="-9.3180849354447485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CaCl2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E020-4936-AB37-BFFCA8D3FB5E}"/>
                </c:ext>
              </c:extLst>
            </c:dLbl>
            <c:dLbl>
              <c:idx val="2"/>
              <c:layout>
                <c:manualLayout>
                  <c:x val="2.3468042910998171E-2"/>
                  <c:y val="1.397712740316712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SrCl2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E020-4936-AB37-BFFCA8D3FB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AvgSchemeTest!$AW$13:$AW$15</c:f>
              <c:numCache>
                <c:formatCode>General</c:formatCode>
                <c:ptCount val="3"/>
                <c:pt idx="0">
                  <c:v>0.33370075449931302</c:v>
                </c:pt>
                <c:pt idx="1">
                  <c:v>0.40039499504213499</c:v>
                </c:pt>
                <c:pt idx="2">
                  <c:v>0.36759447686851399</c:v>
                </c:pt>
              </c:numCache>
            </c:numRef>
          </c:xVal>
          <c:yVal>
            <c:numRef>
              <c:f>AvgSchemeTest!$AO$13:$AO$15</c:f>
              <c:numCache>
                <c:formatCode>General</c:formatCode>
                <c:ptCount val="3"/>
                <c:pt idx="0">
                  <c:v>0.46085600000000004</c:v>
                </c:pt>
                <c:pt idx="1">
                  <c:v>0.44147999999999998</c:v>
                </c:pt>
                <c:pt idx="2">
                  <c:v>0.37681199999999998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020-4936-AB37-BFFCA8D3FB5E}"/>
            </c:ext>
          </c:extLst>
        </c:ser>
        <c:ser>
          <c:idx val="5"/>
          <c:order val="3"/>
          <c:tx>
            <c:strRef>
              <c:f>AvgSchemeTest!$AR$60</c:f>
              <c:strCache>
                <c:ptCount val="1"/>
                <c:pt idx="0">
                  <c:v>Fluoride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2.6223583095411101E-2"/>
                  <c:y val="1.860240293244178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FLiBe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E020-4936-AB37-BFFCA8D3FB5E}"/>
                </c:ext>
              </c:extLst>
            </c:dLbl>
            <c:dLbl>
              <c:idx val="1"/>
              <c:layout>
                <c:manualLayout>
                  <c:x val="2.8845941404952211E-2"/>
                  <c:y val="2.325300366555223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FLiNaK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E020-4936-AB37-BFFCA8D3FB5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020-4936-AB37-BFFCA8D3FB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AvgSchemeTest!$AW$18:$AW$20</c:f>
              <c:numCache>
                <c:formatCode>General</c:formatCode>
                <c:ptCount val="3"/>
                <c:pt idx="0">
                  <c:v>1.28305844543897</c:v>
                </c:pt>
                <c:pt idx="1">
                  <c:v>0.85046707066330796</c:v>
                </c:pt>
                <c:pt idx="2">
                  <c:v>0.73223097949286997</c:v>
                </c:pt>
              </c:numCache>
            </c:numRef>
          </c:xVal>
          <c:yVal>
            <c:numRef>
              <c:f>AvgSchemeTest!$AO$18:$AO$20</c:f>
              <c:numCache>
                <c:formatCode>General</c:formatCode>
                <c:ptCount val="3"/>
                <c:pt idx="0">
                  <c:v>1.1000000000000001</c:v>
                </c:pt>
                <c:pt idx="1">
                  <c:v>0.77032600000000007</c:v>
                </c:pt>
                <c:pt idx="2">
                  <c:v>0.84372400051146534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020-4936-AB37-BFFCA8D3FB5E}"/>
            </c:ext>
          </c:extLst>
        </c:ser>
        <c:ser>
          <c:idx val="6"/>
          <c:order val="4"/>
          <c:tx>
            <c:strRef>
              <c:f>AvgSchemeTest!$AR$61</c:f>
              <c:strCache>
                <c:ptCount val="1"/>
                <c:pt idx="0">
                  <c:v>Chloride Actinide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8.5943333609889649E-2"/>
                  <c:y val="0.104994167395742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E0BA487-CCDC-4FE7-BE25-673E4F54B5AB}" type="CELLREF">
                      <a:rPr lang="en-US"/>
                      <a:pPr>
                        <a:defRPr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597216460632209"/>
                      <c:h val="0.11182086614173228"/>
                    </c:manualLayout>
                  </c15:layout>
                  <c15:dlblFieldTable>
                    <c15:dlblFTEntry>
                      <c15:txfldGUID>{4E0BA487-CCDC-4FE7-BE25-673E4F54B5AB}</c15:txfldGUID>
                      <c15:f>AvgSchemeTest!$A$21</c15:f>
                      <c15:dlblFieldTableCache>
                        <c:ptCount val="1"/>
                        <c:pt idx="0">
                          <c:v>0.63NaCl-0.37UCl3 (ORNL)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E020-4936-AB37-BFFCA8D3FB5E}"/>
                </c:ext>
              </c:extLst>
            </c:dLbl>
            <c:dLbl>
              <c:idx val="1"/>
              <c:layout>
                <c:manualLayout>
                  <c:x val="-0.12400145787005593"/>
                  <c:y val="-0.16426559142675901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48043BA-4F93-455A-BDFD-BB5447868CFE}" type="CELLREF">
                      <a:rPr lang="en-US"/>
                      <a:pPr>
                        <a:defRPr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342772942855827"/>
                      <c:h val="9.7931758530183724E-2"/>
                    </c:manualLayout>
                  </c15:layout>
                  <c15:dlblFieldTable>
                    <c15:dlblFTEntry>
                      <c15:txfldGUID>{F48043BA-4F93-455A-BDFD-BB5447868CFE}</c15:txfldGUID>
                      <c15:f>AvgSchemeTest!$A$22</c15:f>
                      <c15:dlblFieldTableCache>
                        <c:ptCount val="1"/>
                        <c:pt idx="0">
                          <c:v>0.658NaCl-0.342UCl3 (ANL)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E020-4936-AB37-BFFCA8D3FB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AvgSchemeTest!$AW$21:$AW$22</c:f>
              <c:numCache>
                <c:formatCode>General</c:formatCode>
                <c:ptCount val="2"/>
                <c:pt idx="0">
                  <c:v>0.29301529878909899</c:v>
                </c:pt>
                <c:pt idx="1">
                  <c:v>0.316517898560285</c:v>
                </c:pt>
              </c:numCache>
            </c:numRef>
          </c:xVal>
          <c:yVal>
            <c:numRef>
              <c:f>AvgSchemeTest!$AO$21:$AO$22</c:f>
              <c:numCache>
                <c:formatCode>General</c:formatCode>
                <c:ptCount val="2"/>
                <c:pt idx="0">
                  <c:v>0.20904664500732548</c:v>
                </c:pt>
                <c:pt idx="1">
                  <c:v>0.4953628608812834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E020-4936-AB37-BFFCA8D3FB5E}"/>
            </c:ext>
          </c:extLst>
        </c:ser>
        <c:ser>
          <c:idx val="2"/>
          <c:order val="5"/>
          <c:tx>
            <c:strRef>
              <c:f>AvgSchemeTest!$AR$62</c:f>
              <c:strCache>
                <c:ptCount val="1"/>
                <c:pt idx="0">
                  <c:v>Water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AvgSchemeTest!$BE$23</c:f>
              <c:numCache>
                <c:formatCode>0.000000</c:formatCode>
                <c:ptCount val="1"/>
                <c:pt idx="0">
                  <c:v>0.55623382223307438</c:v>
                </c:pt>
              </c:numCache>
            </c:numRef>
          </c:xVal>
          <c:yVal>
            <c:numRef>
              <c:f>AvgSchemeTest!$AO$23</c:f>
              <c:numCache>
                <c:formatCode>General</c:formatCode>
                <c:ptCount val="1"/>
                <c:pt idx="0">
                  <c:v>0.60089999999999999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E020-4936-AB37-BFFCA8D3FB5E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2-E020-4936-AB37-BFFCA8D3FB5E}"/>
            </c:ext>
          </c:extLst>
        </c:ser>
        <c:ser>
          <c:idx val="0"/>
          <c:order val="7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3046501013355431"/>
                  <c:y val="0.8070580457994880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AvgSchemeTest!$AW$5:$AW$23</c:f>
              <c:numCache>
                <c:formatCode>General</c:formatCode>
                <c:ptCount val="19"/>
                <c:pt idx="0">
                  <c:v>0.467412663978306</c:v>
                </c:pt>
                <c:pt idx="1">
                  <c:v>0.346144472817148</c:v>
                </c:pt>
                <c:pt idx="2">
                  <c:v>0.28781059971565698</c:v>
                </c:pt>
                <c:pt idx="3">
                  <c:v>0.90368250947301099</c:v>
                </c:pt>
                <c:pt idx="4">
                  <c:v>0.59812175800891498</c:v>
                </c:pt>
                <c:pt idx="5">
                  <c:v>0.40376310518547798</c:v>
                </c:pt>
                <c:pt idx="8">
                  <c:v>0.33370075449931302</c:v>
                </c:pt>
                <c:pt idx="9">
                  <c:v>0.40039499504213499</c:v>
                </c:pt>
                <c:pt idx="10">
                  <c:v>0.36759447686851399</c:v>
                </c:pt>
                <c:pt idx="11">
                  <c:v>0.54571904518309799</c:v>
                </c:pt>
                <c:pt idx="13">
                  <c:v>1.28305844543897</c:v>
                </c:pt>
                <c:pt idx="14">
                  <c:v>0.85046707066330796</c:v>
                </c:pt>
                <c:pt idx="15">
                  <c:v>0.73223097949286997</c:v>
                </c:pt>
                <c:pt idx="16">
                  <c:v>0.29301529878909899</c:v>
                </c:pt>
                <c:pt idx="17">
                  <c:v>0.316517898560285</c:v>
                </c:pt>
              </c:numCache>
            </c:numRef>
          </c:xVal>
          <c:yVal>
            <c:numRef>
              <c:f>AvgSchemeTest!$AO$5:$AO$23</c:f>
              <c:numCache>
                <c:formatCode>General</c:formatCode>
                <c:ptCount val="19"/>
                <c:pt idx="0">
                  <c:v>0.62813099999999999</c:v>
                </c:pt>
                <c:pt idx="1">
                  <c:v>0.47675999999999996</c:v>
                </c:pt>
                <c:pt idx="2">
                  <c:v>0.35948275000000002</c:v>
                </c:pt>
                <c:pt idx="3">
                  <c:v>1.3489312500000001</c:v>
                </c:pt>
                <c:pt idx="4">
                  <c:v>0.84152399999999994</c:v>
                </c:pt>
                <c:pt idx="5">
                  <c:v>0.58248</c:v>
                </c:pt>
                <c:pt idx="6">
                  <c:v>0.50006000000000006</c:v>
                </c:pt>
                <c:pt idx="7">
                  <c:v>0.38200000000000001</c:v>
                </c:pt>
                <c:pt idx="8">
                  <c:v>0.46085600000000004</c:v>
                </c:pt>
                <c:pt idx="9">
                  <c:v>0.44147999999999998</c:v>
                </c:pt>
                <c:pt idx="10">
                  <c:v>0.37681199999999998</c:v>
                </c:pt>
                <c:pt idx="11">
                  <c:v>0.51364054999999997</c:v>
                </c:pt>
                <c:pt idx="12">
                  <c:v>0.68778329999999999</c:v>
                </c:pt>
                <c:pt idx="13">
                  <c:v>1.1000000000000001</c:v>
                </c:pt>
                <c:pt idx="14">
                  <c:v>0.77032600000000007</c:v>
                </c:pt>
                <c:pt idx="15">
                  <c:v>0.84372400051146534</c:v>
                </c:pt>
                <c:pt idx="16">
                  <c:v>0.20904664500732548</c:v>
                </c:pt>
                <c:pt idx="17">
                  <c:v>0.4953628608812834</c:v>
                </c:pt>
                <c:pt idx="18">
                  <c:v>0.60089999999999999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E020-4936-AB37-BFFCA8D3FB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.4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_predicted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  <c:majorUnit val="0.2"/>
      </c:valAx>
      <c:valAx>
        <c:axId val="689706896"/>
        <c:scaling>
          <c:orientation val="minMax"/>
          <c:max val="1.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  <c:minorUnit val="4.0000000000000008E-2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0.71601650001853678"/>
          <c:y val="0.1836945902595509"/>
          <c:w val="0.27876831990781964"/>
          <c:h val="0.763893263342082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MFP from cat-an</a:t>
            </a:r>
            <a:r>
              <a:rPr lang="en-US" sz="1200" baseline="0"/>
              <a:t> f</a:t>
            </a:r>
            <a:r>
              <a:rPr lang="en-US" sz="1200"/>
              <a:t>irst peak</a:t>
            </a:r>
          </a:p>
        </c:rich>
      </c:tx>
      <c:layout>
        <c:manualLayout>
          <c:xMode val="edge"/>
          <c:yMode val="edge"/>
          <c:x val="0.1239491434630984"/>
          <c:y val="1.910554666529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66593759113446"/>
          <c:y val="5.9523809523809521E-2"/>
          <c:w val="0.56891659375911341"/>
          <c:h val="0.77617745698454343"/>
        </c:manualLayout>
      </c:layout>
      <c:scatterChart>
        <c:scatterStyle val="lineMarker"/>
        <c:varyColors val="0"/>
        <c:ser>
          <c:idx val="4"/>
          <c:order val="0"/>
          <c:tx>
            <c:v>Unary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AvgSchemeTest!$AU$5:$AU$7</c:f>
              <c:numCache>
                <c:formatCode>General</c:formatCode>
                <c:ptCount val="3"/>
                <c:pt idx="0">
                  <c:v>0.37979746319812113</c:v>
                </c:pt>
                <c:pt idx="1">
                  <c:v>0.29184445780135787</c:v>
                </c:pt>
                <c:pt idx="2">
                  <c:v>0.24533629939701559</c:v>
                </c:pt>
              </c:numCache>
            </c:numRef>
          </c:xVal>
          <c:yVal>
            <c:numRef>
              <c:f>AvgSchemeTest!$AO$5:$AO$7</c:f>
              <c:numCache>
                <c:formatCode>General</c:formatCode>
                <c:ptCount val="3"/>
                <c:pt idx="0">
                  <c:v>0.62813099999999999</c:v>
                </c:pt>
                <c:pt idx="1">
                  <c:v>0.47675999999999996</c:v>
                </c:pt>
                <c:pt idx="2">
                  <c:v>0.35948275000000002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B4-42DC-991E-1AD381BD2A61}"/>
            </c:ext>
          </c:extLst>
        </c:ser>
        <c:ser>
          <c:idx val="1"/>
          <c:order val="1"/>
          <c:tx>
            <c:v>Unary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AvgSchemeTest!$AU$8:$AU$10</c:f>
              <c:numCache>
                <c:formatCode>General</c:formatCode>
                <c:ptCount val="3"/>
                <c:pt idx="0">
                  <c:v>0.72198244099516784</c:v>
                </c:pt>
                <c:pt idx="1">
                  <c:v>0.49067523585877765</c:v>
                </c:pt>
                <c:pt idx="2">
                  <c:v>0.33236370799974174</c:v>
                </c:pt>
              </c:numCache>
            </c:numRef>
          </c:xVal>
          <c:yVal>
            <c:numRef>
              <c:f>AvgSchemeTest!$AO$8:$AO$10</c:f>
              <c:numCache>
                <c:formatCode>General</c:formatCode>
                <c:ptCount val="3"/>
                <c:pt idx="0">
                  <c:v>1.3489312500000001</c:v>
                </c:pt>
                <c:pt idx="1">
                  <c:v>0.84152399999999994</c:v>
                </c:pt>
                <c:pt idx="2">
                  <c:v>0.58248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B4-42DC-991E-1AD381BD2A61}"/>
            </c:ext>
          </c:extLst>
        </c:ser>
        <c:ser>
          <c:idx val="7"/>
          <c:order val="2"/>
          <c:tx>
            <c:v>Unary Alkaline Earth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AvgSchemeTest!$AU$13:$AU$15</c:f>
              <c:numCache>
                <c:formatCode>General</c:formatCode>
                <c:ptCount val="3"/>
                <c:pt idx="0">
                  <c:v>0.269940662012365</c:v>
                </c:pt>
                <c:pt idx="1">
                  <c:v>0.37024310108699071</c:v>
                </c:pt>
                <c:pt idx="2">
                  <c:v>0.32666098973626601</c:v>
                </c:pt>
              </c:numCache>
            </c:numRef>
          </c:xVal>
          <c:yVal>
            <c:numRef>
              <c:f>AvgSchemeTest!$AO$13:$AO$15</c:f>
              <c:numCache>
                <c:formatCode>General</c:formatCode>
                <c:ptCount val="3"/>
                <c:pt idx="0">
                  <c:v>0.46085600000000004</c:v>
                </c:pt>
                <c:pt idx="1">
                  <c:v>0.44147999999999998</c:v>
                </c:pt>
                <c:pt idx="2">
                  <c:v>0.37681199999999998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5B4-42DC-991E-1AD381BD2A61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0"/>
                  <c:y val="1.860240293244178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FLiBe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D5B4-42DC-991E-1AD381BD2A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AvgSchemeTest!$AU$18:$AU$20</c:f>
              <c:numCache>
                <c:formatCode>General</c:formatCode>
                <c:ptCount val="3"/>
                <c:pt idx="0">
                  <c:v>1.0187917505808699</c:v>
                </c:pt>
                <c:pt idx="1">
                  <c:v>0.68591483111751272</c:v>
                </c:pt>
                <c:pt idx="2">
                  <c:v>0.64595928661301927</c:v>
                </c:pt>
              </c:numCache>
            </c:numRef>
          </c:xVal>
          <c:yVal>
            <c:numRef>
              <c:f>AvgSchemeTest!$AO$18:$AO$20</c:f>
              <c:numCache>
                <c:formatCode>General</c:formatCode>
                <c:ptCount val="3"/>
                <c:pt idx="0">
                  <c:v>1.1000000000000001</c:v>
                </c:pt>
                <c:pt idx="1">
                  <c:v>0.77032600000000007</c:v>
                </c:pt>
                <c:pt idx="2">
                  <c:v>0.84372400051146534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5B4-42DC-991E-1AD381BD2A61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3676550468129631"/>
                  <c:y val="9.569306767539539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E0BA487-CCDC-4FE7-BE25-673E4F54B5AB}" type="CELLREF">
                      <a:rPr lang="en-US"/>
                      <a:pPr>
                        <a:defRPr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597216460632209"/>
                      <c:h val="0.11182086614173228"/>
                    </c:manualLayout>
                  </c15:layout>
                  <c15:dlblFieldTable>
                    <c15:dlblFTEntry>
                      <c15:txfldGUID>{4E0BA487-CCDC-4FE7-BE25-673E4F54B5AB}</c15:txfldGUID>
                      <c15:f>AvgSchemeTest!$A$21</c15:f>
                      <c15:dlblFieldTableCache>
                        <c:ptCount val="1"/>
                        <c:pt idx="0">
                          <c:v>0.63NaCl-0.37UCl3 (ORNL)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D5B4-42DC-991E-1AD381BD2A61}"/>
                </c:ext>
              </c:extLst>
            </c:dLbl>
            <c:dLbl>
              <c:idx val="1"/>
              <c:layout>
                <c:manualLayout>
                  <c:x val="4.4468155327250548E-2"/>
                  <c:y val="5.289252718038096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48043BA-4F93-455A-BDFD-BB5447868CFE}" type="CELLREF">
                      <a:rPr lang="en-US"/>
                      <a:pPr>
                        <a:defRPr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342772942855827"/>
                      <c:h val="9.7931758530183724E-2"/>
                    </c:manualLayout>
                  </c15:layout>
                  <c15:dlblFieldTable>
                    <c15:dlblFTEntry>
                      <c15:txfldGUID>{F48043BA-4F93-455A-BDFD-BB5447868CFE}</c15:txfldGUID>
                      <c15:f>AvgSchemeTest!$A$22</c15:f>
                      <c15:dlblFieldTableCache>
                        <c:ptCount val="1"/>
                        <c:pt idx="0">
                          <c:v>0.658NaCl-0.342UCl3 (ANL)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D5B4-42DC-991E-1AD381BD2A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AvgSchemeTest!$AU$21:$AU$22</c:f>
              <c:numCache>
                <c:formatCode>General</c:formatCode>
                <c:ptCount val="2"/>
                <c:pt idx="0">
                  <c:v>0.26539205378729858</c:v>
                </c:pt>
                <c:pt idx="1">
                  <c:v>0.28667900791014594</c:v>
                </c:pt>
              </c:numCache>
            </c:numRef>
          </c:xVal>
          <c:yVal>
            <c:numRef>
              <c:f>AvgSchemeTest!$AO$21:$AO$22</c:f>
              <c:numCache>
                <c:formatCode>General</c:formatCode>
                <c:ptCount val="2"/>
                <c:pt idx="0">
                  <c:v>0.20904664500732548</c:v>
                </c:pt>
                <c:pt idx="1">
                  <c:v>0.4953628608812834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5B4-42DC-991E-1AD381BD2A61}"/>
            </c:ext>
          </c:extLst>
        </c:ser>
        <c:ser>
          <c:idx val="2"/>
          <c:order val="5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AvgSchemeTest!$BE$23</c:f>
              <c:numCache>
                <c:formatCode>0.000000</c:formatCode>
                <c:ptCount val="1"/>
                <c:pt idx="0">
                  <c:v>0.55623382223307438</c:v>
                </c:pt>
              </c:numCache>
            </c:numRef>
          </c:xVal>
          <c:yVal>
            <c:numRef>
              <c:f>AvgSchemeTest!$AO$23</c:f>
              <c:numCache>
                <c:formatCode>General</c:formatCode>
                <c:ptCount val="1"/>
                <c:pt idx="0">
                  <c:v>0.60089999999999999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5B4-42DC-991E-1AD381BD2A61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D-D5B4-42DC-991E-1AD381BD2A61}"/>
            </c:ext>
          </c:extLst>
        </c:ser>
        <c:ser>
          <c:idx val="0"/>
          <c:order val="7"/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0.13917665714604047"/>
                  <c:y val="0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MgCl2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D5B4-42DC-991E-1AD381BD2A61}"/>
                </c:ext>
              </c:extLst>
            </c:dLbl>
            <c:dLbl>
              <c:idx val="9"/>
              <c:layout>
                <c:manualLayout>
                  <c:x val="1.8955811755716218E-2"/>
                  <c:y val="1.860240293244170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CaCl2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D5B4-42DC-991E-1AD381BD2A61}"/>
                </c:ext>
              </c:extLst>
            </c:dLbl>
            <c:dLbl>
              <c:idx val="10"/>
              <c:layout>
                <c:manualLayout>
                  <c:x val="1.6049075630110508E-2"/>
                  <c:y val="4.185540659799401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SrCl2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D5B4-42DC-991E-1AD381BD2A61}"/>
                </c:ext>
              </c:extLst>
            </c:dLbl>
            <c:dLbl>
              <c:idx val="14"/>
              <c:layout>
                <c:manualLayout>
                  <c:x val="3.1895703560828811E-2"/>
                  <c:y val="4.185540659799401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FLiNaK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D5B4-42DC-991E-1AD381BD2A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3285401876446844"/>
                  <c:y val="0.78648762464159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AvgSchemeTest!$AU$5:$AU$23</c:f>
              <c:numCache>
                <c:formatCode>General</c:formatCode>
                <c:ptCount val="19"/>
                <c:pt idx="0">
                  <c:v>0.37979746319812113</c:v>
                </c:pt>
                <c:pt idx="1">
                  <c:v>0.29184445780135787</c:v>
                </c:pt>
                <c:pt idx="2">
                  <c:v>0.24533629939701559</c:v>
                </c:pt>
                <c:pt idx="3">
                  <c:v>0.72198244099516784</c:v>
                </c:pt>
                <c:pt idx="4">
                  <c:v>0.49067523585877765</c:v>
                </c:pt>
                <c:pt idx="5">
                  <c:v>0.33236370799974174</c:v>
                </c:pt>
                <c:pt idx="8">
                  <c:v>0.269940662012365</c:v>
                </c:pt>
                <c:pt idx="9">
                  <c:v>0.37024310108699071</c:v>
                </c:pt>
                <c:pt idx="10">
                  <c:v>0.32666098973626601</c:v>
                </c:pt>
                <c:pt idx="11">
                  <c:v>0.38288813854392989</c:v>
                </c:pt>
                <c:pt idx="13">
                  <c:v>1.0187917505808699</c:v>
                </c:pt>
                <c:pt idx="14">
                  <c:v>0.68591483111751272</c:v>
                </c:pt>
                <c:pt idx="15">
                  <c:v>0.64595928661301927</c:v>
                </c:pt>
                <c:pt idx="16">
                  <c:v>0.26539205378729858</c:v>
                </c:pt>
                <c:pt idx="17">
                  <c:v>0.28667900791014594</c:v>
                </c:pt>
              </c:numCache>
            </c:numRef>
          </c:xVal>
          <c:yVal>
            <c:numRef>
              <c:f>AvgSchemeTest!$AO$5:$AO$23</c:f>
              <c:numCache>
                <c:formatCode>General</c:formatCode>
                <c:ptCount val="19"/>
                <c:pt idx="0">
                  <c:v>0.62813099999999999</c:v>
                </c:pt>
                <c:pt idx="1">
                  <c:v>0.47675999999999996</c:v>
                </c:pt>
                <c:pt idx="2">
                  <c:v>0.35948275000000002</c:v>
                </c:pt>
                <c:pt idx="3">
                  <c:v>1.3489312500000001</c:v>
                </c:pt>
                <c:pt idx="4">
                  <c:v>0.84152399999999994</c:v>
                </c:pt>
                <c:pt idx="5">
                  <c:v>0.58248</c:v>
                </c:pt>
                <c:pt idx="6">
                  <c:v>0.50006000000000006</c:v>
                </c:pt>
                <c:pt idx="7">
                  <c:v>0.38200000000000001</c:v>
                </c:pt>
                <c:pt idx="8">
                  <c:v>0.46085600000000004</c:v>
                </c:pt>
                <c:pt idx="9">
                  <c:v>0.44147999999999998</c:v>
                </c:pt>
                <c:pt idx="10">
                  <c:v>0.37681199999999998</c:v>
                </c:pt>
                <c:pt idx="11">
                  <c:v>0.51364054999999997</c:v>
                </c:pt>
                <c:pt idx="12">
                  <c:v>0.68778329999999999</c:v>
                </c:pt>
                <c:pt idx="13">
                  <c:v>1.1000000000000001</c:v>
                </c:pt>
                <c:pt idx="14">
                  <c:v>0.77032600000000007</c:v>
                </c:pt>
                <c:pt idx="15">
                  <c:v>0.84372400051146534</c:v>
                </c:pt>
                <c:pt idx="16">
                  <c:v>0.20904664500732548</c:v>
                </c:pt>
                <c:pt idx="17">
                  <c:v>0.4953628608812834</c:v>
                </c:pt>
                <c:pt idx="18">
                  <c:v>0.60089999999999999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D5B4-42DC-991E-1AD381BD2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.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_predicted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  <c:majorUnit val="0.2"/>
      </c:valAx>
      <c:valAx>
        <c:axId val="689706896"/>
        <c:scaling>
          <c:orientation val="minMax"/>
          <c:max val="1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  <c:minorUnit val="4.0000000000000008E-2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0.71601650001853678"/>
          <c:y val="0.1836945902595509"/>
          <c:w val="0.28398349998146333"/>
          <c:h val="0.763893263342082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MFP from cat-an</a:t>
            </a:r>
            <a:r>
              <a:rPr lang="en-US" sz="1200" baseline="0"/>
              <a:t> f</a:t>
            </a:r>
            <a:r>
              <a:rPr lang="en-US" sz="1200"/>
              <a:t>irst peak -PDF_T</a:t>
            </a:r>
          </a:p>
        </c:rich>
      </c:tx>
      <c:layout>
        <c:manualLayout>
          <c:xMode val="edge"/>
          <c:yMode val="edge"/>
          <c:x val="0.1239491434630984"/>
          <c:y val="1.910554666529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66593759113446"/>
          <c:y val="5.9523809523809521E-2"/>
          <c:w val="0.56891659375911341"/>
          <c:h val="0.77617745698454343"/>
        </c:manualLayout>
      </c:layout>
      <c:scatterChart>
        <c:scatterStyle val="lineMarker"/>
        <c:varyColors val="0"/>
        <c:ser>
          <c:idx val="4"/>
          <c:order val="0"/>
          <c:tx>
            <c:v>Unary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AvgSchemeTest!$AU$5:$AU$7</c:f>
              <c:numCache>
                <c:formatCode>General</c:formatCode>
                <c:ptCount val="3"/>
                <c:pt idx="0">
                  <c:v>0.37979746319812113</c:v>
                </c:pt>
                <c:pt idx="1">
                  <c:v>0.29184445780135787</c:v>
                </c:pt>
                <c:pt idx="2">
                  <c:v>0.24533629939701559</c:v>
                </c:pt>
              </c:numCache>
            </c:numRef>
          </c:xVal>
          <c:yVal>
            <c:numRef>
              <c:f>AvgSchemeTest!$AP$5:$AP$7</c:f>
              <c:numCache>
                <c:formatCode>General</c:formatCode>
                <c:ptCount val="3"/>
                <c:pt idx="0">
                  <c:v>0.61260000000000003</c:v>
                </c:pt>
                <c:pt idx="1">
                  <c:v>0.46649999999999997</c:v>
                </c:pt>
                <c:pt idx="2">
                  <c:v>0.35505000000000003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B5-4FEC-BEE3-7D53C05846A7}"/>
            </c:ext>
          </c:extLst>
        </c:ser>
        <c:ser>
          <c:idx val="1"/>
          <c:order val="1"/>
          <c:tx>
            <c:v>Unary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AvgSchemeTest!$AU$8:$AU$10</c:f>
              <c:numCache>
                <c:formatCode>General</c:formatCode>
                <c:ptCount val="3"/>
                <c:pt idx="0">
                  <c:v>0.72198244099516784</c:v>
                </c:pt>
                <c:pt idx="1">
                  <c:v>0.49067523585877765</c:v>
                </c:pt>
                <c:pt idx="2">
                  <c:v>0.33236370799974174</c:v>
                </c:pt>
              </c:numCache>
            </c:numRef>
          </c:xVal>
          <c:yVal>
            <c:numRef>
              <c:f>AvgSchemeTest!$AP$8:$AP$10</c:f>
              <c:numCache>
                <c:formatCode>General</c:formatCode>
                <c:ptCount val="3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B5-4FEC-BEE3-7D53C05846A7}"/>
            </c:ext>
          </c:extLst>
        </c:ser>
        <c:ser>
          <c:idx val="7"/>
          <c:order val="2"/>
          <c:tx>
            <c:v>Unary Alkaline Earth Fluorides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AvgSchemeTest!$AU$13:$AU$15</c:f>
              <c:numCache>
                <c:formatCode>General</c:formatCode>
                <c:ptCount val="3"/>
                <c:pt idx="0">
                  <c:v>0.269940662012365</c:v>
                </c:pt>
                <c:pt idx="1">
                  <c:v>0.37024310108699071</c:v>
                </c:pt>
                <c:pt idx="2">
                  <c:v>0.32666098973626601</c:v>
                </c:pt>
              </c:numCache>
            </c:numRef>
          </c:xVal>
          <c:yVal>
            <c:numRef>
              <c:f>AvgSchemeTest!$AP$13:$AP$15</c:f>
              <c:numCache>
                <c:formatCode>General</c:formatCode>
                <c:ptCount val="3"/>
                <c:pt idx="0">
                  <c:v>0.45680000000000004</c:v>
                </c:pt>
                <c:pt idx="1">
                  <c:v>0.44125000000000003</c:v>
                </c:pt>
                <c:pt idx="2">
                  <c:v>0.37705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B5-4FEC-BEE3-7D53C05846A7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0"/>
                  <c:y val="1.860240293244178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FLiBe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55B5-4FEC-BEE3-7D53C05846A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AvgSchemeTest!$AU$18:$AU$20</c:f>
              <c:numCache>
                <c:formatCode>General</c:formatCode>
                <c:ptCount val="3"/>
                <c:pt idx="0">
                  <c:v>1.0187917505808699</c:v>
                </c:pt>
                <c:pt idx="1">
                  <c:v>0.68591483111751272</c:v>
                </c:pt>
                <c:pt idx="2">
                  <c:v>0.64595928661301927</c:v>
                </c:pt>
              </c:numCache>
            </c:numRef>
          </c:xVal>
          <c:yVal>
            <c:numRef>
              <c:f>(AvgSchemeTest!$AP$18,AvgSchemeTest!$AP$19,AvgSchemeTest!$AP$20)</c:f>
              <c:numCache>
                <c:formatCode>General</c:formatCode>
                <c:ptCount val="3"/>
                <c:pt idx="0">
                  <c:v>1.1000000000000001</c:v>
                </c:pt>
                <c:pt idx="1">
                  <c:v>0.84457000000000004</c:v>
                </c:pt>
                <c:pt idx="2">
                  <c:v>0.87448810843065394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5B5-4FEC-BEE3-7D53C05846A7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3676550468129631"/>
                  <c:y val="9.569306767539539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E0BA487-CCDC-4FE7-BE25-673E4F54B5AB}" type="CELLREF">
                      <a:rPr lang="en-US"/>
                      <a:pPr>
                        <a:defRPr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597216460632209"/>
                      <c:h val="0.11182086614173228"/>
                    </c:manualLayout>
                  </c15:layout>
                  <c15:dlblFieldTable>
                    <c15:dlblFTEntry>
                      <c15:txfldGUID>{4E0BA487-CCDC-4FE7-BE25-673E4F54B5AB}</c15:txfldGUID>
                      <c15:f>AvgSchemeTest!$A$21</c15:f>
                      <c15:dlblFieldTableCache>
                        <c:ptCount val="1"/>
                        <c:pt idx="0">
                          <c:v>0.63NaCl-0.37UCl3 (ORNL)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55B5-4FEC-BEE3-7D53C05846A7}"/>
                </c:ext>
              </c:extLst>
            </c:dLbl>
            <c:dLbl>
              <c:idx val="1"/>
              <c:layout>
                <c:manualLayout>
                  <c:x val="4.4468155327250548E-2"/>
                  <c:y val="5.289252718038096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48043BA-4F93-455A-BDFD-BB5447868CFE}" type="CELLREF">
                      <a:rPr lang="en-US"/>
                      <a:pPr>
                        <a:defRPr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342772942855827"/>
                      <c:h val="9.7931758530183724E-2"/>
                    </c:manualLayout>
                  </c15:layout>
                  <c15:dlblFieldTable>
                    <c15:dlblFTEntry>
                      <c15:txfldGUID>{F48043BA-4F93-455A-BDFD-BB5447868CFE}</c15:txfldGUID>
                      <c15:f>AvgSchemeTest!$A$22</c15:f>
                      <c15:dlblFieldTableCache>
                        <c:ptCount val="1"/>
                        <c:pt idx="0">
                          <c:v>0.658NaCl-0.342UCl3 (ANL)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55B5-4FEC-BEE3-7D53C05846A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AvgSchemeTest!$AU$21:$AU$22</c:f>
              <c:numCache>
                <c:formatCode>General</c:formatCode>
                <c:ptCount val="2"/>
                <c:pt idx="0">
                  <c:v>0.26539205378729858</c:v>
                </c:pt>
                <c:pt idx="1">
                  <c:v>0.28667900791014594</c:v>
                </c:pt>
              </c:numCache>
            </c:numRef>
          </c:xVal>
          <c:yVal>
            <c:numRef>
              <c:f>AvgSchemeTest!$AP$21:$AP$22</c:f>
              <c:numCache>
                <c:formatCode>General</c:formatCode>
                <c:ptCount val="2"/>
                <c:pt idx="0">
                  <c:v>0.28277596034850733</c:v>
                </c:pt>
                <c:pt idx="1">
                  <c:v>0.22655673749565519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5B5-4FEC-BEE3-7D53C05846A7}"/>
            </c:ext>
          </c:extLst>
        </c:ser>
        <c:ser>
          <c:idx val="2"/>
          <c:order val="5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AvgSchemeTest!$BE$23</c:f>
              <c:numCache>
                <c:formatCode>0.000000</c:formatCode>
                <c:ptCount val="1"/>
                <c:pt idx="0">
                  <c:v>0.55623382223307438</c:v>
                </c:pt>
              </c:numCache>
            </c:numRef>
          </c:xVal>
          <c:yVal>
            <c:numRef>
              <c:f>AvgSchemeTest!$AP$23</c:f>
              <c:numCache>
                <c:formatCode>General</c:formatCode>
                <c:ptCount val="1"/>
                <c:pt idx="0">
                  <c:v>0.60089999999999999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5B5-4FEC-BEE3-7D53C05846A7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D-55B5-4FEC-BEE3-7D53C05846A7}"/>
            </c:ext>
          </c:extLst>
        </c:ser>
        <c:ser>
          <c:idx val="0"/>
          <c:order val="7"/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0.13917665714604047"/>
                  <c:y val="0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MgCl2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55B5-4FEC-BEE3-7D53C05846A7}"/>
                </c:ext>
              </c:extLst>
            </c:dLbl>
            <c:dLbl>
              <c:idx val="9"/>
              <c:layout>
                <c:manualLayout>
                  <c:x val="1.8955811755716218E-2"/>
                  <c:y val="1.860240293244170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CaCl2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55B5-4FEC-BEE3-7D53C05846A7}"/>
                </c:ext>
              </c:extLst>
            </c:dLbl>
            <c:dLbl>
              <c:idx val="10"/>
              <c:layout>
                <c:manualLayout>
                  <c:x val="1.6049075630110508E-2"/>
                  <c:y val="4.185540659799401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SrCl2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55B5-4FEC-BEE3-7D53C05846A7}"/>
                </c:ext>
              </c:extLst>
            </c:dLbl>
            <c:dLbl>
              <c:idx val="14"/>
              <c:layout>
                <c:manualLayout>
                  <c:x val="-0.13261664098086323"/>
                  <c:y val="-5.115660806421495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FLiNaK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55B5-4FEC-BEE3-7D53C05846A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3285401876446844"/>
                  <c:y val="0.78648762464159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AvgSchemeTest!$AU$5:$AU$23</c:f>
              <c:numCache>
                <c:formatCode>General</c:formatCode>
                <c:ptCount val="19"/>
                <c:pt idx="0">
                  <c:v>0.37979746319812113</c:v>
                </c:pt>
                <c:pt idx="1">
                  <c:v>0.29184445780135787</c:v>
                </c:pt>
                <c:pt idx="2">
                  <c:v>0.24533629939701559</c:v>
                </c:pt>
                <c:pt idx="3">
                  <c:v>0.72198244099516784</c:v>
                </c:pt>
                <c:pt idx="4">
                  <c:v>0.49067523585877765</c:v>
                </c:pt>
                <c:pt idx="5">
                  <c:v>0.33236370799974174</c:v>
                </c:pt>
                <c:pt idx="8">
                  <c:v>0.269940662012365</c:v>
                </c:pt>
                <c:pt idx="9">
                  <c:v>0.37024310108699071</c:v>
                </c:pt>
                <c:pt idx="10">
                  <c:v>0.32666098973626601</c:v>
                </c:pt>
                <c:pt idx="11">
                  <c:v>0.38288813854392989</c:v>
                </c:pt>
                <c:pt idx="13">
                  <c:v>1.0187917505808699</c:v>
                </c:pt>
                <c:pt idx="14">
                  <c:v>0.68591483111751272</c:v>
                </c:pt>
                <c:pt idx="15">
                  <c:v>0.64595928661301927</c:v>
                </c:pt>
                <c:pt idx="16">
                  <c:v>0.26539205378729858</c:v>
                </c:pt>
                <c:pt idx="17">
                  <c:v>0.28667900791014594</c:v>
                </c:pt>
              </c:numCache>
            </c:numRef>
          </c:xVal>
          <c:yVal>
            <c:numRef>
              <c:f>AvgSchemeTest!$AO$5:$AO$23</c:f>
              <c:numCache>
                <c:formatCode>General</c:formatCode>
                <c:ptCount val="19"/>
                <c:pt idx="0">
                  <c:v>0.62813099999999999</c:v>
                </c:pt>
                <c:pt idx="1">
                  <c:v>0.47675999999999996</c:v>
                </c:pt>
                <c:pt idx="2">
                  <c:v>0.35948275000000002</c:v>
                </c:pt>
                <c:pt idx="3">
                  <c:v>1.3489312500000001</c:v>
                </c:pt>
                <c:pt idx="4">
                  <c:v>0.84152399999999994</c:v>
                </c:pt>
                <c:pt idx="5">
                  <c:v>0.58248</c:v>
                </c:pt>
                <c:pt idx="6">
                  <c:v>0.50006000000000006</c:v>
                </c:pt>
                <c:pt idx="7">
                  <c:v>0.38200000000000001</c:v>
                </c:pt>
                <c:pt idx="8">
                  <c:v>0.46085600000000004</c:v>
                </c:pt>
                <c:pt idx="9">
                  <c:v>0.44147999999999998</c:v>
                </c:pt>
                <c:pt idx="10">
                  <c:v>0.37681199999999998</c:v>
                </c:pt>
                <c:pt idx="11">
                  <c:v>0.51364054999999997</c:v>
                </c:pt>
                <c:pt idx="12">
                  <c:v>0.68778329999999999</c:v>
                </c:pt>
                <c:pt idx="13">
                  <c:v>1.1000000000000001</c:v>
                </c:pt>
                <c:pt idx="14">
                  <c:v>0.77032600000000007</c:v>
                </c:pt>
                <c:pt idx="15">
                  <c:v>0.84372400051146534</c:v>
                </c:pt>
                <c:pt idx="16">
                  <c:v>0.20904664500732548</c:v>
                </c:pt>
                <c:pt idx="17">
                  <c:v>0.4953628608812834</c:v>
                </c:pt>
                <c:pt idx="18">
                  <c:v>0.60089999999999999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55B5-4FEC-BEE3-7D53C05846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.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_predicted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  <c:majorUnit val="0.2"/>
      </c:valAx>
      <c:valAx>
        <c:axId val="689706896"/>
        <c:scaling>
          <c:orientation val="minMax"/>
          <c:max val="1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  <c:minorUnit val="4.0000000000000008E-2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0.71601650001853678"/>
          <c:y val="0.1836945902595509"/>
          <c:w val="0.28398349998146333"/>
          <c:h val="0.763893263342082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r_sum,Tm</a:t>
            </a:r>
          </a:p>
        </c:rich>
      </c:tx>
      <c:layout>
        <c:manualLayout>
          <c:xMode val="edge"/>
          <c:yMode val="edge"/>
          <c:x val="0.15342000603067374"/>
          <c:y val="0.117180578777306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66593759113446"/>
          <c:y val="5.9523809523809521E-2"/>
          <c:w val="0.83569225690670212"/>
          <c:h val="0.83243312135767511"/>
        </c:manualLayout>
      </c:layout>
      <c:scatterChart>
        <c:scatterStyle val="lineMarker"/>
        <c:varyColors val="0"/>
        <c:ser>
          <c:idx val="4"/>
          <c:order val="0"/>
          <c:tx>
            <c:strRef>
              <c:f>AvgSchemeTest!$AR$57</c:f>
              <c:strCache>
                <c:ptCount val="1"/>
                <c:pt idx="0">
                  <c:v>Unary Chlorides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AvgSchemeTest!$AT$5:$AT$7</c:f>
              <c:numCache>
                <c:formatCode>General</c:formatCode>
                <c:ptCount val="3"/>
                <c:pt idx="0">
                  <c:v>0.40225025742942672</c:v>
                </c:pt>
                <c:pt idx="1">
                  <c:v>0.30415923375652942</c:v>
                </c:pt>
                <c:pt idx="2">
                  <c:v>0.25593314786786775</c:v>
                </c:pt>
              </c:numCache>
            </c:numRef>
          </c:xVal>
          <c:yVal>
            <c:numRef>
              <c:f>AvgSchemeTest!$AP$5:$AP$7</c:f>
              <c:numCache>
                <c:formatCode>General</c:formatCode>
                <c:ptCount val="3"/>
                <c:pt idx="0">
                  <c:v>0.61260000000000003</c:v>
                </c:pt>
                <c:pt idx="1">
                  <c:v>0.46649999999999997</c:v>
                </c:pt>
                <c:pt idx="2">
                  <c:v>0.35505000000000003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56-4C6E-BFDF-D8C6F95C295A}"/>
            </c:ext>
          </c:extLst>
        </c:ser>
        <c:ser>
          <c:idx val="1"/>
          <c:order val="1"/>
          <c:tx>
            <c:strRef>
              <c:f>AvgSchemeTest!$AR$58</c:f>
              <c:strCache>
                <c:ptCount val="1"/>
                <c:pt idx="0">
                  <c:v>Unary Flourides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AvgSchemeTest!$AT$8:$AT$10</c:f>
              <c:numCache>
                <c:formatCode>General</c:formatCode>
                <c:ptCount val="3"/>
                <c:pt idx="0">
                  <c:v>0.80248523098591562</c:v>
                </c:pt>
                <c:pt idx="1">
                  <c:v>0.53093354166666662</c:v>
                </c:pt>
                <c:pt idx="2">
                  <c:v>0.36108717500000004</c:v>
                </c:pt>
              </c:numCache>
            </c:numRef>
          </c:xVal>
          <c:yVal>
            <c:numRef>
              <c:f>AvgSchemeTest!$AP$8:$AP$10</c:f>
              <c:numCache>
                <c:formatCode>General</c:formatCode>
                <c:ptCount val="3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56-4C6E-BFDF-D8C6F95C295A}"/>
            </c:ext>
          </c:extLst>
        </c:ser>
        <c:ser>
          <c:idx val="7"/>
          <c:order val="2"/>
          <c:tx>
            <c:strRef>
              <c:f>AvgSchemeTest!$AR$59</c:f>
              <c:strCache>
                <c:ptCount val="1"/>
                <c:pt idx="0">
                  <c:v>Unary Alkaline Earth Chlorides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2516289552532384"/>
                  <c:y val="-6.056755208039085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MgCl2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5256-4C6E-BFDF-D8C6F95C295A}"/>
                </c:ext>
              </c:extLst>
            </c:dLbl>
            <c:dLbl>
              <c:idx val="1"/>
              <c:layout>
                <c:manualLayout>
                  <c:x val="4.1720965175107892E-2"/>
                  <c:y val="-9.3180849354447485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CaCl2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5256-4C6E-BFDF-D8C6F95C295A}"/>
                </c:ext>
              </c:extLst>
            </c:dLbl>
            <c:dLbl>
              <c:idx val="2"/>
              <c:layout>
                <c:manualLayout>
                  <c:x val="2.3468042910998171E-2"/>
                  <c:y val="1.397712740316712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SrCl2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5256-4C6E-BFDF-D8C6F95C29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AvgSchemeTest!$AT$13:$AT$15</c:f>
              <c:numCache>
                <c:formatCode>General</c:formatCode>
                <c:ptCount val="3"/>
                <c:pt idx="0">
                  <c:v>0.28861057804145579</c:v>
                </c:pt>
                <c:pt idx="1">
                  <c:v>0.37311089961278132</c:v>
                </c:pt>
                <c:pt idx="2">
                  <c:v>0.33599408249358714</c:v>
                </c:pt>
              </c:numCache>
            </c:numRef>
          </c:xVal>
          <c:yVal>
            <c:numRef>
              <c:f>AvgSchemeTest!$AP$13:$AP$15</c:f>
              <c:numCache>
                <c:formatCode>General</c:formatCode>
                <c:ptCount val="3"/>
                <c:pt idx="0">
                  <c:v>0.45680000000000004</c:v>
                </c:pt>
                <c:pt idx="1">
                  <c:v>0.44125000000000003</c:v>
                </c:pt>
                <c:pt idx="2">
                  <c:v>0.37705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256-4C6E-BFDF-D8C6F95C295A}"/>
            </c:ext>
          </c:extLst>
        </c:ser>
        <c:ser>
          <c:idx val="5"/>
          <c:order val="3"/>
          <c:tx>
            <c:strRef>
              <c:f>AvgSchemeTest!$AR$60</c:f>
              <c:strCache>
                <c:ptCount val="1"/>
                <c:pt idx="0">
                  <c:v>Fluoride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9.5377810768157212E-2"/>
                  <c:y val="4.417320634122921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FLiBe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5256-4C6E-BFDF-D8C6F95C295A}"/>
                </c:ext>
              </c:extLst>
            </c:dLbl>
            <c:dLbl>
              <c:idx val="1"/>
              <c:layout>
                <c:manualLayout>
                  <c:x val="2.8845941404952211E-2"/>
                  <c:y val="2.325300366555223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FLiNaK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5256-4C6E-BFDF-D8C6F95C295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256-4C6E-BFDF-D8C6F95C29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AvgSchemeTest!$AT$18:$AT$20</c:f>
              <c:numCache>
                <c:formatCode>General</c:formatCode>
                <c:ptCount val="3"/>
                <c:pt idx="0">
                  <c:v>0.71488518084414443</c:v>
                </c:pt>
                <c:pt idx="1">
                  <c:v>0.54326858976638281</c:v>
                </c:pt>
                <c:pt idx="2">
                  <c:v>0.7046599791446102</c:v>
                </c:pt>
              </c:numCache>
            </c:numRef>
          </c:xVal>
          <c:yVal>
            <c:numRef>
              <c:f>(AvgSchemeTest!$AP$18,AvgSchemeTest!$AP$19,AvgSchemeTest!$AP$20)</c:f>
              <c:numCache>
                <c:formatCode>General</c:formatCode>
                <c:ptCount val="3"/>
                <c:pt idx="0">
                  <c:v>1.1000000000000001</c:v>
                </c:pt>
                <c:pt idx="1">
                  <c:v>0.84457000000000004</c:v>
                </c:pt>
                <c:pt idx="2">
                  <c:v>0.87448810843065394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256-4C6E-BFDF-D8C6F95C295A}"/>
            </c:ext>
          </c:extLst>
        </c:ser>
        <c:ser>
          <c:idx val="6"/>
          <c:order val="4"/>
          <c:tx>
            <c:strRef>
              <c:f>AvgSchemeTest!$AR$61</c:f>
              <c:strCache>
                <c:ptCount val="1"/>
                <c:pt idx="0">
                  <c:v>Chloride Actinide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2269123071947397"/>
                  <c:y val="-1.646687236037159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NaCl-UCL3 (ORNL 2024)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01613630781726"/>
                      <c:h val="3.2551391211063964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A-5256-4C6E-BFDF-D8C6F95C295A}"/>
                </c:ext>
              </c:extLst>
            </c:dLbl>
            <c:dLbl>
              <c:idx val="1"/>
              <c:layout>
                <c:manualLayout>
                  <c:x val="-9.8979952873202659E-2"/>
                  <c:y val="7.441155009616211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800" b="0" i="0" u="none" strike="noStrike" kern="1200" baseline="0">
                        <a:solidFill>
                          <a:sysClr val="windowText" lastClr="000000">
                            <a:lumMod val="75000"/>
                            <a:lumOff val="25000"/>
                          </a:sysClr>
                        </a:solidFill>
                      </a:rPr>
                      <a:t>NaCl-UCL3 (ANL 2023)</a:t>
                    </a:r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973173836602787"/>
                      <c:h val="4.67902842342298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B-5256-4C6E-BFDF-D8C6F95C29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AvgSchemeTest!$AT$21:$AT$22</c:f>
              <c:numCache>
                <c:formatCode>General</c:formatCode>
                <c:ptCount val="2"/>
                <c:pt idx="0">
                  <c:v>0.30071201279338977</c:v>
                </c:pt>
                <c:pt idx="1">
                  <c:v>0.42874143670882131</c:v>
                </c:pt>
              </c:numCache>
            </c:numRef>
          </c:xVal>
          <c:yVal>
            <c:numRef>
              <c:f>AvgSchemeTest!$AP$21:$AP$22</c:f>
              <c:numCache>
                <c:formatCode>General</c:formatCode>
                <c:ptCount val="2"/>
                <c:pt idx="0">
                  <c:v>0.28277596034850733</c:v>
                </c:pt>
                <c:pt idx="1">
                  <c:v>0.22655673749565519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256-4C6E-BFDF-D8C6F95C295A}"/>
            </c:ext>
          </c:extLst>
        </c:ser>
        <c:ser>
          <c:idx val="2"/>
          <c:order val="5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AvgSchemeTest!$BE$23</c:f>
              <c:numCache>
                <c:formatCode>0.000000</c:formatCode>
                <c:ptCount val="1"/>
                <c:pt idx="0">
                  <c:v>0.55623382223307438</c:v>
                </c:pt>
              </c:numCache>
            </c:numRef>
          </c:xVal>
          <c:yVal>
            <c:numRef>
              <c:f>AvgSchemeTest!$AP$23</c:f>
              <c:numCache>
                <c:formatCode>General</c:formatCode>
                <c:ptCount val="1"/>
                <c:pt idx="0">
                  <c:v>0.60089999999999999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5256-4C6E-BFDF-D8C6F95C295A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2-5256-4C6E-BFDF-D8C6F95C295A}"/>
            </c:ext>
          </c:extLst>
        </c:ser>
        <c:ser>
          <c:idx val="0"/>
          <c:order val="7"/>
          <c:spPr>
            <a:ln w="25400" cap="rnd">
              <a:noFill/>
              <a:round/>
            </a:ln>
            <a:effectLst/>
          </c:spPr>
          <c:marker>
            <c:symbol val="none"/>
          </c:marker>
          <c:xVal>
            <c:numRef>
              <c:f>AvgSchemeTest!$AT$5:$AT$23</c:f>
              <c:numCache>
                <c:formatCode>General</c:formatCode>
                <c:ptCount val="19"/>
                <c:pt idx="0">
                  <c:v>0.40225025742942672</c:v>
                </c:pt>
                <c:pt idx="1">
                  <c:v>0.30415923375652942</c:v>
                </c:pt>
                <c:pt idx="2">
                  <c:v>0.25593314786786775</c:v>
                </c:pt>
                <c:pt idx="3">
                  <c:v>0.80248523098591562</c:v>
                </c:pt>
                <c:pt idx="4">
                  <c:v>0.53093354166666662</c:v>
                </c:pt>
                <c:pt idx="5">
                  <c:v>0.36108717500000004</c:v>
                </c:pt>
                <c:pt idx="6">
                  <c:v>0</c:v>
                </c:pt>
                <c:pt idx="7">
                  <c:v>0</c:v>
                </c:pt>
                <c:pt idx="8">
                  <c:v>0.28861057804145579</c:v>
                </c:pt>
                <c:pt idx="9">
                  <c:v>0.37311089961278132</c:v>
                </c:pt>
                <c:pt idx="10">
                  <c:v>0.33599408249358714</c:v>
                </c:pt>
                <c:pt idx="11">
                  <c:v>0</c:v>
                </c:pt>
                <c:pt idx="12">
                  <c:v>0</c:v>
                </c:pt>
                <c:pt idx="13">
                  <c:v>0.71488518084414443</c:v>
                </c:pt>
                <c:pt idx="14">
                  <c:v>0.54326858976638281</c:v>
                </c:pt>
                <c:pt idx="15">
                  <c:v>0.7046599791446102</c:v>
                </c:pt>
                <c:pt idx="16">
                  <c:v>0.30071201279338977</c:v>
                </c:pt>
                <c:pt idx="17">
                  <c:v>0.42874143670882131</c:v>
                </c:pt>
                <c:pt idx="18">
                  <c:v>0.60645622271550126</c:v>
                </c:pt>
              </c:numCache>
            </c:numRef>
          </c:xVal>
          <c:yVal>
            <c:numRef>
              <c:f>AvgSchemeTest!$AP$5:$AP$23</c:f>
              <c:numCache>
                <c:formatCode>General</c:formatCode>
                <c:ptCount val="19"/>
                <c:pt idx="0">
                  <c:v>0.61260000000000003</c:v>
                </c:pt>
                <c:pt idx="1">
                  <c:v>0.46649999999999997</c:v>
                </c:pt>
                <c:pt idx="2">
                  <c:v>0.35505000000000003</c:v>
                </c:pt>
                <c:pt idx="3">
                  <c:v>1.33125</c:v>
                </c:pt>
                <c:pt idx="4">
                  <c:v>0.82789999999999997</c:v>
                </c:pt>
                <c:pt idx="5">
                  <c:v>0.56999999999999995</c:v>
                </c:pt>
                <c:pt idx="6">
                  <c:v>0.48965000000000003</c:v>
                </c:pt>
                <c:pt idx="7">
                  <c:v>0.36715000000000003</c:v>
                </c:pt>
                <c:pt idx="8">
                  <c:v>0.45680000000000004</c:v>
                </c:pt>
                <c:pt idx="9">
                  <c:v>0.44125000000000003</c:v>
                </c:pt>
                <c:pt idx="10">
                  <c:v>0.37705</c:v>
                </c:pt>
                <c:pt idx="11">
                  <c:v>0.51224999999999998</c:v>
                </c:pt>
                <c:pt idx="12">
                  <c:v>0.40920000000000001</c:v>
                </c:pt>
                <c:pt idx="13">
                  <c:v>1.1000000000000001</c:v>
                </c:pt>
                <c:pt idx="14">
                  <c:v>0.84457000000000004</c:v>
                </c:pt>
                <c:pt idx="15">
                  <c:v>0.87448810843065394</c:v>
                </c:pt>
                <c:pt idx="16">
                  <c:v>0.28277596034850733</c:v>
                </c:pt>
                <c:pt idx="17">
                  <c:v>0.22655673749565519</c:v>
                </c:pt>
                <c:pt idx="18">
                  <c:v>0.60089999999999999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5256-4C6E-BFDF-D8C6F95C2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.4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Predicted </a:t>
                </a: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 [W/m-K]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  <c:majorUnit val="0.2"/>
      </c:valAx>
      <c:valAx>
        <c:axId val="689706896"/>
        <c:scaling>
          <c:orientation val="minMax"/>
          <c:max val="1.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Measured </a:t>
                </a:r>
                <a:r>
                  <a:rPr lang="el-GR" sz="1000" b="0" i="0" u="none" strike="noStrike" baseline="0">
                    <a:effectLst/>
                  </a:rPr>
                  <a:t>λ</a:t>
                </a:r>
                <a:r>
                  <a:rPr lang="en-US" sz="1000" b="0" i="0" u="none" strike="noStrike" baseline="0">
                    <a:effectLst/>
                  </a:rPr>
                  <a:t> [W/m-K]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  <c:minorUnit val="4.0000000000000008E-2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0.66197146494306125"/>
          <c:y val="0.54424246890433059"/>
          <c:w val="0.27876831990781964"/>
          <c:h val="0.329747586280213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r_sum,Tm</a:t>
            </a:r>
          </a:p>
        </c:rich>
      </c:tx>
      <c:layout>
        <c:manualLayout>
          <c:xMode val="edge"/>
          <c:yMode val="edge"/>
          <c:x val="0.15342000603067374"/>
          <c:y val="0.117180578777306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66593759113446"/>
          <c:y val="5.9523809523809521E-2"/>
          <c:w val="0.83569225690670212"/>
          <c:h val="0.83243312135767511"/>
        </c:manualLayout>
      </c:layout>
      <c:scatterChart>
        <c:scatterStyle val="lineMarker"/>
        <c:varyColors val="0"/>
        <c:ser>
          <c:idx val="4"/>
          <c:order val="0"/>
          <c:tx>
            <c:strRef>
              <c:f>AvgSchemeTest!$AR$57</c:f>
              <c:strCache>
                <c:ptCount val="1"/>
                <c:pt idx="0">
                  <c:v>Unary Chlorides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AvgSchemeTest!$AS$5:$AS$7</c:f>
              <c:numCache>
                <c:formatCode>General</c:formatCode>
                <c:ptCount val="3"/>
                <c:pt idx="0">
                  <c:v>0.54897284030784166</c:v>
                </c:pt>
                <c:pt idx="1">
                  <c:v>0.47664358944502805</c:v>
                </c:pt>
                <c:pt idx="2">
                  <c:v>0.40292569836757913</c:v>
                </c:pt>
              </c:numCache>
            </c:numRef>
          </c:xVal>
          <c:yVal>
            <c:numRef>
              <c:f>AvgSchemeTest!$AO$5:$AO$7</c:f>
              <c:numCache>
                <c:formatCode>General</c:formatCode>
                <c:ptCount val="3"/>
                <c:pt idx="0">
                  <c:v>0.62813099999999999</c:v>
                </c:pt>
                <c:pt idx="1">
                  <c:v>0.47675999999999996</c:v>
                </c:pt>
                <c:pt idx="2">
                  <c:v>0.35948275000000002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C6-486E-B8A4-C28B531541BB}"/>
            </c:ext>
          </c:extLst>
        </c:ser>
        <c:ser>
          <c:idx val="1"/>
          <c:order val="1"/>
          <c:tx>
            <c:strRef>
              <c:f>AvgSchemeTest!$AR$58</c:f>
              <c:strCache>
                <c:ptCount val="1"/>
                <c:pt idx="0">
                  <c:v>Unary Flourides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AvgSchemeTest!$AR$8:$AR$10</c:f>
              <c:numCache>
                <c:formatCode>General</c:formatCode>
                <c:ptCount val="3"/>
                <c:pt idx="0">
                  <c:v>0.72198244099516784</c:v>
                </c:pt>
                <c:pt idx="1">
                  <c:v>0.49067523585877765</c:v>
                </c:pt>
                <c:pt idx="2">
                  <c:v>0.33236370799974174</c:v>
                </c:pt>
              </c:numCache>
            </c:numRef>
          </c:xVal>
          <c:yVal>
            <c:numRef>
              <c:f>AvgSchemeTest!$AO$8:$AO$10</c:f>
              <c:numCache>
                <c:formatCode>General</c:formatCode>
                <c:ptCount val="3"/>
                <c:pt idx="0">
                  <c:v>1.3489312500000001</c:v>
                </c:pt>
                <c:pt idx="1">
                  <c:v>0.84152399999999994</c:v>
                </c:pt>
                <c:pt idx="2">
                  <c:v>0.58248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C6-486E-B8A4-C28B531541BB}"/>
            </c:ext>
          </c:extLst>
        </c:ser>
        <c:ser>
          <c:idx val="7"/>
          <c:order val="2"/>
          <c:tx>
            <c:strRef>
              <c:f>AvgSchemeTest!$AR$59</c:f>
              <c:strCache>
                <c:ptCount val="1"/>
                <c:pt idx="0">
                  <c:v>Unary Alkaline Earth Chlorides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2516289552532384"/>
                  <c:y val="-6.056755208039085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MgCl2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44C6-486E-B8A4-C28B531541BB}"/>
                </c:ext>
              </c:extLst>
            </c:dLbl>
            <c:dLbl>
              <c:idx val="1"/>
              <c:layout>
                <c:manualLayout>
                  <c:x val="4.1720965175107892E-2"/>
                  <c:y val="-9.3180849354447485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CaCl2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44C6-486E-B8A4-C28B531541BB}"/>
                </c:ext>
              </c:extLst>
            </c:dLbl>
            <c:dLbl>
              <c:idx val="2"/>
              <c:layout>
                <c:manualLayout>
                  <c:x val="2.3468042910998171E-2"/>
                  <c:y val="1.397712740316712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SrCl2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44C6-486E-B8A4-C28B531541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AvgSchemeTest!$AR$13:$AR$15</c:f>
              <c:numCache>
                <c:formatCode>General</c:formatCode>
                <c:ptCount val="3"/>
                <c:pt idx="0">
                  <c:v>0.269940662012365</c:v>
                </c:pt>
                <c:pt idx="1">
                  <c:v>0.37024310108699071</c:v>
                </c:pt>
                <c:pt idx="2">
                  <c:v>0.32666098973626601</c:v>
                </c:pt>
              </c:numCache>
            </c:numRef>
          </c:xVal>
          <c:yVal>
            <c:numRef>
              <c:f>AvgSchemeTest!$AO$13:$AO$15</c:f>
              <c:numCache>
                <c:formatCode>General</c:formatCode>
                <c:ptCount val="3"/>
                <c:pt idx="0">
                  <c:v>0.46085600000000004</c:v>
                </c:pt>
                <c:pt idx="1">
                  <c:v>0.44147999999999998</c:v>
                </c:pt>
                <c:pt idx="2">
                  <c:v>0.37681199999999998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4C6-486E-B8A4-C28B531541BB}"/>
            </c:ext>
          </c:extLst>
        </c:ser>
        <c:ser>
          <c:idx val="5"/>
          <c:order val="3"/>
          <c:tx>
            <c:strRef>
              <c:f>AvgSchemeTest!$AR$60</c:f>
              <c:strCache>
                <c:ptCount val="1"/>
                <c:pt idx="0">
                  <c:v>Fluoride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9.5377810768157212E-2"/>
                  <c:y val="4.417320634122921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FLiBe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44C6-486E-B8A4-C28B531541BB}"/>
                </c:ext>
              </c:extLst>
            </c:dLbl>
            <c:dLbl>
              <c:idx val="1"/>
              <c:layout>
                <c:manualLayout>
                  <c:x val="2.8845941404952211E-2"/>
                  <c:y val="2.325300366555223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FLiNaK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44C6-486E-B8A4-C28B531541B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4C6-486E-B8A4-C28B531541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AvgSchemeTest!$AR$18:$AR$20</c:f>
              <c:numCache>
                <c:formatCode>General</c:formatCode>
                <c:ptCount val="3"/>
                <c:pt idx="0">
                  <c:v>1.0187917505808699</c:v>
                </c:pt>
                <c:pt idx="1">
                  <c:v>0.68591483111751272</c:v>
                </c:pt>
                <c:pt idx="2">
                  <c:v>0.64595928661301927</c:v>
                </c:pt>
              </c:numCache>
            </c:numRef>
          </c:xVal>
          <c:yVal>
            <c:numRef>
              <c:f>AvgSchemeTest!$AO$18:$AO$20</c:f>
              <c:numCache>
                <c:formatCode>General</c:formatCode>
                <c:ptCount val="3"/>
                <c:pt idx="0">
                  <c:v>1.1000000000000001</c:v>
                </c:pt>
                <c:pt idx="1">
                  <c:v>0.77032600000000007</c:v>
                </c:pt>
                <c:pt idx="2">
                  <c:v>0.84372400051146534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4C6-486E-B8A4-C28B531541BB}"/>
            </c:ext>
          </c:extLst>
        </c:ser>
        <c:ser>
          <c:idx val="6"/>
          <c:order val="4"/>
          <c:tx>
            <c:strRef>
              <c:f>AvgSchemeTest!$AR$61</c:f>
              <c:strCache>
                <c:ptCount val="1"/>
                <c:pt idx="0">
                  <c:v>Chloride Actinide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2269123071947397"/>
                  <c:y val="-1.646687236037159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NaCl-UCL3 (ORNL 2024)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01613630781726"/>
                      <c:h val="3.2551391211063964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A-44C6-486E-B8A4-C28B531541BB}"/>
                </c:ext>
              </c:extLst>
            </c:dLbl>
            <c:dLbl>
              <c:idx val="1"/>
              <c:layout>
                <c:manualLayout>
                  <c:x val="-9.8979952873202659E-2"/>
                  <c:y val="7.441155009616211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800" b="0" i="0" u="none" strike="noStrike" kern="1200" baseline="0">
                        <a:solidFill>
                          <a:sysClr val="windowText" lastClr="000000">
                            <a:lumMod val="75000"/>
                            <a:lumOff val="25000"/>
                          </a:sysClr>
                        </a:solidFill>
                      </a:rPr>
                      <a:t>NaCl-UCL3 (ANL 2023)</a:t>
                    </a:r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973173836602787"/>
                      <c:h val="4.67902842342298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B-44C6-486E-B8A4-C28B531541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AvgSchemeTest!$AS$21:$AS$22</c:f>
              <c:numCache>
                <c:formatCode>General</c:formatCode>
                <c:ptCount val="2"/>
                <c:pt idx="0">
                  <c:v>0.30071201279338977</c:v>
                </c:pt>
                <c:pt idx="1">
                  <c:v>0.42874143670882131</c:v>
                </c:pt>
              </c:numCache>
            </c:numRef>
          </c:xVal>
          <c:yVal>
            <c:numRef>
              <c:f>AvgSchemeTest!$AO$21:$AO$22</c:f>
              <c:numCache>
                <c:formatCode>General</c:formatCode>
                <c:ptCount val="2"/>
                <c:pt idx="0">
                  <c:v>0.20904664500732548</c:v>
                </c:pt>
                <c:pt idx="1">
                  <c:v>0.4953628608812834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44C6-486E-B8A4-C28B531541BB}"/>
            </c:ext>
          </c:extLst>
        </c:ser>
        <c:ser>
          <c:idx val="2"/>
          <c:order val="5"/>
          <c:tx>
            <c:strRef>
              <c:f>AvgSchemeTest!$AR$62</c:f>
              <c:strCache>
                <c:ptCount val="1"/>
                <c:pt idx="0">
                  <c:v>Water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AvgSchemeTest!$AS$23</c:f>
              <c:numCache>
                <c:formatCode>General</c:formatCode>
                <c:ptCount val="1"/>
                <c:pt idx="0">
                  <c:v>0.60645622271550126</c:v>
                </c:pt>
              </c:numCache>
            </c:numRef>
          </c:xVal>
          <c:yVal>
            <c:numRef>
              <c:f>AvgSchemeTest!$AO$23</c:f>
              <c:numCache>
                <c:formatCode>General</c:formatCode>
                <c:ptCount val="1"/>
                <c:pt idx="0">
                  <c:v>0.60089999999999999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44C6-486E-B8A4-C28B531541BB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2-44C6-486E-B8A4-C28B53154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.4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Predicted </a:t>
                </a: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 [W/m-K]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  <c:majorUnit val="0.2"/>
      </c:valAx>
      <c:valAx>
        <c:axId val="689706896"/>
        <c:scaling>
          <c:orientation val="minMax"/>
          <c:max val="1.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Measured </a:t>
                </a:r>
                <a:r>
                  <a:rPr lang="el-GR" sz="1000" b="0" i="0" u="none" strike="noStrike" baseline="0">
                    <a:effectLst/>
                  </a:rPr>
                  <a:t>λ</a:t>
                </a:r>
                <a:r>
                  <a:rPr lang="en-US" sz="1000" b="0" i="0" u="none" strike="noStrike" baseline="0">
                    <a:effectLst/>
                  </a:rPr>
                  <a:t> [W/m-K]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  <c:minorUnit val="4.0000000000000008E-2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66197146494306125"/>
          <c:y val="0.54424246890433059"/>
          <c:w val="0.27876831990781964"/>
          <c:h val="0.329747586280213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PDF-distributed MFP at Stand. T (1200K)</a:t>
            </a:r>
          </a:p>
        </c:rich>
      </c:tx>
      <c:layout>
        <c:manualLayout>
          <c:xMode val="edge"/>
          <c:yMode val="edge"/>
          <c:x val="0.15342000603067374"/>
          <c:y val="0.117180578777306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66593759113446"/>
          <c:y val="5.9523809523809521E-2"/>
          <c:w val="0.83569225690670212"/>
          <c:h val="0.83243312135767511"/>
        </c:manualLayout>
      </c:layout>
      <c:scatterChart>
        <c:scatterStyle val="lineMarker"/>
        <c:varyColors val="0"/>
        <c:ser>
          <c:idx val="4"/>
          <c:order val="0"/>
          <c:tx>
            <c:strRef>
              <c:f>AvgSchemeTest!$AR$57</c:f>
              <c:strCache>
                <c:ptCount val="1"/>
                <c:pt idx="0">
                  <c:v>Unary Chlorides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AvgSchemeTest!$AW$5:$AW$7</c:f>
              <c:numCache>
                <c:formatCode>General</c:formatCode>
                <c:ptCount val="3"/>
                <c:pt idx="0">
                  <c:v>0.467412663978306</c:v>
                </c:pt>
                <c:pt idx="1">
                  <c:v>0.346144472817148</c:v>
                </c:pt>
                <c:pt idx="2">
                  <c:v>0.28781059971565698</c:v>
                </c:pt>
              </c:numCache>
            </c:numRef>
          </c:xVal>
          <c:yVal>
            <c:numRef>
              <c:f>AvgSchemeTest!$AN$5:$AN$7</c:f>
              <c:numCache>
                <c:formatCode>General</c:formatCode>
                <c:ptCount val="3"/>
                <c:pt idx="0">
                  <c:v>0.52831099999999998</c:v>
                </c:pt>
                <c:pt idx="1">
                  <c:v>0.45410699999999998</c:v>
                </c:pt>
                <c:pt idx="2">
                  <c:v>0.34613775000000002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8C-4335-AAE8-F07F181CB1C8}"/>
            </c:ext>
          </c:extLst>
        </c:ser>
        <c:ser>
          <c:idx val="1"/>
          <c:order val="1"/>
          <c:tx>
            <c:strRef>
              <c:f>AvgSchemeTest!$AR$58</c:f>
              <c:strCache>
                <c:ptCount val="1"/>
                <c:pt idx="0">
                  <c:v>Unary Flourides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AvgSchemeTest!$AW$8:$AW$10</c:f>
              <c:numCache>
                <c:formatCode>General</c:formatCode>
                <c:ptCount val="3"/>
                <c:pt idx="0">
                  <c:v>0.90368250947301099</c:v>
                </c:pt>
                <c:pt idx="1">
                  <c:v>0.59812175800891498</c:v>
                </c:pt>
                <c:pt idx="2">
                  <c:v>0.40376310518547798</c:v>
                </c:pt>
              </c:numCache>
            </c:numRef>
          </c:xVal>
          <c:yVal>
            <c:numRef>
              <c:f>AvgSchemeTest!$AN$8:$AN$10</c:f>
              <c:numCache>
                <c:formatCode>General</c:formatCode>
                <c:ptCount val="3"/>
                <c:pt idx="0">
                  <c:v>1.3193062500000001</c:v>
                </c:pt>
                <c:pt idx="1">
                  <c:v>0.85885529999999999</c:v>
                </c:pt>
                <c:pt idx="2">
                  <c:v>0.56457899999999994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8C-4335-AAE8-F07F181CB1C8}"/>
            </c:ext>
          </c:extLst>
        </c:ser>
        <c:ser>
          <c:idx val="7"/>
          <c:order val="2"/>
          <c:tx>
            <c:strRef>
              <c:f>AvgSchemeTest!$AR$59</c:f>
              <c:strCache>
                <c:ptCount val="1"/>
                <c:pt idx="0">
                  <c:v>Unary Alkaline Earth Chlorides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2516289552532384"/>
                  <c:y val="-6.056755208039085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MgCl2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B48C-4335-AAE8-F07F181CB1C8}"/>
                </c:ext>
              </c:extLst>
            </c:dLbl>
            <c:dLbl>
              <c:idx val="1"/>
              <c:layout>
                <c:manualLayout>
                  <c:x val="4.1720965175107892E-2"/>
                  <c:y val="-9.3180849354447485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CaCl2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B48C-4335-AAE8-F07F181CB1C8}"/>
                </c:ext>
              </c:extLst>
            </c:dLbl>
            <c:dLbl>
              <c:idx val="2"/>
              <c:layout>
                <c:manualLayout>
                  <c:x val="2.3468042910998171E-2"/>
                  <c:y val="1.397712740316712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SrCl2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B48C-4335-AAE8-F07F181CB1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AvgSchemeTest!$AW$13:$AW$15</c:f>
              <c:numCache>
                <c:formatCode>General</c:formatCode>
                <c:ptCount val="3"/>
                <c:pt idx="0">
                  <c:v>0.33370075449931302</c:v>
                </c:pt>
                <c:pt idx="1">
                  <c:v>0.40039499504213499</c:v>
                </c:pt>
                <c:pt idx="2">
                  <c:v>0.36759447686851399</c:v>
                </c:pt>
              </c:numCache>
            </c:numRef>
          </c:xVal>
          <c:yVal>
            <c:numRef>
              <c:f>AvgSchemeTest!$AN$13:$AN$15</c:f>
              <c:numCache>
                <c:formatCode>General</c:formatCode>
                <c:ptCount val="3"/>
                <c:pt idx="0">
                  <c:v>0.43984800000000002</c:v>
                </c:pt>
                <c:pt idx="1">
                  <c:v>0.42917500000000003</c:v>
                </c:pt>
                <c:pt idx="2">
                  <c:v>0.37657400000000002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48C-4335-AAE8-F07F181CB1C8}"/>
            </c:ext>
          </c:extLst>
        </c:ser>
        <c:ser>
          <c:idx val="5"/>
          <c:order val="3"/>
          <c:tx>
            <c:strRef>
              <c:f>AvgSchemeTest!$AR$60</c:f>
              <c:strCache>
                <c:ptCount val="1"/>
                <c:pt idx="0">
                  <c:v>Fluoride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9.5377810768157212E-2"/>
                  <c:y val="4.417320634122921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FLiBe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B48C-4335-AAE8-F07F181CB1C8}"/>
                </c:ext>
              </c:extLst>
            </c:dLbl>
            <c:dLbl>
              <c:idx val="1"/>
              <c:layout>
                <c:manualLayout>
                  <c:x val="2.8845941404952211E-2"/>
                  <c:y val="2.325300366555223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FLiNaK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B48C-4335-AAE8-F07F181CB1C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48C-4335-AAE8-F07F181CB1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AvgSchemeTest!$AW$18:$AW$20</c:f>
              <c:numCache>
                <c:formatCode>General</c:formatCode>
                <c:ptCount val="3"/>
                <c:pt idx="0">
                  <c:v>1.28305844543897</c:v>
                </c:pt>
                <c:pt idx="1">
                  <c:v>0.85046707066330796</c:v>
                </c:pt>
                <c:pt idx="2">
                  <c:v>0.73223097949286997</c:v>
                </c:pt>
              </c:numCache>
            </c:numRef>
          </c:xVal>
          <c:yVal>
            <c:numRef>
              <c:f>AvgSchemeTest!$AN$18:$AN$20</c:f>
              <c:numCache>
                <c:formatCode>General</c:formatCode>
                <c:ptCount val="3"/>
                <c:pt idx="0">
                  <c:v>1.1000000000000001</c:v>
                </c:pt>
                <c:pt idx="1">
                  <c:v>0.59440000000000004</c:v>
                </c:pt>
                <c:pt idx="2">
                  <c:v>0.72012307134941578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48C-4335-AAE8-F07F181CB1C8}"/>
            </c:ext>
          </c:extLst>
        </c:ser>
        <c:ser>
          <c:idx val="6"/>
          <c:order val="4"/>
          <c:tx>
            <c:strRef>
              <c:f>AvgSchemeTest!$AR$61</c:f>
              <c:strCache>
                <c:ptCount val="1"/>
                <c:pt idx="0">
                  <c:v>Chloride Actinide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2269123071947397"/>
                  <c:y val="-1.646687236037159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NaCl-UCL3 (ORNL 2024)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01613630781726"/>
                      <c:h val="3.2551391211063964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A-B48C-4335-AAE8-F07F181CB1C8}"/>
                </c:ext>
              </c:extLst>
            </c:dLbl>
            <c:dLbl>
              <c:idx val="1"/>
              <c:layout>
                <c:manualLayout>
                  <c:x val="-9.8979952873202659E-2"/>
                  <c:y val="7.441155009616211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800" b="0" i="0" u="none" strike="noStrike" kern="1200" baseline="0">
                        <a:solidFill>
                          <a:sysClr val="windowText" lastClr="000000">
                            <a:lumMod val="75000"/>
                            <a:lumOff val="25000"/>
                          </a:sysClr>
                        </a:solidFill>
                      </a:rPr>
                      <a:t>NaCl-UCL3 (ANL 2023)</a:t>
                    </a:r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973173836602787"/>
                      <c:h val="4.67902842342298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B-B48C-4335-AAE8-F07F181CB1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AvgSchemeTest!$AW$21:$AW$22</c:f>
              <c:numCache>
                <c:formatCode>General</c:formatCode>
                <c:ptCount val="2"/>
                <c:pt idx="0">
                  <c:v>0.29301529878909899</c:v>
                </c:pt>
                <c:pt idx="1">
                  <c:v>0.316517898560285</c:v>
                </c:pt>
              </c:numCache>
            </c:numRef>
          </c:xVal>
          <c:yVal>
            <c:numRef>
              <c:f>AvgSchemeTest!$AN$21:$AN$22</c:f>
              <c:numCache>
                <c:formatCode>General</c:formatCode>
                <c:ptCount val="2"/>
                <c:pt idx="0">
                  <c:v>0.21695751575208747</c:v>
                </c:pt>
                <c:pt idx="1">
                  <c:v>0.46652100214891984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B48C-4335-AAE8-F07F181CB1C8}"/>
            </c:ext>
          </c:extLst>
        </c:ser>
        <c:ser>
          <c:idx val="2"/>
          <c:order val="5"/>
          <c:tx>
            <c:strRef>
              <c:f>AvgSchemeTest!$AR$62</c:f>
              <c:strCache>
                <c:ptCount val="1"/>
                <c:pt idx="0">
                  <c:v>Water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AvgSchemeTest!$BE$23</c:f>
              <c:numCache>
                <c:formatCode>0.000000</c:formatCode>
                <c:ptCount val="1"/>
                <c:pt idx="0">
                  <c:v>0.55623382223307438</c:v>
                </c:pt>
              </c:numCache>
            </c:numRef>
          </c:xVal>
          <c:yVal>
            <c:numRef>
              <c:f>AvgSchemeTest!$AP$23</c:f>
              <c:numCache>
                <c:formatCode>General</c:formatCode>
                <c:ptCount val="1"/>
                <c:pt idx="0">
                  <c:v>0.60089999999999999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B48C-4335-AAE8-F07F181CB1C8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2-B48C-4335-AAE8-F07F181CB1C8}"/>
            </c:ext>
          </c:extLst>
        </c:ser>
        <c:ser>
          <c:idx val="0"/>
          <c:order val="7"/>
          <c:spPr>
            <a:ln w="25400" cap="rnd">
              <a:noFill/>
              <a:round/>
            </a:ln>
            <a:effectLst/>
          </c:spPr>
          <c:marker>
            <c:symbol val="none"/>
          </c:marker>
          <c:xVal>
            <c:numRef>
              <c:f>AvgSchemeTest!$AW$5:$AW$23</c:f>
              <c:numCache>
                <c:formatCode>General</c:formatCode>
                <c:ptCount val="19"/>
                <c:pt idx="0">
                  <c:v>0.467412663978306</c:v>
                </c:pt>
                <c:pt idx="1">
                  <c:v>0.346144472817148</c:v>
                </c:pt>
                <c:pt idx="2">
                  <c:v>0.28781059971565698</c:v>
                </c:pt>
                <c:pt idx="3">
                  <c:v>0.90368250947301099</c:v>
                </c:pt>
                <c:pt idx="4">
                  <c:v>0.59812175800891498</c:v>
                </c:pt>
                <c:pt idx="5">
                  <c:v>0.40376310518547798</c:v>
                </c:pt>
                <c:pt idx="8">
                  <c:v>0.33370075449931302</c:v>
                </c:pt>
                <c:pt idx="9">
                  <c:v>0.40039499504213499</c:v>
                </c:pt>
                <c:pt idx="10">
                  <c:v>0.36759447686851399</c:v>
                </c:pt>
                <c:pt idx="11">
                  <c:v>0.54571904518309799</c:v>
                </c:pt>
                <c:pt idx="13">
                  <c:v>1.28305844543897</c:v>
                </c:pt>
                <c:pt idx="14">
                  <c:v>0.85046707066330796</c:v>
                </c:pt>
                <c:pt idx="15">
                  <c:v>0.73223097949286997</c:v>
                </c:pt>
                <c:pt idx="16">
                  <c:v>0.29301529878909899</c:v>
                </c:pt>
                <c:pt idx="17">
                  <c:v>0.316517898560285</c:v>
                </c:pt>
              </c:numCache>
            </c:numRef>
          </c:xVal>
          <c:yVal>
            <c:numRef>
              <c:f>AvgSchemeTest!$AN$5:$AN$23</c:f>
              <c:numCache>
                <c:formatCode>General</c:formatCode>
                <c:ptCount val="19"/>
                <c:pt idx="0">
                  <c:v>0.52831099999999998</c:v>
                </c:pt>
                <c:pt idx="1">
                  <c:v>0.45410699999999998</c:v>
                </c:pt>
                <c:pt idx="2">
                  <c:v>0.34613775000000002</c:v>
                </c:pt>
                <c:pt idx="3">
                  <c:v>1.3193062500000001</c:v>
                </c:pt>
                <c:pt idx="4">
                  <c:v>0.85885529999999999</c:v>
                </c:pt>
                <c:pt idx="5">
                  <c:v>0.56457899999999994</c:v>
                </c:pt>
                <c:pt idx="6">
                  <c:v>0.45430805000000002</c:v>
                </c:pt>
                <c:pt idx="7">
                  <c:v>0.30927955000000001</c:v>
                </c:pt>
                <c:pt idx="8">
                  <c:v>0.43984800000000002</c:v>
                </c:pt>
                <c:pt idx="9">
                  <c:v>0.42917500000000003</c:v>
                </c:pt>
                <c:pt idx="10">
                  <c:v>0.37657400000000002</c:v>
                </c:pt>
                <c:pt idx="11">
                  <c:v>0.43459154999999999</c:v>
                </c:pt>
                <c:pt idx="12">
                  <c:v>0.1813833</c:v>
                </c:pt>
                <c:pt idx="13">
                  <c:v>1.1000000000000001</c:v>
                </c:pt>
                <c:pt idx="14">
                  <c:v>0.59440000000000004</c:v>
                </c:pt>
                <c:pt idx="15">
                  <c:v>0.72012307134941578</c:v>
                </c:pt>
                <c:pt idx="16">
                  <c:v>0.21695751575208747</c:v>
                </c:pt>
                <c:pt idx="17">
                  <c:v>0.46652100214891984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B48C-4335-AAE8-F07F181CB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.4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Predicted </a:t>
                </a: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 [W/m-K]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  <c:majorUnit val="0.2"/>
      </c:valAx>
      <c:valAx>
        <c:axId val="689706896"/>
        <c:scaling>
          <c:orientation val="minMax"/>
          <c:max val="1.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Measured </a:t>
                </a:r>
                <a:r>
                  <a:rPr lang="el-GR" sz="1000" b="0" i="0" u="none" strike="noStrike" baseline="0">
                    <a:effectLst/>
                  </a:rPr>
                  <a:t>λ</a:t>
                </a:r>
                <a:r>
                  <a:rPr lang="en-US" sz="1000" b="0" i="0" u="none" strike="noStrike" baseline="0">
                    <a:effectLst/>
                  </a:rPr>
                  <a:t> [W/m-K]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  <c:minorUnit val="4.0000000000000008E-2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0.66197146494306125"/>
          <c:y val="0.54424246890433059"/>
          <c:w val="0.27876831990781964"/>
          <c:h val="0.329747586280213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371396660523816"/>
          <c:y val="5.9523809523809521E-2"/>
          <c:w val="0.53212285698330264"/>
          <c:h val="0.76722215885313605"/>
        </c:manualLayout>
      </c:layout>
      <c:scatterChart>
        <c:scatterStyle val="lineMarker"/>
        <c:varyColors val="0"/>
        <c:ser>
          <c:idx val="4"/>
          <c:order val="0"/>
          <c:tx>
            <c:strRef>
              <c:f>AvgSchemeTest!$AR$57</c:f>
              <c:strCache>
                <c:ptCount val="1"/>
                <c:pt idx="0">
                  <c:v>Unary Chlorides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AvgSchemeTest!$BA$5:$BA$7</c:f>
              <c:numCache>
                <c:formatCode>0.000000</c:formatCode>
                <c:ptCount val="3"/>
                <c:pt idx="0">
                  <c:v>2730.933113092186</c:v>
                </c:pt>
                <c:pt idx="1">
                  <c:v>2396.5316359622593</c:v>
                </c:pt>
                <c:pt idx="2">
                  <c:v>2016.0168340277282</c:v>
                </c:pt>
              </c:numCache>
            </c:numRef>
          </c:xVal>
          <c:yVal>
            <c:numRef>
              <c:f>AvgSchemeTest!$BV$5:$BV$7</c:f>
              <c:numCache>
                <c:formatCode>0.0000E+00</c:formatCode>
                <c:ptCount val="3"/>
                <c:pt idx="0">
                  <c:v>2042.3974499999999</c:v>
                </c:pt>
                <c:pt idx="1">
                  <c:v>1743.6799999999998</c:v>
                </c:pt>
                <c:pt idx="2">
                  <c:v>1597.1839999999997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82-4F4C-B50B-8CE896DF3745}"/>
            </c:ext>
          </c:extLst>
        </c:ser>
        <c:ser>
          <c:idx val="1"/>
          <c:order val="1"/>
          <c:tx>
            <c:strRef>
              <c:f>AvgSchemeTest!$AR$58</c:f>
              <c:strCache>
                <c:ptCount val="1"/>
                <c:pt idx="0">
                  <c:v>Unary Flourides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AvgSchemeTest!$BA$8:$BA$10</c:f>
              <c:numCache>
                <c:formatCode>0.000000</c:formatCode>
                <c:ptCount val="3"/>
                <c:pt idx="0">
                  <c:v>3750.7371436729086</c:v>
                </c:pt>
                <c:pt idx="1">
                  <c:v>2884.1964549932036</c:v>
                </c:pt>
                <c:pt idx="2">
                  <c:v>2585.62168847778</c:v>
                </c:pt>
              </c:numCache>
            </c:numRef>
          </c:xVal>
          <c:yVal>
            <c:numRef>
              <c:f>AvgSchemeTest!$BV$8:$BV$10</c:f>
              <c:numCache>
                <c:formatCode>0.0000E+00</c:formatCode>
                <c:ptCount val="3"/>
                <c:pt idx="0">
                  <c:v>2547.8000000000002</c:v>
                </c:pt>
                <c:pt idx="1">
                  <c:v>2085.5</c:v>
                </c:pt>
                <c:pt idx="2">
                  <c:v>1816.4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82-4F4C-B50B-8CE896DF3745}"/>
            </c:ext>
          </c:extLst>
        </c:ser>
        <c:ser>
          <c:idx val="7"/>
          <c:order val="2"/>
          <c:tx>
            <c:strRef>
              <c:f>AvgSchemeTest!$AR$59</c:f>
              <c:strCache>
                <c:ptCount val="1"/>
                <c:pt idx="0">
                  <c:v>Unary Alkaline Earth Chlorides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2516289552532384"/>
                  <c:y val="-6.056755208039085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MgCl2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5F82-4F4C-B50B-8CE896DF3745}"/>
                </c:ext>
              </c:extLst>
            </c:dLbl>
            <c:dLbl>
              <c:idx val="1"/>
              <c:layout>
                <c:manualLayout>
                  <c:x val="4.1720965175107892E-2"/>
                  <c:y val="-9.3180849354447485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CaCl2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5F82-4F4C-B50B-8CE896DF3745}"/>
                </c:ext>
              </c:extLst>
            </c:dLbl>
            <c:dLbl>
              <c:idx val="2"/>
              <c:layout>
                <c:manualLayout>
                  <c:x val="2.3468042910998171E-2"/>
                  <c:y val="1.397712740316712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SrCl2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5F82-4F4C-B50B-8CE896DF37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AvgSchemeTest!$BA$13:$BA$15</c:f>
              <c:numCache>
                <c:formatCode>0.000000</c:formatCode>
                <c:ptCount val="3"/>
                <c:pt idx="0">
                  <c:v>2876.0402458184271</c:v>
                </c:pt>
                <c:pt idx="1">
                  <c:v>2275.7389547392108</c:v>
                </c:pt>
                <c:pt idx="2">
                  <c:v>1921.311964522863</c:v>
                </c:pt>
              </c:numCache>
            </c:numRef>
          </c:xVal>
          <c:yVal>
            <c:numRef>
              <c:f>AvgSchemeTest!$BV$13:$BV$15</c:f>
              <c:numCache>
                <c:formatCode>0.0000E+00</c:formatCode>
                <c:ptCount val="3"/>
                <c:pt idx="0">
                  <c:v>2101</c:v>
                </c:pt>
                <c:pt idx="1">
                  <c:v>2065.0300000000002</c:v>
                </c:pt>
                <c:pt idx="2">
                  <c:v>1873.13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F82-4F4C-B50B-8CE896DF3745}"/>
            </c:ext>
          </c:extLst>
        </c:ser>
        <c:ser>
          <c:idx val="5"/>
          <c:order val="3"/>
          <c:tx>
            <c:strRef>
              <c:f>AvgSchemeTest!$AR$60</c:f>
              <c:strCache>
                <c:ptCount val="1"/>
                <c:pt idx="0">
                  <c:v>Fluoride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9.5377810768157212E-2"/>
                  <c:y val="4.417320634122921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FLiBe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5F82-4F4C-B50B-8CE896DF3745}"/>
                </c:ext>
              </c:extLst>
            </c:dLbl>
            <c:dLbl>
              <c:idx val="1"/>
              <c:layout>
                <c:manualLayout>
                  <c:x val="2.8845941404952211E-2"/>
                  <c:y val="2.325300366555223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FLiNaK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5F82-4F4C-B50B-8CE896DF374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F82-4F4C-B50B-8CE896DF37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AvgSchemeTest!$BA$18:$BA$20</c:f>
              <c:numCache>
                <c:formatCode>0.000000</c:formatCode>
                <c:ptCount val="3"/>
                <c:pt idx="0">
                  <c:v>3650.7198447687724</c:v>
                </c:pt>
                <c:pt idx="1">
                  <c:v>2843.4572144367976</c:v>
                </c:pt>
                <c:pt idx="2">
                  <c:v>2883.3275742423598</c:v>
                </c:pt>
              </c:numCache>
            </c:numRef>
          </c:xVal>
          <c:yVal>
            <c:numRef>
              <c:f>AvgSchemeTest!$BV$18:$BV$20</c:f>
              <c:numCache>
                <c:formatCode>0.0000E+00</c:formatCode>
                <c:ptCount val="3"/>
                <c:pt idx="0">
                  <c:v>2547.6863757231322</c:v>
                </c:pt>
                <c:pt idx="1">
                  <c:v>2012.468707779205</c:v>
                </c:pt>
                <c:pt idx="2">
                  <c:v>2298.228366828082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F82-4F4C-B50B-8CE896DF3745}"/>
            </c:ext>
          </c:extLst>
        </c:ser>
        <c:ser>
          <c:idx val="6"/>
          <c:order val="4"/>
          <c:tx>
            <c:strRef>
              <c:f>AvgSchemeTest!$AR$61</c:f>
              <c:strCache>
                <c:ptCount val="1"/>
                <c:pt idx="0">
                  <c:v>Chloride Actinide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2269123071947397"/>
                  <c:y val="-1.646687236037159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NaCl-UCL3 (ORNL 2024)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01613630781726"/>
                      <c:h val="3.2551391211063964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A-5F82-4F4C-B50B-8CE896DF3745}"/>
                </c:ext>
              </c:extLst>
            </c:dLbl>
            <c:dLbl>
              <c:idx val="1"/>
              <c:layout>
                <c:manualLayout>
                  <c:x val="-9.8979952873202659E-2"/>
                  <c:y val="7.441155009616211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800" b="0" i="0" u="none" strike="noStrike" kern="1200" baseline="0">
                        <a:solidFill>
                          <a:sysClr val="windowText" lastClr="000000">
                            <a:lumMod val="75000"/>
                            <a:lumOff val="25000"/>
                          </a:sysClr>
                        </a:solidFill>
                      </a:rPr>
                      <a:t>NaCl-UCL3 (ANL 2023)</a:t>
                    </a:r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973173836602787"/>
                      <c:h val="4.67902842342298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B-5F82-4F4C-B50B-8CE896DF37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AvgSchemeTest!$BA$21:$BA$22</c:f>
              <c:numCache>
                <c:formatCode>0.000000</c:formatCode>
                <c:ptCount val="2"/>
                <c:pt idx="0">
                  <c:v>1308.3840647451955</c:v>
                </c:pt>
                <c:pt idx="1">
                  <c:v>1051.4634987462646</c:v>
                </c:pt>
              </c:numCache>
            </c:numRef>
          </c:xVal>
          <c:yVal>
            <c:numRef>
              <c:f>AvgSchemeTest!$BV$21:$BV$22</c:f>
              <c:numCache>
                <c:formatCode>0.0000E+00</c:formatCode>
                <c:ptCount val="2"/>
                <c:pt idx="0">
                  <c:v>1451.7494609289899</c:v>
                </c:pt>
                <c:pt idx="1">
                  <c:v>1470.4555590061771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F82-4F4C-B50B-8CE896DF3745}"/>
            </c:ext>
          </c:extLst>
        </c:ser>
        <c:ser>
          <c:idx val="2"/>
          <c:order val="5"/>
          <c:tx>
            <c:strRef>
              <c:f>AvgSchemeTest!$AR$62</c:f>
              <c:strCache>
                <c:ptCount val="1"/>
                <c:pt idx="0">
                  <c:v>Water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AvgSchemeTest!$Y$23</c:f>
              <c:numCache>
                <c:formatCode>General</c:formatCode>
                <c:ptCount val="1"/>
                <c:pt idx="0">
                  <c:v>1403</c:v>
                </c:pt>
              </c:numCache>
            </c:numRef>
          </c:xVal>
          <c:yVal>
            <c:numRef>
              <c:f>AvgSchemeTest!$BV$23</c:f>
              <c:numCache>
                <c:formatCode>0.0000E+00</c:formatCode>
                <c:ptCount val="1"/>
                <c:pt idx="0">
                  <c:v>1403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5F82-4F4C-B50B-8CE896DF3745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4000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4000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2-5F82-4F4C-B50B-8CE896DF3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BC v [m/s]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Measured v [m/s]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68750343441112416"/>
          <c:y val="0.32003871005016898"/>
          <c:w val="0.29862645892667672"/>
          <c:h val="0.52541638982240235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21148316941633"/>
          <c:y val="7.2567246639080221E-2"/>
          <c:w val="0.54187396807420884"/>
          <c:h val="0.76722215885313605"/>
        </c:manualLayout>
      </c:layout>
      <c:scatterChart>
        <c:scatterStyle val="lineMarker"/>
        <c:varyColors val="0"/>
        <c:ser>
          <c:idx val="4"/>
          <c:order val="0"/>
          <c:tx>
            <c:strRef>
              <c:f>AvgSchemeTest!$AR$57</c:f>
              <c:strCache>
                <c:ptCount val="1"/>
                <c:pt idx="0">
                  <c:v>Unary Chlorides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AvgSchemeTest!$BB$5:$BB$7</c:f>
              <c:numCache>
                <c:formatCode>0.00E+00</c:formatCode>
                <c:ptCount val="3"/>
                <c:pt idx="0">
                  <c:v>3074078.87413482</c:v>
                </c:pt>
                <c:pt idx="1">
                  <c:v>2541472.5220926492</c:v>
                </c:pt>
                <c:pt idx="2">
                  <c:v>1902135.1117129845</c:v>
                </c:pt>
              </c:numCache>
            </c:numRef>
          </c:xVal>
          <c:yVal>
            <c:numRef>
              <c:f>AvgSchemeTest!$CC$5:$CC$7</c:f>
              <c:numCache>
                <c:formatCode>0.00E+00</c:formatCode>
                <c:ptCount val="3"/>
                <c:pt idx="0">
                  <c:v>2299027.692598009</c:v>
                </c:pt>
                <c:pt idx="1">
                  <c:v>1849136.7861885792</c:v>
                </c:pt>
                <c:pt idx="2">
                  <c:v>1506961.5069615068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46-4DDD-AEB8-061AAD0B7508}"/>
            </c:ext>
          </c:extLst>
        </c:ser>
        <c:ser>
          <c:idx val="1"/>
          <c:order val="1"/>
          <c:tx>
            <c:strRef>
              <c:f>AvgSchemeTest!$AR$58</c:f>
              <c:strCache>
                <c:ptCount val="1"/>
                <c:pt idx="0">
                  <c:v>Unary Flourides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AvgSchemeTest!$BB$8:$BB$10</c:f>
              <c:numCache>
                <c:formatCode>0.00E+00</c:formatCode>
                <c:ptCount val="3"/>
                <c:pt idx="0">
                  <c:v>6655765.0020011952</c:v>
                </c:pt>
                <c:pt idx="1">
                  <c:v>4494672.010898063</c:v>
                </c:pt>
                <c:pt idx="2">
                  <c:v>3132607.7854830599</c:v>
                </c:pt>
              </c:numCache>
            </c:numRef>
          </c:xVal>
          <c:yVal>
            <c:numRef>
              <c:f>AvgSchemeTest!$CC$8:$CC$10</c:f>
              <c:numCache>
                <c:formatCode>0.00E+00</c:formatCode>
                <c:ptCount val="3"/>
                <c:pt idx="0">
                  <c:v>4521126.760563381</c:v>
                </c:pt>
                <c:pt idx="1">
                  <c:v>3250000</c:v>
                </c:pt>
                <c:pt idx="2">
                  <c:v>2200657.8947368423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46-4DDD-AEB8-061AAD0B7508}"/>
            </c:ext>
          </c:extLst>
        </c:ser>
        <c:ser>
          <c:idx val="7"/>
          <c:order val="2"/>
          <c:tx>
            <c:strRef>
              <c:f>AvgSchemeTest!$AR$59</c:f>
              <c:strCache>
                <c:ptCount val="1"/>
                <c:pt idx="0">
                  <c:v>Unary Alkaline Earth Chlorides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2516289552532384"/>
                  <c:y val="-6.056755208039085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MgCl2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B446-4DDD-AEB8-061AAD0B7508}"/>
                </c:ext>
              </c:extLst>
            </c:dLbl>
            <c:dLbl>
              <c:idx val="1"/>
              <c:layout>
                <c:manualLayout>
                  <c:x val="4.1720965175107892E-2"/>
                  <c:y val="-9.3180849354447485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CaCl2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B446-4DDD-AEB8-061AAD0B7508}"/>
                </c:ext>
              </c:extLst>
            </c:dLbl>
            <c:dLbl>
              <c:idx val="2"/>
              <c:layout>
                <c:manualLayout>
                  <c:x val="2.3468042910998171E-2"/>
                  <c:y val="1.397712740316712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SrCl2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B446-4DDD-AEB8-061AAD0B75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AvgSchemeTest!$BB$13:$BB$15</c:f>
              <c:numCache>
                <c:formatCode>0.00E+00</c:formatCode>
                <c:ptCount val="3"/>
                <c:pt idx="0">
                  <c:v>2229748.2534555946</c:v>
                </c:pt>
                <c:pt idx="1">
                  <c:v>2125800.8870841102</c:v>
                </c:pt>
                <c:pt idx="2">
                  <c:v>1846051.2052025932</c:v>
                </c:pt>
              </c:numCache>
            </c:numRef>
          </c:xVal>
          <c:yVal>
            <c:numRef>
              <c:f>AvgSchemeTest!$CC$13:$CC$15</c:f>
              <c:numCache>
                <c:formatCode>0.00E+00</c:formatCode>
                <c:ptCount val="3"/>
                <c:pt idx="0">
                  <c:v>1628871.8794256966</c:v>
                </c:pt>
                <c:pt idx="1">
                  <c:v>1928974.5850302745</c:v>
                </c:pt>
                <c:pt idx="2">
                  <c:v>1799756.6027023955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446-4DDD-AEB8-061AAD0B7508}"/>
            </c:ext>
          </c:extLst>
        </c:ser>
        <c:ser>
          <c:idx val="5"/>
          <c:order val="3"/>
          <c:tx>
            <c:strRef>
              <c:f>AvgSchemeTest!$AR$60</c:f>
              <c:strCache>
                <c:ptCount val="1"/>
                <c:pt idx="0">
                  <c:v>Fluoride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9.5377810768157212E-2"/>
                  <c:y val="4.417320634122921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FLiBe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B446-4DDD-AEB8-061AAD0B7508}"/>
                </c:ext>
              </c:extLst>
            </c:dLbl>
            <c:dLbl>
              <c:idx val="1"/>
              <c:layout>
                <c:manualLayout>
                  <c:x val="2.8845941404952211E-2"/>
                  <c:y val="2.325300366555223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FLiNaK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B446-4DDD-AEB8-061AAD0B750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446-4DDD-AEB8-061AAD0B75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AvgSchemeTest!$BB$18:$BB$20</c:f>
              <c:numCache>
                <c:formatCode>0.00E+00</c:formatCode>
                <c:ptCount val="3"/>
                <c:pt idx="0">
                  <c:v>6194889.5220954642</c:v>
                </c:pt>
                <c:pt idx="1">
                  <c:v>4807204.3020215267</c:v>
                </c:pt>
                <c:pt idx="2">
                  <c:v>5259831.8652324006</c:v>
                </c:pt>
              </c:numCache>
            </c:numRef>
          </c:xVal>
          <c:yVal>
            <c:numRef>
              <c:f>AvgSchemeTest!$CC$18:$CC$20</c:f>
              <c:numCache>
                <c:formatCode>0.00E+00</c:formatCode>
                <c:ptCount val="3"/>
                <c:pt idx="0">
                  <c:v>4323157.1595853949</c:v>
                </c:pt>
                <c:pt idx="1">
                  <c:v>3402318.9027080508</c:v>
                </c:pt>
                <c:pt idx="2">
                  <c:v>4192480.558023226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446-4DDD-AEB8-061AAD0B7508}"/>
            </c:ext>
          </c:extLst>
        </c:ser>
        <c:ser>
          <c:idx val="6"/>
          <c:order val="4"/>
          <c:tx>
            <c:strRef>
              <c:f>AvgSchemeTest!$AR$61</c:f>
              <c:strCache>
                <c:ptCount val="1"/>
                <c:pt idx="0">
                  <c:v>Chloride Actinide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2269123071947397"/>
                  <c:y val="-1.646687236037159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NaCl-UCL3 (ORNL 2024)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01613630781726"/>
                      <c:h val="3.2551391211063964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A-B446-4DDD-AEB8-061AAD0B7508}"/>
                </c:ext>
              </c:extLst>
            </c:dLbl>
            <c:dLbl>
              <c:idx val="1"/>
              <c:layout>
                <c:manualLayout>
                  <c:x val="-9.8979952873202659E-2"/>
                  <c:y val="7.441155009616211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800" b="0" i="0" u="none" strike="noStrike" kern="1200" baseline="0">
                        <a:solidFill>
                          <a:sysClr val="windowText" lastClr="000000">
                            <a:lumMod val="75000"/>
                            <a:lumOff val="25000"/>
                          </a:sysClr>
                        </a:solidFill>
                      </a:rPr>
                      <a:t>NaCl-UCL3 (ANL 2023)</a:t>
                    </a:r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973173836602787"/>
                      <c:h val="4.67902842342298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B-B446-4DDD-AEB8-061AAD0B75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AvgSchemeTest!$BB$21:$BB$22</c:f>
              <c:numCache>
                <c:formatCode>0.00E+00</c:formatCode>
                <c:ptCount val="2"/>
                <c:pt idx="0">
                  <c:v>1943390.5852057394</c:v>
                </c:pt>
                <c:pt idx="1">
                  <c:v>1537214.1037818124</c:v>
                </c:pt>
              </c:numCache>
            </c:numRef>
          </c:xVal>
          <c:yVal>
            <c:numRef>
              <c:f>AvgSchemeTest!$CC$21:$CC$22</c:f>
              <c:numCache>
                <c:formatCode>0.00E+00</c:formatCode>
                <c:ptCount val="2"/>
                <c:pt idx="0">
                  <c:v>2156336.4385642763</c:v>
                </c:pt>
                <c:pt idx="1">
                  <c:v>2149770.3220167966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B446-4DDD-AEB8-061AAD0B7508}"/>
            </c:ext>
          </c:extLst>
        </c:ser>
        <c:ser>
          <c:idx val="2"/>
          <c:order val="5"/>
          <c:tx>
            <c:strRef>
              <c:f>AvgSchemeTest!$AR$62</c:f>
              <c:strCache>
                <c:ptCount val="1"/>
                <c:pt idx="0">
                  <c:v>Water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AvgSchemeTest!$BB$23</c:f>
              <c:numCache>
                <c:formatCode>0.00E+00</c:formatCode>
                <c:ptCount val="1"/>
                <c:pt idx="0">
                  <c:v>4144804.911135125</c:v>
                </c:pt>
              </c:numCache>
            </c:numRef>
          </c:xVal>
          <c:yVal>
            <c:numRef>
              <c:f>AvgSchemeTest!$CC$23</c:f>
              <c:numCache>
                <c:formatCode>0.00E+00</c:formatCode>
                <c:ptCount val="1"/>
                <c:pt idx="0">
                  <c:v>4183129.8557158709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B446-4DDD-AEB8-061AAD0B7508}"/>
            </c:ext>
          </c:extLst>
        </c:ser>
        <c:ser>
          <c:idx val="3"/>
          <c:order val="6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7000000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7000000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2-B446-4DDD-AEB8-061AAD0B7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70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BC c [J/kg-K]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At val="0"/>
        <c:crossBetween val="midCat"/>
      </c:valAx>
      <c:valAx>
        <c:axId val="689706896"/>
        <c:scaling>
          <c:orientation val="minMax"/>
          <c:max val="7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Measured c [J/kg-K]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67069885084010905"/>
          <c:y val="0.27032958906895271"/>
          <c:w val="0.31367749490107255"/>
          <c:h val="0.503660560198370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7.xml"/><Relationship Id="rId13" Type="http://schemas.openxmlformats.org/officeDocument/2006/relationships/chart" Target="../charts/chart32.xml"/><Relationship Id="rId3" Type="http://schemas.openxmlformats.org/officeDocument/2006/relationships/chart" Target="../charts/chart22.xml"/><Relationship Id="rId7" Type="http://schemas.openxmlformats.org/officeDocument/2006/relationships/chart" Target="../charts/chart26.xml"/><Relationship Id="rId12" Type="http://schemas.openxmlformats.org/officeDocument/2006/relationships/chart" Target="../charts/chart31.xml"/><Relationship Id="rId2" Type="http://schemas.openxmlformats.org/officeDocument/2006/relationships/chart" Target="../charts/chart21.xml"/><Relationship Id="rId16" Type="http://schemas.openxmlformats.org/officeDocument/2006/relationships/chart" Target="../charts/chart35.xml"/><Relationship Id="rId1" Type="http://schemas.openxmlformats.org/officeDocument/2006/relationships/chart" Target="../charts/chart20.xml"/><Relationship Id="rId6" Type="http://schemas.openxmlformats.org/officeDocument/2006/relationships/chart" Target="../charts/chart25.xml"/><Relationship Id="rId11" Type="http://schemas.openxmlformats.org/officeDocument/2006/relationships/chart" Target="../charts/chart30.xml"/><Relationship Id="rId5" Type="http://schemas.openxmlformats.org/officeDocument/2006/relationships/chart" Target="../charts/chart24.xml"/><Relationship Id="rId15" Type="http://schemas.openxmlformats.org/officeDocument/2006/relationships/chart" Target="../charts/chart34.xml"/><Relationship Id="rId10" Type="http://schemas.openxmlformats.org/officeDocument/2006/relationships/chart" Target="../charts/chart29.xml"/><Relationship Id="rId4" Type="http://schemas.openxmlformats.org/officeDocument/2006/relationships/chart" Target="../charts/chart23.xml"/><Relationship Id="rId9" Type="http://schemas.openxmlformats.org/officeDocument/2006/relationships/chart" Target="../charts/chart28.xml"/><Relationship Id="rId14" Type="http://schemas.openxmlformats.org/officeDocument/2006/relationships/chart" Target="../charts/chart33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3.xml"/><Relationship Id="rId3" Type="http://schemas.openxmlformats.org/officeDocument/2006/relationships/chart" Target="../charts/chart38.xml"/><Relationship Id="rId7" Type="http://schemas.openxmlformats.org/officeDocument/2006/relationships/chart" Target="../charts/chart42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6" Type="http://schemas.openxmlformats.org/officeDocument/2006/relationships/chart" Target="../charts/chart41.xml"/><Relationship Id="rId11" Type="http://schemas.openxmlformats.org/officeDocument/2006/relationships/chart" Target="../charts/chart46.xml"/><Relationship Id="rId5" Type="http://schemas.openxmlformats.org/officeDocument/2006/relationships/chart" Target="../charts/chart40.xml"/><Relationship Id="rId10" Type="http://schemas.openxmlformats.org/officeDocument/2006/relationships/chart" Target="../charts/chart45.xml"/><Relationship Id="rId4" Type="http://schemas.openxmlformats.org/officeDocument/2006/relationships/chart" Target="../charts/chart39.xml"/><Relationship Id="rId9" Type="http://schemas.openxmlformats.org/officeDocument/2006/relationships/chart" Target="../charts/chart44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4.xml"/><Relationship Id="rId13" Type="http://schemas.openxmlformats.org/officeDocument/2006/relationships/chart" Target="../charts/chart59.xml"/><Relationship Id="rId18" Type="http://schemas.openxmlformats.org/officeDocument/2006/relationships/chart" Target="../charts/chart64.xml"/><Relationship Id="rId3" Type="http://schemas.openxmlformats.org/officeDocument/2006/relationships/chart" Target="../charts/chart49.xml"/><Relationship Id="rId21" Type="http://schemas.openxmlformats.org/officeDocument/2006/relationships/chart" Target="../charts/chart67.xml"/><Relationship Id="rId7" Type="http://schemas.openxmlformats.org/officeDocument/2006/relationships/chart" Target="../charts/chart53.xml"/><Relationship Id="rId12" Type="http://schemas.openxmlformats.org/officeDocument/2006/relationships/chart" Target="../charts/chart58.xml"/><Relationship Id="rId17" Type="http://schemas.openxmlformats.org/officeDocument/2006/relationships/chart" Target="../charts/chart63.xml"/><Relationship Id="rId2" Type="http://schemas.openxmlformats.org/officeDocument/2006/relationships/chart" Target="../charts/chart48.xml"/><Relationship Id="rId16" Type="http://schemas.openxmlformats.org/officeDocument/2006/relationships/chart" Target="../charts/chart62.xml"/><Relationship Id="rId20" Type="http://schemas.openxmlformats.org/officeDocument/2006/relationships/chart" Target="../charts/chart66.xml"/><Relationship Id="rId1" Type="http://schemas.openxmlformats.org/officeDocument/2006/relationships/chart" Target="../charts/chart47.xml"/><Relationship Id="rId6" Type="http://schemas.openxmlformats.org/officeDocument/2006/relationships/chart" Target="../charts/chart52.xml"/><Relationship Id="rId11" Type="http://schemas.openxmlformats.org/officeDocument/2006/relationships/chart" Target="../charts/chart57.xml"/><Relationship Id="rId24" Type="http://schemas.openxmlformats.org/officeDocument/2006/relationships/chart" Target="../charts/chart70.xml"/><Relationship Id="rId5" Type="http://schemas.openxmlformats.org/officeDocument/2006/relationships/chart" Target="../charts/chart51.xml"/><Relationship Id="rId15" Type="http://schemas.openxmlformats.org/officeDocument/2006/relationships/chart" Target="../charts/chart61.xml"/><Relationship Id="rId23" Type="http://schemas.openxmlformats.org/officeDocument/2006/relationships/chart" Target="../charts/chart69.xml"/><Relationship Id="rId10" Type="http://schemas.openxmlformats.org/officeDocument/2006/relationships/chart" Target="../charts/chart56.xml"/><Relationship Id="rId19" Type="http://schemas.openxmlformats.org/officeDocument/2006/relationships/chart" Target="../charts/chart65.xml"/><Relationship Id="rId4" Type="http://schemas.openxmlformats.org/officeDocument/2006/relationships/chart" Target="../charts/chart50.xml"/><Relationship Id="rId9" Type="http://schemas.openxmlformats.org/officeDocument/2006/relationships/chart" Target="../charts/chart55.xml"/><Relationship Id="rId14" Type="http://schemas.openxmlformats.org/officeDocument/2006/relationships/chart" Target="../charts/chart60.xml"/><Relationship Id="rId22" Type="http://schemas.openxmlformats.org/officeDocument/2006/relationships/chart" Target="../charts/chart68.xml"/></Relationships>
</file>

<file path=xl/drawings/_rels/drawing7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83.xml"/><Relationship Id="rId18" Type="http://schemas.openxmlformats.org/officeDocument/2006/relationships/chart" Target="../charts/chart88.xml"/><Relationship Id="rId26" Type="http://schemas.openxmlformats.org/officeDocument/2006/relationships/chart" Target="../charts/chart96.xml"/><Relationship Id="rId21" Type="http://schemas.openxmlformats.org/officeDocument/2006/relationships/chart" Target="../charts/chart91.xml"/><Relationship Id="rId34" Type="http://schemas.openxmlformats.org/officeDocument/2006/relationships/chart" Target="../charts/chart104.xml"/><Relationship Id="rId7" Type="http://schemas.openxmlformats.org/officeDocument/2006/relationships/chart" Target="../charts/chart77.xml"/><Relationship Id="rId12" Type="http://schemas.openxmlformats.org/officeDocument/2006/relationships/chart" Target="../charts/chart82.xml"/><Relationship Id="rId17" Type="http://schemas.openxmlformats.org/officeDocument/2006/relationships/chart" Target="../charts/chart87.xml"/><Relationship Id="rId25" Type="http://schemas.openxmlformats.org/officeDocument/2006/relationships/chart" Target="../charts/chart95.xml"/><Relationship Id="rId33" Type="http://schemas.openxmlformats.org/officeDocument/2006/relationships/chart" Target="../charts/chart103.xml"/><Relationship Id="rId2" Type="http://schemas.openxmlformats.org/officeDocument/2006/relationships/chart" Target="../charts/chart72.xml"/><Relationship Id="rId16" Type="http://schemas.openxmlformats.org/officeDocument/2006/relationships/chart" Target="../charts/chart86.xml"/><Relationship Id="rId20" Type="http://schemas.openxmlformats.org/officeDocument/2006/relationships/chart" Target="../charts/chart90.xml"/><Relationship Id="rId29" Type="http://schemas.openxmlformats.org/officeDocument/2006/relationships/chart" Target="../charts/chart99.xml"/><Relationship Id="rId1" Type="http://schemas.openxmlformats.org/officeDocument/2006/relationships/chart" Target="../charts/chart71.xml"/><Relationship Id="rId6" Type="http://schemas.openxmlformats.org/officeDocument/2006/relationships/chart" Target="../charts/chart76.xml"/><Relationship Id="rId11" Type="http://schemas.openxmlformats.org/officeDocument/2006/relationships/chart" Target="../charts/chart81.xml"/><Relationship Id="rId24" Type="http://schemas.openxmlformats.org/officeDocument/2006/relationships/chart" Target="../charts/chart94.xml"/><Relationship Id="rId32" Type="http://schemas.openxmlformats.org/officeDocument/2006/relationships/chart" Target="../charts/chart102.xml"/><Relationship Id="rId37" Type="http://schemas.openxmlformats.org/officeDocument/2006/relationships/chart" Target="../charts/chart107.xml"/><Relationship Id="rId5" Type="http://schemas.openxmlformats.org/officeDocument/2006/relationships/chart" Target="../charts/chart75.xml"/><Relationship Id="rId15" Type="http://schemas.openxmlformats.org/officeDocument/2006/relationships/chart" Target="../charts/chart85.xml"/><Relationship Id="rId23" Type="http://schemas.openxmlformats.org/officeDocument/2006/relationships/chart" Target="../charts/chart93.xml"/><Relationship Id="rId28" Type="http://schemas.openxmlformats.org/officeDocument/2006/relationships/chart" Target="../charts/chart98.xml"/><Relationship Id="rId36" Type="http://schemas.openxmlformats.org/officeDocument/2006/relationships/chart" Target="../charts/chart106.xml"/><Relationship Id="rId10" Type="http://schemas.openxmlformats.org/officeDocument/2006/relationships/chart" Target="../charts/chart80.xml"/><Relationship Id="rId19" Type="http://schemas.openxmlformats.org/officeDocument/2006/relationships/chart" Target="../charts/chart89.xml"/><Relationship Id="rId31" Type="http://schemas.openxmlformats.org/officeDocument/2006/relationships/chart" Target="../charts/chart101.xml"/><Relationship Id="rId4" Type="http://schemas.openxmlformats.org/officeDocument/2006/relationships/chart" Target="../charts/chart74.xml"/><Relationship Id="rId9" Type="http://schemas.openxmlformats.org/officeDocument/2006/relationships/chart" Target="../charts/chart79.xml"/><Relationship Id="rId14" Type="http://schemas.openxmlformats.org/officeDocument/2006/relationships/chart" Target="../charts/chart84.xml"/><Relationship Id="rId22" Type="http://schemas.openxmlformats.org/officeDocument/2006/relationships/chart" Target="../charts/chart92.xml"/><Relationship Id="rId27" Type="http://schemas.openxmlformats.org/officeDocument/2006/relationships/chart" Target="../charts/chart97.xml"/><Relationship Id="rId30" Type="http://schemas.openxmlformats.org/officeDocument/2006/relationships/chart" Target="../charts/chart100.xml"/><Relationship Id="rId35" Type="http://schemas.openxmlformats.org/officeDocument/2006/relationships/chart" Target="../charts/chart105.xml"/><Relationship Id="rId8" Type="http://schemas.openxmlformats.org/officeDocument/2006/relationships/chart" Target="../charts/chart78.xml"/><Relationship Id="rId3" Type="http://schemas.openxmlformats.org/officeDocument/2006/relationships/chart" Target="../charts/chart73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5.xml"/><Relationship Id="rId13" Type="http://schemas.openxmlformats.org/officeDocument/2006/relationships/chart" Target="../charts/chart120.xml"/><Relationship Id="rId18" Type="http://schemas.openxmlformats.org/officeDocument/2006/relationships/chart" Target="../charts/chart125.xml"/><Relationship Id="rId3" Type="http://schemas.openxmlformats.org/officeDocument/2006/relationships/chart" Target="../charts/chart110.xml"/><Relationship Id="rId7" Type="http://schemas.openxmlformats.org/officeDocument/2006/relationships/chart" Target="../charts/chart114.xml"/><Relationship Id="rId12" Type="http://schemas.openxmlformats.org/officeDocument/2006/relationships/chart" Target="../charts/chart119.xml"/><Relationship Id="rId17" Type="http://schemas.openxmlformats.org/officeDocument/2006/relationships/chart" Target="../charts/chart124.xml"/><Relationship Id="rId2" Type="http://schemas.openxmlformats.org/officeDocument/2006/relationships/chart" Target="../charts/chart109.xml"/><Relationship Id="rId16" Type="http://schemas.openxmlformats.org/officeDocument/2006/relationships/chart" Target="../charts/chart123.xml"/><Relationship Id="rId1" Type="http://schemas.openxmlformats.org/officeDocument/2006/relationships/chart" Target="../charts/chart108.xml"/><Relationship Id="rId6" Type="http://schemas.openxmlformats.org/officeDocument/2006/relationships/chart" Target="../charts/chart113.xml"/><Relationship Id="rId11" Type="http://schemas.openxmlformats.org/officeDocument/2006/relationships/chart" Target="../charts/chart118.xml"/><Relationship Id="rId5" Type="http://schemas.openxmlformats.org/officeDocument/2006/relationships/chart" Target="../charts/chart112.xml"/><Relationship Id="rId15" Type="http://schemas.openxmlformats.org/officeDocument/2006/relationships/chart" Target="../charts/chart122.xml"/><Relationship Id="rId10" Type="http://schemas.openxmlformats.org/officeDocument/2006/relationships/chart" Target="../charts/chart117.xml"/><Relationship Id="rId19" Type="http://schemas.openxmlformats.org/officeDocument/2006/relationships/chart" Target="../charts/chart126.xml"/><Relationship Id="rId4" Type="http://schemas.openxmlformats.org/officeDocument/2006/relationships/chart" Target="../charts/chart111.xml"/><Relationship Id="rId9" Type="http://schemas.openxmlformats.org/officeDocument/2006/relationships/chart" Target="../charts/chart116.xml"/><Relationship Id="rId14" Type="http://schemas.openxmlformats.org/officeDocument/2006/relationships/chart" Target="../charts/chart12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7.xml"/></Relationships>
</file>

<file path=xl/drawings/_rels/drawing14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40.xml"/><Relationship Id="rId18" Type="http://schemas.openxmlformats.org/officeDocument/2006/relationships/chart" Target="../charts/chart145.xml"/><Relationship Id="rId26" Type="http://schemas.openxmlformats.org/officeDocument/2006/relationships/chart" Target="../charts/chart153.xml"/><Relationship Id="rId39" Type="http://schemas.openxmlformats.org/officeDocument/2006/relationships/chart" Target="../charts/chart166.xml"/><Relationship Id="rId21" Type="http://schemas.openxmlformats.org/officeDocument/2006/relationships/chart" Target="../charts/chart148.xml"/><Relationship Id="rId34" Type="http://schemas.openxmlformats.org/officeDocument/2006/relationships/chart" Target="../charts/chart161.xml"/><Relationship Id="rId42" Type="http://schemas.openxmlformats.org/officeDocument/2006/relationships/chart" Target="../charts/chart169.xml"/><Relationship Id="rId7" Type="http://schemas.openxmlformats.org/officeDocument/2006/relationships/chart" Target="../charts/chart134.xml"/><Relationship Id="rId2" Type="http://schemas.openxmlformats.org/officeDocument/2006/relationships/chart" Target="../charts/chart129.xml"/><Relationship Id="rId16" Type="http://schemas.openxmlformats.org/officeDocument/2006/relationships/chart" Target="../charts/chart143.xml"/><Relationship Id="rId20" Type="http://schemas.openxmlformats.org/officeDocument/2006/relationships/chart" Target="../charts/chart147.xml"/><Relationship Id="rId29" Type="http://schemas.openxmlformats.org/officeDocument/2006/relationships/chart" Target="../charts/chart156.xml"/><Relationship Id="rId41" Type="http://schemas.openxmlformats.org/officeDocument/2006/relationships/chart" Target="../charts/chart168.xml"/><Relationship Id="rId1" Type="http://schemas.openxmlformats.org/officeDocument/2006/relationships/chart" Target="../charts/chart128.xml"/><Relationship Id="rId6" Type="http://schemas.openxmlformats.org/officeDocument/2006/relationships/chart" Target="../charts/chart133.xml"/><Relationship Id="rId11" Type="http://schemas.openxmlformats.org/officeDocument/2006/relationships/chart" Target="../charts/chart138.xml"/><Relationship Id="rId24" Type="http://schemas.openxmlformats.org/officeDocument/2006/relationships/chart" Target="../charts/chart151.xml"/><Relationship Id="rId32" Type="http://schemas.openxmlformats.org/officeDocument/2006/relationships/chart" Target="../charts/chart159.xml"/><Relationship Id="rId37" Type="http://schemas.openxmlformats.org/officeDocument/2006/relationships/chart" Target="../charts/chart164.xml"/><Relationship Id="rId40" Type="http://schemas.openxmlformats.org/officeDocument/2006/relationships/chart" Target="../charts/chart167.xml"/><Relationship Id="rId5" Type="http://schemas.openxmlformats.org/officeDocument/2006/relationships/chart" Target="../charts/chart132.xml"/><Relationship Id="rId15" Type="http://schemas.openxmlformats.org/officeDocument/2006/relationships/chart" Target="../charts/chart142.xml"/><Relationship Id="rId23" Type="http://schemas.openxmlformats.org/officeDocument/2006/relationships/chart" Target="../charts/chart150.xml"/><Relationship Id="rId28" Type="http://schemas.openxmlformats.org/officeDocument/2006/relationships/chart" Target="../charts/chart155.xml"/><Relationship Id="rId36" Type="http://schemas.openxmlformats.org/officeDocument/2006/relationships/chart" Target="../charts/chart163.xml"/><Relationship Id="rId10" Type="http://schemas.openxmlformats.org/officeDocument/2006/relationships/chart" Target="../charts/chart137.xml"/><Relationship Id="rId19" Type="http://schemas.openxmlformats.org/officeDocument/2006/relationships/chart" Target="../charts/chart146.xml"/><Relationship Id="rId31" Type="http://schemas.openxmlformats.org/officeDocument/2006/relationships/chart" Target="../charts/chart158.xml"/><Relationship Id="rId44" Type="http://schemas.openxmlformats.org/officeDocument/2006/relationships/chart" Target="../charts/chart171.xml"/><Relationship Id="rId4" Type="http://schemas.openxmlformats.org/officeDocument/2006/relationships/chart" Target="../charts/chart131.xml"/><Relationship Id="rId9" Type="http://schemas.openxmlformats.org/officeDocument/2006/relationships/chart" Target="../charts/chart136.xml"/><Relationship Id="rId14" Type="http://schemas.openxmlformats.org/officeDocument/2006/relationships/chart" Target="../charts/chart141.xml"/><Relationship Id="rId22" Type="http://schemas.openxmlformats.org/officeDocument/2006/relationships/chart" Target="../charts/chart149.xml"/><Relationship Id="rId27" Type="http://schemas.openxmlformats.org/officeDocument/2006/relationships/chart" Target="../charts/chart154.xml"/><Relationship Id="rId30" Type="http://schemas.openxmlformats.org/officeDocument/2006/relationships/chart" Target="../charts/chart157.xml"/><Relationship Id="rId35" Type="http://schemas.openxmlformats.org/officeDocument/2006/relationships/chart" Target="../charts/chart162.xml"/><Relationship Id="rId43" Type="http://schemas.openxmlformats.org/officeDocument/2006/relationships/chart" Target="../charts/chart170.xml"/><Relationship Id="rId8" Type="http://schemas.openxmlformats.org/officeDocument/2006/relationships/chart" Target="../charts/chart135.xml"/><Relationship Id="rId3" Type="http://schemas.openxmlformats.org/officeDocument/2006/relationships/chart" Target="../charts/chart130.xml"/><Relationship Id="rId12" Type="http://schemas.openxmlformats.org/officeDocument/2006/relationships/chart" Target="../charts/chart139.xml"/><Relationship Id="rId17" Type="http://schemas.openxmlformats.org/officeDocument/2006/relationships/chart" Target="../charts/chart144.xml"/><Relationship Id="rId25" Type="http://schemas.openxmlformats.org/officeDocument/2006/relationships/chart" Target="../charts/chart152.xml"/><Relationship Id="rId33" Type="http://schemas.openxmlformats.org/officeDocument/2006/relationships/chart" Target="../charts/chart160.xml"/><Relationship Id="rId38" Type="http://schemas.openxmlformats.org/officeDocument/2006/relationships/chart" Target="../charts/chart165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2.xml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0.xml"/><Relationship Id="rId13" Type="http://schemas.openxmlformats.org/officeDocument/2006/relationships/chart" Target="../charts/chart185.xml"/><Relationship Id="rId18" Type="http://schemas.openxmlformats.org/officeDocument/2006/relationships/chart" Target="../charts/chart190.xml"/><Relationship Id="rId3" Type="http://schemas.openxmlformats.org/officeDocument/2006/relationships/chart" Target="../charts/chart175.xml"/><Relationship Id="rId21" Type="http://schemas.openxmlformats.org/officeDocument/2006/relationships/chart" Target="../charts/chart193.xml"/><Relationship Id="rId7" Type="http://schemas.openxmlformats.org/officeDocument/2006/relationships/chart" Target="../charts/chart179.xml"/><Relationship Id="rId12" Type="http://schemas.openxmlformats.org/officeDocument/2006/relationships/chart" Target="../charts/chart184.xml"/><Relationship Id="rId17" Type="http://schemas.openxmlformats.org/officeDocument/2006/relationships/chart" Target="../charts/chart189.xml"/><Relationship Id="rId2" Type="http://schemas.openxmlformats.org/officeDocument/2006/relationships/chart" Target="../charts/chart174.xml"/><Relationship Id="rId16" Type="http://schemas.openxmlformats.org/officeDocument/2006/relationships/chart" Target="../charts/chart188.xml"/><Relationship Id="rId20" Type="http://schemas.openxmlformats.org/officeDocument/2006/relationships/chart" Target="../charts/chart192.xml"/><Relationship Id="rId1" Type="http://schemas.openxmlformats.org/officeDocument/2006/relationships/chart" Target="../charts/chart173.xml"/><Relationship Id="rId6" Type="http://schemas.openxmlformats.org/officeDocument/2006/relationships/chart" Target="../charts/chart178.xml"/><Relationship Id="rId11" Type="http://schemas.openxmlformats.org/officeDocument/2006/relationships/chart" Target="../charts/chart183.xml"/><Relationship Id="rId5" Type="http://schemas.openxmlformats.org/officeDocument/2006/relationships/chart" Target="../charts/chart177.xml"/><Relationship Id="rId15" Type="http://schemas.openxmlformats.org/officeDocument/2006/relationships/chart" Target="../charts/chart187.xml"/><Relationship Id="rId10" Type="http://schemas.openxmlformats.org/officeDocument/2006/relationships/chart" Target="../charts/chart182.xml"/><Relationship Id="rId19" Type="http://schemas.openxmlformats.org/officeDocument/2006/relationships/chart" Target="../charts/chart191.xml"/><Relationship Id="rId4" Type="http://schemas.openxmlformats.org/officeDocument/2006/relationships/chart" Target="../charts/chart176.xml"/><Relationship Id="rId9" Type="http://schemas.openxmlformats.org/officeDocument/2006/relationships/chart" Target="../charts/chart181.xml"/><Relationship Id="rId14" Type="http://schemas.openxmlformats.org/officeDocument/2006/relationships/chart" Target="../charts/chart18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78</xdr:col>
      <xdr:colOff>273844</xdr:colOff>
      <xdr:row>23</xdr:row>
      <xdr:rowOff>142875</xdr:rowOff>
    </xdr:from>
    <xdr:to>
      <xdr:col>85</xdr:col>
      <xdr:colOff>428623</xdr:colOff>
      <xdr:row>34</xdr:row>
      <xdr:rowOff>71438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AF0E71-BF14-478D-838B-81C4F078EE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82</xdr:col>
      <xdr:colOff>466660</xdr:colOff>
      <xdr:row>49</xdr:row>
      <xdr:rowOff>137583</xdr:rowOff>
    </xdr:from>
    <xdr:to>
      <xdr:col>88</xdr:col>
      <xdr:colOff>547688</xdr:colOff>
      <xdr:row>65</xdr:row>
      <xdr:rowOff>71436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270E22-8501-4081-8E7A-88C34DF551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76</xdr:col>
      <xdr:colOff>26458</xdr:colOff>
      <xdr:row>50</xdr:row>
      <xdr:rowOff>3969</xdr:rowOff>
    </xdr:from>
    <xdr:to>
      <xdr:col>82</xdr:col>
      <xdr:colOff>203728</xdr:colOff>
      <xdr:row>65</xdr:row>
      <xdr:rowOff>80936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6826817-20FA-48BC-84D8-999C5C3F4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84</xdr:col>
      <xdr:colOff>85987</xdr:colOff>
      <xdr:row>34</xdr:row>
      <xdr:rowOff>141553</xdr:rowOff>
    </xdr:from>
    <xdr:to>
      <xdr:col>90</xdr:col>
      <xdr:colOff>392906</xdr:colOff>
      <xdr:row>49</xdr:row>
      <xdr:rowOff>59531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0282B9C-BA40-4511-A31D-85CABC9529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86</xdr:col>
      <xdr:colOff>250032</xdr:colOff>
      <xdr:row>24</xdr:row>
      <xdr:rowOff>23811</xdr:rowOff>
    </xdr:from>
    <xdr:to>
      <xdr:col>90</xdr:col>
      <xdr:colOff>404812</xdr:colOff>
      <xdr:row>33</xdr:row>
      <xdr:rowOff>123824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8725CD2-C060-41D7-93AD-E668C82E85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78</xdr:col>
      <xdr:colOff>150664</xdr:colOff>
      <xdr:row>11</xdr:row>
      <xdr:rowOff>199908</xdr:rowOff>
    </xdr:from>
    <xdr:to>
      <xdr:col>86</xdr:col>
      <xdr:colOff>35719</xdr:colOff>
      <xdr:row>22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0512414-F461-48C0-B5EC-22E9752F1D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76</xdr:col>
      <xdr:colOff>285651</xdr:colOff>
      <xdr:row>34</xdr:row>
      <xdr:rowOff>174134</xdr:rowOff>
    </xdr:from>
    <xdr:to>
      <xdr:col>83</xdr:col>
      <xdr:colOff>452437</xdr:colOff>
      <xdr:row>49</xdr:row>
      <xdr:rowOff>35719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8B6D2B8-A265-44FF-A6BB-E296DC4EFC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86</xdr:col>
      <xdr:colOff>88525</xdr:colOff>
      <xdr:row>0</xdr:row>
      <xdr:rowOff>235326</xdr:rowOff>
    </xdr:from>
    <xdr:to>
      <xdr:col>93</xdr:col>
      <xdr:colOff>71437</xdr:colOff>
      <xdr:row>11</xdr:row>
      <xdr:rowOff>107156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BD6ADFD-A374-4294-BD4F-ED397078F2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86</xdr:col>
      <xdr:colOff>93587</xdr:colOff>
      <xdr:row>11</xdr:row>
      <xdr:rowOff>191935</xdr:rowOff>
    </xdr:from>
    <xdr:to>
      <xdr:col>93</xdr:col>
      <xdr:colOff>488156</xdr:colOff>
      <xdr:row>22</xdr:row>
      <xdr:rowOff>71438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4002B11-EFAD-48F0-B7A3-1DEE280E47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78</xdr:col>
      <xdr:colOff>153457</xdr:colOff>
      <xdr:row>0</xdr:row>
      <xdr:rowOff>243418</xdr:rowOff>
    </xdr:from>
    <xdr:to>
      <xdr:col>86</xdr:col>
      <xdr:colOff>35718</xdr:colOff>
      <xdr:row>11</xdr:row>
      <xdr:rowOff>142875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A9AD5AA-B0A8-48AE-97E5-77730371FA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54</xdr:col>
      <xdr:colOff>419554</xdr:colOff>
      <xdr:row>46</xdr:row>
      <xdr:rowOff>127000</xdr:rowOff>
    </xdr:from>
    <xdr:to>
      <xdr:col>66</xdr:col>
      <xdr:colOff>344713</xdr:colOff>
      <xdr:row>64</xdr:row>
      <xdr:rowOff>127000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60648B6-9D33-482D-8C66-9B9C5B5C8C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68</xdr:col>
      <xdr:colOff>428625</xdr:colOff>
      <xdr:row>40</xdr:row>
      <xdr:rowOff>142875</xdr:rowOff>
    </xdr:from>
    <xdr:to>
      <xdr:col>74</xdr:col>
      <xdr:colOff>490912</xdr:colOff>
      <xdr:row>57</xdr:row>
      <xdr:rowOff>141705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313E803-AA3C-441D-A2D7-7537A02138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61</xdr:col>
      <xdr:colOff>47625</xdr:colOff>
      <xdr:row>47</xdr:row>
      <xdr:rowOff>31750</xdr:rowOff>
    </xdr:from>
    <xdr:to>
      <xdr:col>67</xdr:col>
      <xdr:colOff>873124</xdr:colOff>
      <xdr:row>65</xdr:row>
      <xdr:rowOff>31750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6BC2559-651B-440C-ADF4-105308D7A0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</xdr:col>
      <xdr:colOff>129267</xdr:colOff>
      <xdr:row>52</xdr:row>
      <xdr:rowOff>179161</xdr:rowOff>
    </xdr:from>
    <xdr:to>
      <xdr:col>23</xdr:col>
      <xdr:colOff>253999</xdr:colOff>
      <xdr:row>70</xdr:row>
      <xdr:rowOff>179161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01AF513-7945-4814-83E5-3503B288FB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54</xdr:col>
      <xdr:colOff>449036</xdr:colOff>
      <xdr:row>64</xdr:row>
      <xdr:rowOff>175985</xdr:rowOff>
    </xdr:from>
    <xdr:to>
      <xdr:col>66</xdr:col>
      <xdr:colOff>364671</xdr:colOff>
      <xdr:row>88</xdr:row>
      <xdr:rowOff>96609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3972F36-CDAD-4777-A216-CFB37FC424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34</xdr:col>
      <xdr:colOff>222250</xdr:colOff>
      <xdr:row>65</xdr:row>
      <xdr:rowOff>38100</xdr:rowOff>
    </xdr:from>
    <xdr:to>
      <xdr:col>46</xdr:col>
      <xdr:colOff>1200150</xdr:colOff>
      <xdr:row>85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1A4B68D-2C26-4A8B-9039-9EAE5F230E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43</xdr:col>
      <xdr:colOff>645625</xdr:colOff>
      <xdr:row>16</xdr:row>
      <xdr:rowOff>110237</xdr:rowOff>
    </xdr:from>
    <xdr:to>
      <xdr:col>47</xdr:col>
      <xdr:colOff>518941</xdr:colOff>
      <xdr:row>31</xdr:row>
      <xdr:rowOff>180600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64721E41-E68D-4507-A868-414B69CD91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39</xdr:col>
      <xdr:colOff>214167</xdr:colOff>
      <xdr:row>6</xdr:row>
      <xdr:rowOff>162893</xdr:rowOff>
    </xdr:from>
    <xdr:to>
      <xdr:col>43</xdr:col>
      <xdr:colOff>363569</xdr:colOff>
      <xdr:row>19</xdr:row>
      <xdr:rowOff>948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E38B3B0-73DF-4B04-8D14-551F8609F0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40</xdr:col>
      <xdr:colOff>133312</xdr:colOff>
      <xdr:row>16</xdr:row>
      <xdr:rowOff>68627</xdr:rowOff>
    </xdr:from>
    <xdr:to>
      <xdr:col>45</xdr:col>
      <xdr:colOff>18363</xdr:colOff>
      <xdr:row>32</xdr:row>
      <xdr:rowOff>50434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A0BCEC6B-9701-447F-B255-56859B393B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57</xdr:col>
      <xdr:colOff>511969</xdr:colOff>
      <xdr:row>13</xdr:row>
      <xdr:rowOff>95250</xdr:rowOff>
    </xdr:from>
    <xdr:to>
      <xdr:col>64</xdr:col>
      <xdr:colOff>127000</xdr:colOff>
      <xdr:row>26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876D0F-C9C2-4B42-9C1F-2D96C76F9F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57</xdr:col>
      <xdr:colOff>530160</xdr:colOff>
      <xdr:row>27</xdr:row>
      <xdr:rowOff>10583</xdr:rowOff>
    </xdr:from>
    <xdr:to>
      <xdr:col>64</xdr:col>
      <xdr:colOff>7938</xdr:colOff>
      <xdr:row>42</xdr:row>
      <xdr:rowOff>39686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2C95C0-19CF-44B0-AA15-64501999BE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58</xdr:col>
      <xdr:colOff>26458</xdr:colOff>
      <xdr:row>47</xdr:row>
      <xdr:rowOff>3969</xdr:rowOff>
    </xdr:from>
    <xdr:to>
      <xdr:col>64</xdr:col>
      <xdr:colOff>203728</xdr:colOff>
      <xdr:row>62</xdr:row>
      <xdr:rowOff>80936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3DA5E20-A284-485D-81DF-75F36A5DB0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66</xdr:col>
      <xdr:colOff>85987</xdr:colOff>
      <xdr:row>34</xdr:row>
      <xdr:rowOff>141553</xdr:rowOff>
    </xdr:from>
    <xdr:to>
      <xdr:col>72</xdr:col>
      <xdr:colOff>392906</xdr:colOff>
      <xdr:row>46</xdr:row>
      <xdr:rowOff>59531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6C89E12-2F16-4523-914F-A8C024C858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68</xdr:col>
      <xdr:colOff>250032</xdr:colOff>
      <xdr:row>24</xdr:row>
      <xdr:rowOff>23811</xdr:rowOff>
    </xdr:from>
    <xdr:to>
      <xdr:col>72</xdr:col>
      <xdr:colOff>404812</xdr:colOff>
      <xdr:row>33</xdr:row>
      <xdr:rowOff>123824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CFA1A1-48DF-4B63-924D-7D15D93F4B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66</xdr:col>
      <xdr:colOff>118914</xdr:colOff>
      <xdr:row>17</xdr:row>
      <xdr:rowOff>136408</xdr:rowOff>
    </xdr:from>
    <xdr:to>
      <xdr:col>74</xdr:col>
      <xdr:colOff>3969</xdr:colOff>
      <xdr:row>30</xdr:row>
      <xdr:rowOff>31750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14267F7-4B44-4154-B894-E0D113D1CD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57</xdr:col>
      <xdr:colOff>365026</xdr:colOff>
      <xdr:row>1</xdr:row>
      <xdr:rowOff>31259</xdr:rowOff>
    </xdr:from>
    <xdr:to>
      <xdr:col>64</xdr:col>
      <xdr:colOff>31750</xdr:colOff>
      <xdr:row>12</xdr:row>
      <xdr:rowOff>238125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9AC2DAB-1B98-4B49-BC73-9BDC975485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68</xdr:col>
      <xdr:colOff>88525</xdr:colOff>
      <xdr:row>0</xdr:row>
      <xdr:rowOff>235326</xdr:rowOff>
    </xdr:from>
    <xdr:to>
      <xdr:col>75</xdr:col>
      <xdr:colOff>71437</xdr:colOff>
      <xdr:row>11</xdr:row>
      <xdr:rowOff>107156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6DBE2BC-EA8B-4676-8C44-4D66B5EED7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68</xdr:col>
      <xdr:colOff>93587</xdr:colOff>
      <xdr:row>11</xdr:row>
      <xdr:rowOff>191935</xdr:rowOff>
    </xdr:from>
    <xdr:to>
      <xdr:col>75</xdr:col>
      <xdr:colOff>488156</xdr:colOff>
      <xdr:row>22</xdr:row>
      <xdr:rowOff>71438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F26390E-DE4C-4900-B917-01CC4FF6EA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66</xdr:col>
      <xdr:colOff>74082</xdr:colOff>
      <xdr:row>3</xdr:row>
      <xdr:rowOff>195793</xdr:rowOff>
    </xdr:from>
    <xdr:to>
      <xdr:col>73</xdr:col>
      <xdr:colOff>559593</xdr:colOff>
      <xdr:row>14</xdr:row>
      <xdr:rowOff>95250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EE890F3-D1B6-4AFD-AAA2-6AE6F23773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34</xdr:col>
      <xdr:colOff>79376</xdr:colOff>
      <xdr:row>44</xdr:row>
      <xdr:rowOff>31750</xdr:rowOff>
    </xdr:from>
    <xdr:to>
      <xdr:col>42</xdr:col>
      <xdr:colOff>793750</xdr:colOff>
      <xdr:row>62</xdr:row>
      <xdr:rowOff>31750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92F294C-BA7A-4255-9C85-A86087A918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50</xdr:col>
      <xdr:colOff>428625</xdr:colOff>
      <xdr:row>40</xdr:row>
      <xdr:rowOff>142875</xdr:rowOff>
    </xdr:from>
    <xdr:to>
      <xdr:col>56</xdr:col>
      <xdr:colOff>490912</xdr:colOff>
      <xdr:row>54</xdr:row>
      <xdr:rowOff>141705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2887F40-EDDA-4B3B-B6C2-67E1FEEAD1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43</xdr:col>
      <xdr:colOff>47625</xdr:colOff>
      <xdr:row>44</xdr:row>
      <xdr:rowOff>31750</xdr:rowOff>
    </xdr:from>
    <xdr:to>
      <xdr:col>49</xdr:col>
      <xdr:colOff>873124</xdr:colOff>
      <xdr:row>62</xdr:row>
      <xdr:rowOff>31750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26742BA-ADC5-4196-A690-A0176B2EE2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28</xdr:col>
      <xdr:colOff>254000</xdr:colOff>
      <xdr:row>47</xdr:row>
      <xdr:rowOff>142875</xdr:rowOff>
    </xdr:from>
    <xdr:to>
      <xdr:col>33</xdr:col>
      <xdr:colOff>1222374</xdr:colOff>
      <xdr:row>65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F53EE31-348F-4E57-90C9-F1E235B442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34</xdr:col>
      <xdr:colOff>95250</xdr:colOff>
      <xdr:row>62</xdr:row>
      <xdr:rowOff>107950</xdr:rowOff>
    </xdr:from>
    <xdr:to>
      <xdr:col>42</xdr:col>
      <xdr:colOff>800100</xdr:colOff>
      <xdr:row>86</xdr:row>
      <xdr:rowOff>28574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5C6FEF99-3463-48F0-99DF-DE066472E7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22</xdr:col>
      <xdr:colOff>304800</xdr:colOff>
      <xdr:row>62</xdr:row>
      <xdr:rowOff>38100</xdr:rowOff>
    </xdr:from>
    <xdr:to>
      <xdr:col>33</xdr:col>
      <xdr:colOff>1200150</xdr:colOff>
      <xdr:row>85</xdr:row>
      <xdr:rowOff>149224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50E18F6A-813F-4EF7-A595-46F26A1B4B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70</xdr:col>
      <xdr:colOff>273844</xdr:colOff>
      <xdr:row>24</xdr:row>
      <xdr:rowOff>142875</xdr:rowOff>
    </xdr:from>
    <xdr:to>
      <xdr:col>77</xdr:col>
      <xdr:colOff>428623</xdr:colOff>
      <xdr:row>35</xdr:row>
      <xdr:rowOff>71438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2FF55E-1756-4633-83EF-7698D0565F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466660</xdr:colOff>
      <xdr:row>47</xdr:row>
      <xdr:rowOff>137583</xdr:rowOff>
    </xdr:from>
    <xdr:to>
      <xdr:col>75</xdr:col>
      <xdr:colOff>547688</xdr:colOff>
      <xdr:row>63</xdr:row>
      <xdr:rowOff>71436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F6A22D-EFAE-45CD-867D-017605F738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63</xdr:col>
      <xdr:colOff>26458</xdr:colOff>
      <xdr:row>48</xdr:row>
      <xdr:rowOff>3969</xdr:rowOff>
    </xdr:from>
    <xdr:to>
      <xdr:col>69</xdr:col>
      <xdr:colOff>203728</xdr:colOff>
      <xdr:row>63</xdr:row>
      <xdr:rowOff>80936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16EA105-4A9E-4809-9614-664434D87C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71</xdr:col>
      <xdr:colOff>85987</xdr:colOff>
      <xdr:row>35</xdr:row>
      <xdr:rowOff>141553</xdr:rowOff>
    </xdr:from>
    <xdr:to>
      <xdr:col>77</xdr:col>
      <xdr:colOff>392906</xdr:colOff>
      <xdr:row>47</xdr:row>
      <xdr:rowOff>59531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28E4A6F-27B4-4BDC-BD53-1B69D1FED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78</xdr:col>
      <xdr:colOff>250032</xdr:colOff>
      <xdr:row>25</xdr:row>
      <xdr:rowOff>23811</xdr:rowOff>
    </xdr:from>
    <xdr:to>
      <xdr:col>82</xdr:col>
      <xdr:colOff>404812</xdr:colOff>
      <xdr:row>34</xdr:row>
      <xdr:rowOff>123824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8883057-73CB-4C2B-BFB0-09842154F2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70</xdr:col>
      <xdr:colOff>150664</xdr:colOff>
      <xdr:row>12</xdr:row>
      <xdr:rowOff>199908</xdr:rowOff>
    </xdr:from>
    <xdr:to>
      <xdr:col>78</xdr:col>
      <xdr:colOff>35719</xdr:colOff>
      <xdr:row>23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FF6904E-F439-41A4-90D5-7AF4AA8875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63</xdr:col>
      <xdr:colOff>285651</xdr:colOff>
      <xdr:row>35</xdr:row>
      <xdr:rowOff>174134</xdr:rowOff>
    </xdr:from>
    <xdr:to>
      <xdr:col>70</xdr:col>
      <xdr:colOff>452437</xdr:colOff>
      <xdr:row>47</xdr:row>
      <xdr:rowOff>35719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DE697CA-D256-4B83-9A05-DC7AA9A2B8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78</xdr:col>
      <xdr:colOff>88525</xdr:colOff>
      <xdr:row>1</xdr:row>
      <xdr:rowOff>235326</xdr:rowOff>
    </xdr:from>
    <xdr:to>
      <xdr:col>85</xdr:col>
      <xdr:colOff>71437</xdr:colOff>
      <xdr:row>12</xdr:row>
      <xdr:rowOff>107156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F60F288-2ABD-4E2F-9983-F33D0FE96D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78</xdr:col>
      <xdr:colOff>93587</xdr:colOff>
      <xdr:row>12</xdr:row>
      <xdr:rowOff>191935</xdr:rowOff>
    </xdr:from>
    <xdr:to>
      <xdr:col>85</xdr:col>
      <xdr:colOff>488156</xdr:colOff>
      <xdr:row>23</xdr:row>
      <xdr:rowOff>71438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DE358CD-FA6E-4FAC-811B-23B1D4AECB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70</xdr:col>
      <xdr:colOff>153457</xdr:colOff>
      <xdr:row>1</xdr:row>
      <xdr:rowOff>243418</xdr:rowOff>
    </xdr:from>
    <xdr:to>
      <xdr:col>78</xdr:col>
      <xdr:colOff>35718</xdr:colOff>
      <xdr:row>12</xdr:row>
      <xdr:rowOff>142875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A3628ED-9DB5-4DAE-B374-6BF2102631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361950</xdr:colOff>
      <xdr:row>4</xdr:row>
      <xdr:rowOff>4762</xdr:rowOff>
    </xdr:from>
    <xdr:to>
      <xdr:col>17</xdr:col>
      <xdr:colOff>209550</xdr:colOff>
      <xdr:row>14</xdr:row>
      <xdr:rowOff>176212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8B71468-B748-4D0B-A6BE-134F1ED48E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72</xdr:col>
      <xdr:colOff>371410</xdr:colOff>
      <xdr:row>77</xdr:row>
      <xdr:rowOff>1511</xdr:rowOff>
    </xdr:from>
    <xdr:to>
      <xdr:col>78</xdr:col>
      <xdr:colOff>452438</xdr:colOff>
      <xdr:row>92</xdr:row>
      <xdr:rowOff>125864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88B179-0CDC-4F4A-947E-E4C926F56D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519792</xdr:colOff>
      <xdr:row>21</xdr:row>
      <xdr:rowOff>84364</xdr:rowOff>
    </xdr:from>
    <xdr:to>
      <xdr:col>33</xdr:col>
      <xdr:colOff>304799</xdr:colOff>
      <xdr:row>35</xdr:row>
      <xdr:rowOff>160564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032808D-1A76-4FF7-94AD-DA8AD3B4C7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184675</xdr:colOff>
      <xdr:row>21</xdr:row>
      <xdr:rowOff>84364</xdr:rowOff>
    </xdr:from>
    <xdr:to>
      <xdr:col>47</xdr:col>
      <xdr:colOff>282647</xdr:colOff>
      <xdr:row>35</xdr:row>
      <xdr:rowOff>160564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6F06B45-9D1D-48A8-8272-FF6EE78029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33</xdr:col>
      <xdr:colOff>353402</xdr:colOff>
      <xdr:row>21</xdr:row>
      <xdr:rowOff>92459</xdr:rowOff>
    </xdr:from>
    <xdr:to>
      <xdr:col>37</xdr:col>
      <xdr:colOff>328909</xdr:colOff>
      <xdr:row>35</xdr:row>
      <xdr:rowOff>168659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26AE230-AD92-42FD-8159-10844AD629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37</xdr:col>
      <xdr:colOff>491415</xdr:colOff>
      <xdr:row>36</xdr:row>
      <xdr:rowOff>83457</xdr:rowOff>
    </xdr:from>
    <xdr:to>
      <xdr:col>42</xdr:col>
      <xdr:colOff>99530</xdr:colOff>
      <xdr:row>50</xdr:row>
      <xdr:rowOff>159657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D30AA6B-BDE1-4266-92B1-14386E5B3F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560613</xdr:colOff>
      <xdr:row>36</xdr:row>
      <xdr:rowOff>83457</xdr:rowOff>
    </xdr:from>
    <xdr:to>
      <xdr:col>33</xdr:col>
      <xdr:colOff>345620</xdr:colOff>
      <xdr:row>50</xdr:row>
      <xdr:rowOff>159657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ABF9478-1BB2-4362-BD1B-EF3664F6BF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42</xdr:col>
      <xdr:colOff>184675</xdr:colOff>
      <xdr:row>36</xdr:row>
      <xdr:rowOff>83457</xdr:rowOff>
    </xdr:from>
    <xdr:to>
      <xdr:col>47</xdr:col>
      <xdr:colOff>282647</xdr:colOff>
      <xdr:row>50</xdr:row>
      <xdr:rowOff>159657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71FE3E3-EE6D-4CB9-B293-3D8D9B807C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33</xdr:col>
      <xdr:colOff>430764</xdr:colOff>
      <xdr:row>36</xdr:row>
      <xdr:rowOff>83457</xdr:rowOff>
    </xdr:from>
    <xdr:to>
      <xdr:col>37</xdr:col>
      <xdr:colOff>406271</xdr:colOff>
      <xdr:row>50</xdr:row>
      <xdr:rowOff>159657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8E23100-E7E9-4BC4-B71E-B59C5BE433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37</xdr:col>
      <xdr:colOff>491415</xdr:colOff>
      <xdr:row>51</xdr:row>
      <xdr:rowOff>82550</xdr:rowOff>
    </xdr:from>
    <xdr:to>
      <xdr:col>42</xdr:col>
      <xdr:colOff>99530</xdr:colOff>
      <xdr:row>65</xdr:row>
      <xdr:rowOff>158750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45CFBFD-8186-4A21-8394-FF89EF3DB0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27</xdr:col>
      <xdr:colOff>560613</xdr:colOff>
      <xdr:row>51</xdr:row>
      <xdr:rowOff>82550</xdr:rowOff>
    </xdr:from>
    <xdr:to>
      <xdr:col>33</xdr:col>
      <xdr:colOff>345620</xdr:colOff>
      <xdr:row>65</xdr:row>
      <xdr:rowOff>158750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B8D9D49-C40B-430C-8C1C-A7C02A8DEE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42</xdr:col>
      <xdr:colOff>184675</xdr:colOff>
      <xdr:row>51</xdr:row>
      <xdr:rowOff>82550</xdr:rowOff>
    </xdr:from>
    <xdr:to>
      <xdr:col>47</xdr:col>
      <xdr:colOff>282647</xdr:colOff>
      <xdr:row>65</xdr:row>
      <xdr:rowOff>158750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86719E2-9357-4CEA-8014-A9508C96E9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33</xdr:col>
      <xdr:colOff>430764</xdr:colOff>
      <xdr:row>51</xdr:row>
      <xdr:rowOff>82550</xdr:rowOff>
    </xdr:from>
    <xdr:to>
      <xdr:col>37</xdr:col>
      <xdr:colOff>406271</xdr:colOff>
      <xdr:row>65</xdr:row>
      <xdr:rowOff>158750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3E95D9D-16A5-40A6-B0F6-CD3AFD1344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57</xdr:col>
      <xdr:colOff>326573</xdr:colOff>
      <xdr:row>37</xdr:row>
      <xdr:rowOff>27212</xdr:rowOff>
    </xdr:from>
    <xdr:to>
      <xdr:col>63</xdr:col>
      <xdr:colOff>410938</xdr:colOff>
      <xdr:row>51</xdr:row>
      <xdr:rowOff>103412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0E27E40-7FDE-49B6-8B10-73854E720E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57</xdr:col>
      <xdr:colOff>462644</xdr:colOff>
      <xdr:row>29</xdr:row>
      <xdr:rowOff>40821</xdr:rowOff>
    </xdr:from>
    <xdr:to>
      <xdr:col>63</xdr:col>
      <xdr:colOff>206829</xdr:colOff>
      <xdr:row>47</xdr:row>
      <xdr:rowOff>144236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D14F90A-BD8B-4F41-A080-E5D2075DC2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49</xdr:col>
      <xdr:colOff>326572</xdr:colOff>
      <xdr:row>37</xdr:row>
      <xdr:rowOff>13607</xdr:rowOff>
    </xdr:from>
    <xdr:to>
      <xdr:col>57</xdr:col>
      <xdr:colOff>220436</xdr:colOff>
      <xdr:row>51</xdr:row>
      <xdr:rowOff>89807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C614453E-EC8E-4FD6-BA08-20FD5D5D06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63</xdr:col>
      <xdr:colOff>598715</xdr:colOff>
      <xdr:row>37</xdr:row>
      <xdr:rowOff>54428</xdr:rowOff>
    </xdr:from>
    <xdr:to>
      <xdr:col>70</xdr:col>
      <xdr:colOff>478972</xdr:colOff>
      <xdr:row>51</xdr:row>
      <xdr:rowOff>130628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BC982F08-B8DE-488F-95E8-4C6E8475B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18</xdr:col>
      <xdr:colOff>192639</xdr:colOff>
      <xdr:row>36</xdr:row>
      <xdr:rowOff>49893</xdr:rowOff>
    </xdr:from>
    <xdr:to>
      <xdr:col>24</xdr:col>
      <xdr:colOff>485647</xdr:colOff>
      <xdr:row>50</xdr:row>
      <xdr:rowOff>126093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ECE94E1-62D2-4085-ABEE-3E215D97A1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41</xdr:col>
      <xdr:colOff>121175</xdr:colOff>
      <xdr:row>5</xdr:row>
      <xdr:rowOff>18143</xdr:rowOff>
    </xdr:from>
    <xdr:to>
      <xdr:col>45</xdr:col>
      <xdr:colOff>743021</xdr:colOff>
      <xdr:row>16</xdr:row>
      <xdr:rowOff>30843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9BFA742E-17F0-45B1-8892-FB447742A5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18</xdr:col>
      <xdr:colOff>274863</xdr:colOff>
      <xdr:row>22</xdr:row>
      <xdr:rowOff>161018</xdr:rowOff>
    </xdr:from>
    <xdr:to>
      <xdr:col>25</xdr:col>
      <xdr:colOff>250370</xdr:colOff>
      <xdr:row>37</xdr:row>
      <xdr:rowOff>46718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67EACD4D-8949-49B7-9AEE-DE5A18233D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37</xdr:col>
      <xdr:colOff>491415</xdr:colOff>
      <xdr:row>21</xdr:row>
      <xdr:rowOff>84364</xdr:rowOff>
    </xdr:from>
    <xdr:to>
      <xdr:col>42</xdr:col>
      <xdr:colOff>99530</xdr:colOff>
      <xdr:row>35</xdr:row>
      <xdr:rowOff>160564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B365BB-9689-4902-994F-5A8BD842DA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27</xdr:col>
      <xdr:colOff>560613</xdr:colOff>
      <xdr:row>21</xdr:row>
      <xdr:rowOff>84364</xdr:rowOff>
    </xdr:from>
    <xdr:to>
      <xdr:col>33</xdr:col>
      <xdr:colOff>345620</xdr:colOff>
      <xdr:row>35</xdr:row>
      <xdr:rowOff>160564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A21F38DE-2DD9-4905-AE1E-FC1A6DF195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33</xdr:col>
      <xdr:colOff>430764</xdr:colOff>
      <xdr:row>21</xdr:row>
      <xdr:rowOff>84364</xdr:rowOff>
    </xdr:from>
    <xdr:to>
      <xdr:col>37</xdr:col>
      <xdr:colOff>406271</xdr:colOff>
      <xdr:row>35</xdr:row>
      <xdr:rowOff>160564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D5B4F154-32A6-4847-91CA-86B60F6C9E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50</xdr:col>
      <xdr:colOff>13608</xdr:colOff>
      <xdr:row>7</xdr:row>
      <xdr:rowOff>149680</xdr:rowOff>
    </xdr:from>
    <xdr:to>
      <xdr:col>55</xdr:col>
      <xdr:colOff>451758</xdr:colOff>
      <xdr:row>19</xdr:row>
      <xdr:rowOff>98880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FCB78732-5CED-4805-90A1-59AA495E87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44</xdr:col>
      <xdr:colOff>136072</xdr:colOff>
      <xdr:row>11</xdr:row>
      <xdr:rowOff>242660</xdr:rowOff>
    </xdr:from>
    <xdr:to>
      <xdr:col>50</xdr:col>
      <xdr:colOff>41276</xdr:colOff>
      <xdr:row>25</xdr:row>
      <xdr:rowOff>48985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B9016E8A-F16C-45E4-A0EF-D17E636CAA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0.32026</cdr:x>
      <cdr:y>0.70734</cdr:y>
    </cdr:from>
    <cdr:to>
      <cdr:x>0.63668</cdr:x>
      <cdr:y>0.84127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8BE4D45-6694-44ED-811F-663B0EE87883}"/>
            </a:ext>
          </a:extLst>
        </cdr:cNvPr>
        <cdr:cNvSpPr txBox="1"/>
      </cdr:nvSpPr>
      <cdr:spPr>
        <a:xfrm xmlns:a="http://schemas.openxmlformats.org/drawingml/2006/main">
          <a:off x="1391033" y="1940380"/>
          <a:ext cx="1374322" cy="36739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/>
            <a:t>Possible indication that fast sound is</a:t>
          </a:r>
          <a:r>
            <a:rPr lang="en-US" sz="900" baseline="0"/>
            <a:t> occuring in NaCk. Perhaps in simple salts with higher proportion of metals (Na-Na), the observed fast sound is more dominant than in mixtures and allows phonon propagation at these speeds</a:t>
          </a:r>
          <a:endParaRPr lang="en-US" sz="900"/>
        </a:p>
      </cdr:txBody>
    </cdr:sp>
  </cdr:relSizeAnchor>
  <cdr:relSizeAnchor xmlns:cdr="http://schemas.openxmlformats.org/drawingml/2006/chartDrawing">
    <cdr:from>
      <cdr:x>0.47847</cdr:x>
      <cdr:y>0.35714</cdr:y>
    </cdr:from>
    <cdr:to>
      <cdr:x>0.63041</cdr:x>
      <cdr:y>0.70734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1F6A519E-0779-45E6-AA16-56C2EF91632C}"/>
            </a:ext>
          </a:extLst>
        </cdr:cNvPr>
        <cdr:cNvCxnSpPr>
          <a:stCxn xmlns:a="http://schemas.openxmlformats.org/drawingml/2006/main" id="2" idx="0"/>
        </cdr:cNvCxnSpPr>
      </cdr:nvCxnSpPr>
      <cdr:spPr>
        <a:xfrm xmlns:a="http://schemas.openxmlformats.org/drawingml/2006/main" flipV="1">
          <a:off x="2078194" y="979714"/>
          <a:ext cx="659947" cy="960666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0.32026</cdr:x>
      <cdr:y>0.70734</cdr:y>
    </cdr:from>
    <cdr:to>
      <cdr:x>0.63668</cdr:x>
      <cdr:y>0.84127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8BE4D45-6694-44ED-811F-663B0EE87883}"/>
            </a:ext>
          </a:extLst>
        </cdr:cNvPr>
        <cdr:cNvSpPr txBox="1"/>
      </cdr:nvSpPr>
      <cdr:spPr>
        <a:xfrm xmlns:a="http://schemas.openxmlformats.org/drawingml/2006/main">
          <a:off x="1391033" y="1940380"/>
          <a:ext cx="1374322" cy="36739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/>
            <a:t>Possible indication that fast sound is</a:t>
          </a:r>
          <a:r>
            <a:rPr lang="en-US" sz="900" baseline="0"/>
            <a:t> occuring in NaCk. Perhaps in simple salts with higher proportion of metals (Na-Na), the observed fast sound is more dominant than in mixtures and allows phonon propagation at these speeds</a:t>
          </a:r>
          <a:endParaRPr lang="en-US" sz="900"/>
        </a:p>
      </cdr:txBody>
    </cdr:sp>
  </cdr:relSizeAnchor>
  <cdr:relSizeAnchor xmlns:cdr="http://schemas.openxmlformats.org/drawingml/2006/chartDrawing">
    <cdr:from>
      <cdr:x>0.47847</cdr:x>
      <cdr:y>0.35714</cdr:y>
    </cdr:from>
    <cdr:to>
      <cdr:x>0.63041</cdr:x>
      <cdr:y>0.70734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1F6A519E-0779-45E6-AA16-56C2EF91632C}"/>
            </a:ext>
          </a:extLst>
        </cdr:cNvPr>
        <cdr:cNvCxnSpPr>
          <a:stCxn xmlns:a="http://schemas.openxmlformats.org/drawingml/2006/main" id="2" idx="0"/>
        </cdr:cNvCxnSpPr>
      </cdr:nvCxnSpPr>
      <cdr:spPr>
        <a:xfrm xmlns:a="http://schemas.openxmlformats.org/drawingml/2006/main" flipV="1">
          <a:off x="2078194" y="979714"/>
          <a:ext cx="659947" cy="960666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105</xdr:col>
      <xdr:colOff>371410</xdr:colOff>
      <xdr:row>79</xdr:row>
      <xdr:rowOff>1511</xdr:rowOff>
    </xdr:from>
    <xdr:to>
      <xdr:col>111</xdr:col>
      <xdr:colOff>452438</xdr:colOff>
      <xdr:row>94</xdr:row>
      <xdr:rowOff>125864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FD5A7E-D14F-48E1-9E1E-F3D6717873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59</xdr:col>
      <xdr:colOff>597248</xdr:colOff>
      <xdr:row>24</xdr:row>
      <xdr:rowOff>10129</xdr:rowOff>
    </xdr:from>
    <xdr:to>
      <xdr:col>64</xdr:col>
      <xdr:colOff>130523</xdr:colOff>
      <xdr:row>38</xdr:row>
      <xdr:rowOff>86329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55833AA-AA59-47E9-9BD3-6A6E569ED1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49</xdr:col>
      <xdr:colOff>215143</xdr:colOff>
      <xdr:row>24</xdr:row>
      <xdr:rowOff>1057</xdr:rowOff>
    </xdr:from>
    <xdr:to>
      <xdr:col>53</xdr:col>
      <xdr:colOff>1083468</xdr:colOff>
      <xdr:row>38</xdr:row>
      <xdr:rowOff>77257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BF3B62A-635A-4AC6-8AB9-57283D8410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65</xdr:col>
      <xdr:colOff>12166</xdr:colOff>
      <xdr:row>23</xdr:row>
      <xdr:rowOff>115961</xdr:rowOff>
    </xdr:from>
    <xdr:to>
      <xdr:col>69</xdr:col>
      <xdr:colOff>593191</xdr:colOff>
      <xdr:row>38</xdr:row>
      <xdr:rowOff>1661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41D9073-653F-4ACE-A1E9-AB0157BF30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54</xdr:col>
      <xdr:colOff>445883</xdr:colOff>
      <xdr:row>24</xdr:row>
      <xdr:rowOff>10129</xdr:rowOff>
    </xdr:from>
    <xdr:to>
      <xdr:col>58</xdr:col>
      <xdr:colOff>383970</xdr:colOff>
      <xdr:row>38</xdr:row>
      <xdr:rowOff>86329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C7EF56D-1217-479F-997F-9D351668C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90</xdr:col>
      <xdr:colOff>326573</xdr:colOff>
      <xdr:row>39</xdr:row>
      <xdr:rowOff>27212</xdr:rowOff>
    </xdr:from>
    <xdr:to>
      <xdr:col>96</xdr:col>
      <xdr:colOff>410938</xdr:colOff>
      <xdr:row>53</xdr:row>
      <xdr:rowOff>103412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5EA0376-7AC8-4A81-82B7-98512CA682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90</xdr:col>
      <xdr:colOff>462644</xdr:colOff>
      <xdr:row>31</xdr:row>
      <xdr:rowOff>40821</xdr:rowOff>
    </xdr:from>
    <xdr:to>
      <xdr:col>96</xdr:col>
      <xdr:colOff>206829</xdr:colOff>
      <xdr:row>49</xdr:row>
      <xdr:rowOff>144236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6426A0A-6360-4D35-96BA-F587B48AFD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81</xdr:col>
      <xdr:colOff>326572</xdr:colOff>
      <xdr:row>39</xdr:row>
      <xdr:rowOff>13607</xdr:rowOff>
    </xdr:from>
    <xdr:to>
      <xdr:col>88</xdr:col>
      <xdr:colOff>421520</xdr:colOff>
      <xdr:row>53</xdr:row>
      <xdr:rowOff>5141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821BC5EA-9C84-44D1-99CC-ADB421A042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96</xdr:col>
      <xdr:colOff>598715</xdr:colOff>
      <xdr:row>39</xdr:row>
      <xdr:rowOff>54428</xdr:rowOff>
    </xdr:from>
    <xdr:to>
      <xdr:col>103</xdr:col>
      <xdr:colOff>478972</xdr:colOff>
      <xdr:row>53</xdr:row>
      <xdr:rowOff>130628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19FB2DCB-821B-4F8C-B3D9-0C1AEA0643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54</xdr:col>
      <xdr:colOff>430008</xdr:colOff>
      <xdr:row>38</xdr:row>
      <xdr:rowOff>50649</xdr:rowOff>
    </xdr:from>
    <xdr:to>
      <xdr:col>58</xdr:col>
      <xdr:colOff>368095</xdr:colOff>
      <xdr:row>52</xdr:row>
      <xdr:rowOff>126849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AC8F5D26-51DD-4D5B-9C31-E197FBB3D4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65</xdr:col>
      <xdr:colOff>78236</xdr:colOff>
      <xdr:row>38</xdr:row>
      <xdr:rowOff>10582</xdr:rowOff>
    </xdr:from>
    <xdr:to>
      <xdr:col>69</xdr:col>
      <xdr:colOff>659261</xdr:colOff>
      <xdr:row>52</xdr:row>
      <xdr:rowOff>86782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8DD323CF-C5FF-4C0A-A2C2-9C4CF41B7D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49</xdr:col>
      <xdr:colOff>199268</xdr:colOff>
      <xdr:row>38</xdr:row>
      <xdr:rowOff>35530</xdr:rowOff>
    </xdr:from>
    <xdr:to>
      <xdr:col>53</xdr:col>
      <xdr:colOff>928687</xdr:colOff>
      <xdr:row>52</xdr:row>
      <xdr:rowOff>111730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5C9CB785-0E44-4181-9D57-1B8286224F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69</xdr:col>
      <xdr:colOff>896560</xdr:colOff>
      <xdr:row>46</xdr:row>
      <xdr:rowOff>112638</xdr:rowOff>
    </xdr:from>
    <xdr:to>
      <xdr:col>75</xdr:col>
      <xdr:colOff>596522</xdr:colOff>
      <xdr:row>60</xdr:row>
      <xdr:rowOff>188838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F4A0A0AC-5F45-42F7-86B4-BCE76CA152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70</xdr:col>
      <xdr:colOff>135314</xdr:colOff>
      <xdr:row>66</xdr:row>
      <xdr:rowOff>125486</xdr:rowOff>
    </xdr:from>
    <xdr:to>
      <xdr:col>76</xdr:col>
      <xdr:colOff>121027</xdr:colOff>
      <xdr:row>81</xdr:row>
      <xdr:rowOff>11186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28E160C8-90E0-4538-9FA1-50705B5521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54</xdr:col>
      <xdr:colOff>464155</xdr:colOff>
      <xdr:row>82</xdr:row>
      <xdr:rowOff>92983</xdr:rowOff>
    </xdr:from>
    <xdr:to>
      <xdr:col>58</xdr:col>
      <xdr:colOff>402242</xdr:colOff>
      <xdr:row>96</xdr:row>
      <xdr:rowOff>169183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81579A69-C7D3-438A-AE21-8B38048939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49</xdr:col>
      <xdr:colOff>195036</xdr:colOff>
      <xdr:row>82</xdr:row>
      <xdr:rowOff>96763</xdr:rowOff>
    </xdr:from>
    <xdr:to>
      <xdr:col>53</xdr:col>
      <xdr:colOff>537936</xdr:colOff>
      <xdr:row>96</xdr:row>
      <xdr:rowOff>172963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5CEB65CC-A449-4244-9D61-9B62EC3095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45</xdr:col>
      <xdr:colOff>695477</xdr:colOff>
      <xdr:row>24</xdr:row>
      <xdr:rowOff>30237</xdr:rowOff>
    </xdr:from>
    <xdr:to>
      <xdr:col>49</xdr:col>
      <xdr:colOff>75596</xdr:colOff>
      <xdr:row>28</xdr:row>
      <xdr:rowOff>120952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12A2C13-AD5D-4B13-A54C-97484F6372E1}"/>
            </a:ext>
          </a:extLst>
        </xdr:cNvPr>
        <xdr:cNvSpPr txBox="1"/>
      </xdr:nvSpPr>
      <xdr:spPr>
        <a:xfrm>
          <a:off x="26730477" y="5594047"/>
          <a:ext cx="1375833" cy="8769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/>
            <a:t>vs: Salt</a:t>
          </a:r>
        </a:p>
        <a:p>
          <a:r>
            <a:rPr lang="en-US" sz="2000"/>
            <a:t>peak: Avg</a:t>
          </a:r>
        </a:p>
      </xdr:txBody>
    </xdr:sp>
    <xdr:clientData/>
  </xdr:twoCellAnchor>
  <xdr:twoCellAnchor>
    <xdr:from>
      <xdr:col>45</xdr:col>
      <xdr:colOff>666448</xdr:colOff>
      <xdr:row>38</xdr:row>
      <xdr:rowOff>31448</xdr:rowOff>
    </xdr:from>
    <xdr:to>
      <xdr:col>49</xdr:col>
      <xdr:colOff>46567</xdr:colOff>
      <xdr:row>42</xdr:row>
      <xdr:rowOff>122162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20C4162E-B2AF-479B-8332-0B7E49C29FCA}"/>
            </a:ext>
          </a:extLst>
        </xdr:cNvPr>
        <xdr:cNvSpPr txBox="1"/>
      </xdr:nvSpPr>
      <xdr:spPr>
        <a:xfrm>
          <a:off x="26701448" y="8346924"/>
          <a:ext cx="1375833" cy="8769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/>
            <a:t>vs: Metal</a:t>
          </a:r>
        </a:p>
        <a:p>
          <a:r>
            <a:rPr lang="en-US" sz="2000"/>
            <a:t>peak: Avg</a:t>
          </a:r>
        </a:p>
      </xdr:txBody>
    </xdr:sp>
    <xdr:clientData/>
  </xdr:twoCellAnchor>
  <xdr:twoCellAnchor>
    <xdr:from>
      <xdr:col>45</xdr:col>
      <xdr:colOff>564848</xdr:colOff>
      <xdr:row>83</xdr:row>
      <xdr:rowOff>15272</xdr:rowOff>
    </xdr:from>
    <xdr:to>
      <xdr:col>49</xdr:col>
      <xdr:colOff>61989</xdr:colOff>
      <xdr:row>87</xdr:row>
      <xdr:rowOff>105986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5A8A0917-3E19-4AAD-8C31-2CBD0E7AEF73}"/>
            </a:ext>
          </a:extLst>
        </xdr:cNvPr>
        <xdr:cNvSpPr txBox="1"/>
      </xdr:nvSpPr>
      <xdr:spPr>
        <a:xfrm>
          <a:off x="26520473" y="16715772"/>
          <a:ext cx="2449891" cy="85271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/>
            <a:t>vs: Salt</a:t>
          </a:r>
        </a:p>
        <a:p>
          <a:r>
            <a:rPr lang="en-US" sz="2000"/>
            <a:t>peak: Metal</a:t>
          </a:r>
        </a:p>
      </xdr:txBody>
    </xdr:sp>
    <xdr:clientData/>
  </xdr:twoCellAnchor>
  <xdr:twoCellAnchor>
    <xdr:from>
      <xdr:col>45</xdr:col>
      <xdr:colOff>611414</xdr:colOff>
      <xdr:row>97</xdr:row>
      <xdr:rowOff>61839</xdr:rowOff>
    </xdr:from>
    <xdr:to>
      <xdr:col>49</xdr:col>
      <xdr:colOff>93739</xdr:colOff>
      <xdr:row>101</xdr:row>
      <xdr:rowOff>146506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F1F014F7-66D6-48F2-A653-E99426056874}"/>
            </a:ext>
          </a:extLst>
        </xdr:cNvPr>
        <xdr:cNvSpPr txBox="1"/>
      </xdr:nvSpPr>
      <xdr:spPr>
        <a:xfrm>
          <a:off x="26567039" y="19429339"/>
          <a:ext cx="2435075" cy="8466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/>
            <a:t>vs: Metal</a:t>
          </a:r>
        </a:p>
        <a:p>
          <a:r>
            <a:rPr lang="en-US" sz="2000"/>
            <a:t>peak: Metal</a:t>
          </a:r>
        </a:p>
      </xdr:txBody>
    </xdr:sp>
    <xdr:clientData/>
  </xdr:twoCellAnchor>
  <xdr:twoCellAnchor>
    <xdr:from>
      <xdr:col>49</xdr:col>
      <xdr:colOff>244928</xdr:colOff>
      <xdr:row>96</xdr:row>
      <xdr:rowOff>188234</xdr:rowOff>
    </xdr:from>
    <xdr:to>
      <xdr:col>53</xdr:col>
      <xdr:colOff>587828</xdr:colOff>
      <xdr:row>111</xdr:row>
      <xdr:rowOff>73934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18013DCD-F804-4EBA-8DEE-D6F005AC46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44</xdr:col>
      <xdr:colOff>0</xdr:colOff>
      <xdr:row>44</xdr:row>
      <xdr:rowOff>0</xdr:rowOff>
    </xdr:from>
    <xdr:to>
      <xdr:col>45</xdr:col>
      <xdr:colOff>376482</xdr:colOff>
      <xdr:row>45</xdr:row>
      <xdr:rowOff>170849</xdr:rowOff>
    </xdr:to>
    <xdr:sp macro="" textlink="">
      <xdr:nvSpPr>
        <xdr:cNvPr id="29" name="TextBox 1">
          <a:extLst>
            <a:ext uri="{FF2B5EF4-FFF2-40B4-BE49-F238E27FC236}">
              <a16:creationId xmlns:a16="http://schemas.microsoft.com/office/drawing/2014/main" id="{D20329CF-D164-4617-AC80-EB9D33174FEB}"/>
            </a:ext>
          </a:extLst>
        </xdr:cNvPr>
        <xdr:cNvSpPr txBox="1"/>
      </xdr:nvSpPr>
      <xdr:spPr>
        <a:xfrm>
          <a:off x="25037143" y="9494762"/>
          <a:ext cx="1374339" cy="367397"/>
        </a:xfrm>
        <a:prstGeom prst="rect">
          <a:avLst/>
        </a:prstGeom>
        <a:solidFill>
          <a:schemeClr val="bg1"/>
        </a:solidFill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sz="900"/>
            <a:t>Possible indication that fast sound is</a:t>
          </a:r>
          <a:r>
            <a:rPr lang="en-US" sz="900" baseline="0"/>
            <a:t> occuring in NaCk. Perhaps in simple salts with higher proportion of metals (Na-Na), the observed fast sound is more dominant than in mixtures and allows phonon propagation at these speeds</a:t>
          </a:r>
          <a:endParaRPr lang="en-US" sz="900"/>
        </a:p>
      </xdr:txBody>
    </xdr:sp>
    <xdr:clientData/>
  </xdr:twoCellAnchor>
  <xdr:twoCellAnchor>
    <xdr:from>
      <xdr:col>54</xdr:col>
      <xdr:colOff>486833</xdr:colOff>
      <xdr:row>96</xdr:row>
      <xdr:rowOff>157995</xdr:rowOff>
    </xdr:from>
    <xdr:to>
      <xdr:col>58</xdr:col>
      <xdr:colOff>424920</xdr:colOff>
      <xdr:row>111</xdr:row>
      <xdr:rowOff>43695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5B4CD3DE-6AFB-4222-97DF-2A4C3C9745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59</xdr:col>
      <xdr:colOff>574522</xdr:colOff>
      <xdr:row>38</xdr:row>
      <xdr:rowOff>90713</xdr:rowOff>
    </xdr:from>
    <xdr:to>
      <xdr:col>64</xdr:col>
      <xdr:colOff>107797</xdr:colOff>
      <xdr:row>52</xdr:row>
      <xdr:rowOff>166913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C8C1C3C5-2B2F-4324-8BC6-C668030C59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59</xdr:col>
      <xdr:colOff>577547</xdr:colOff>
      <xdr:row>82</xdr:row>
      <xdr:rowOff>118685</xdr:rowOff>
    </xdr:from>
    <xdr:to>
      <xdr:col>64</xdr:col>
      <xdr:colOff>110822</xdr:colOff>
      <xdr:row>97</xdr:row>
      <xdr:rowOff>4385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28DE7794-D909-4CB8-86D8-09F471506D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59</xdr:col>
      <xdr:colOff>592666</xdr:colOff>
      <xdr:row>96</xdr:row>
      <xdr:rowOff>133804</xdr:rowOff>
    </xdr:from>
    <xdr:to>
      <xdr:col>64</xdr:col>
      <xdr:colOff>125941</xdr:colOff>
      <xdr:row>111</xdr:row>
      <xdr:rowOff>19504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3EFF3806-C138-488E-804F-B1B8D093AB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65</xdr:col>
      <xdr:colOff>78619</xdr:colOff>
      <xdr:row>82</xdr:row>
      <xdr:rowOff>73328</xdr:rowOff>
    </xdr:from>
    <xdr:to>
      <xdr:col>69</xdr:col>
      <xdr:colOff>659644</xdr:colOff>
      <xdr:row>96</xdr:row>
      <xdr:rowOff>149528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77EAB3E3-1828-44AE-B23C-2B290BDA25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65</xdr:col>
      <xdr:colOff>78619</xdr:colOff>
      <xdr:row>96</xdr:row>
      <xdr:rowOff>142875</xdr:rowOff>
    </xdr:from>
    <xdr:to>
      <xdr:col>69</xdr:col>
      <xdr:colOff>659644</xdr:colOff>
      <xdr:row>111</xdr:row>
      <xdr:rowOff>28575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C4B2D98D-8B50-40DF-B135-A4D2009CAD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54</xdr:col>
      <xdr:colOff>476854</xdr:colOff>
      <xdr:row>68</xdr:row>
      <xdr:rowOff>32505</xdr:rowOff>
    </xdr:from>
    <xdr:to>
      <xdr:col>58</xdr:col>
      <xdr:colOff>414941</xdr:colOff>
      <xdr:row>82</xdr:row>
      <xdr:rowOff>108705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8A6CA036-B718-4518-B8BE-F7B2DC22AC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49</xdr:col>
      <xdr:colOff>207735</xdr:colOff>
      <xdr:row>68</xdr:row>
      <xdr:rowOff>36285</xdr:rowOff>
    </xdr:from>
    <xdr:to>
      <xdr:col>53</xdr:col>
      <xdr:colOff>550635</xdr:colOff>
      <xdr:row>82</xdr:row>
      <xdr:rowOff>112485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3E2FEFDB-043D-4461-A3D7-6BDCC60F97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45</xdr:col>
      <xdr:colOff>577547</xdr:colOff>
      <xdr:row>68</xdr:row>
      <xdr:rowOff>145295</xdr:rowOff>
    </xdr:from>
    <xdr:to>
      <xdr:col>49</xdr:col>
      <xdr:colOff>65163</xdr:colOff>
      <xdr:row>73</xdr:row>
      <xdr:rowOff>45509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74BFBCD8-5F08-4D4C-ADE1-F4BC3CAC0F3A}"/>
            </a:ext>
          </a:extLst>
        </xdr:cNvPr>
        <xdr:cNvSpPr txBox="1"/>
      </xdr:nvSpPr>
      <xdr:spPr>
        <a:xfrm>
          <a:off x="26533172" y="13988295"/>
          <a:ext cx="2440366" cy="85271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/>
            <a:t>vs: Avg</a:t>
          </a:r>
        </a:p>
        <a:p>
          <a:r>
            <a:rPr lang="en-US" sz="2000"/>
            <a:t>peak: Avg</a:t>
          </a:r>
        </a:p>
      </xdr:txBody>
    </xdr:sp>
    <xdr:clientData/>
  </xdr:twoCellAnchor>
  <xdr:twoCellAnchor>
    <xdr:from>
      <xdr:col>59</xdr:col>
      <xdr:colOff>590246</xdr:colOff>
      <xdr:row>68</xdr:row>
      <xdr:rowOff>58207</xdr:rowOff>
    </xdr:from>
    <xdr:to>
      <xdr:col>64</xdr:col>
      <xdr:colOff>123521</xdr:colOff>
      <xdr:row>82</xdr:row>
      <xdr:rowOff>134407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6F99E7BB-4518-4687-8FE9-518EE4421F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65</xdr:col>
      <xdr:colOff>91318</xdr:colOff>
      <xdr:row>68</xdr:row>
      <xdr:rowOff>12850</xdr:rowOff>
    </xdr:from>
    <xdr:to>
      <xdr:col>69</xdr:col>
      <xdr:colOff>672343</xdr:colOff>
      <xdr:row>82</xdr:row>
      <xdr:rowOff>89050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FAD791C-9283-4473-9C53-33C8E98E08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54</xdr:col>
      <xdr:colOff>486682</xdr:colOff>
      <xdr:row>52</xdr:row>
      <xdr:rowOff>178405</xdr:rowOff>
    </xdr:from>
    <xdr:to>
      <xdr:col>58</xdr:col>
      <xdr:colOff>424769</xdr:colOff>
      <xdr:row>67</xdr:row>
      <xdr:rowOff>64105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A643E199-E306-4E39-9EC0-1CB3A270EB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49</xdr:col>
      <xdr:colOff>217563</xdr:colOff>
      <xdr:row>52</xdr:row>
      <xdr:rowOff>182185</xdr:rowOff>
    </xdr:from>
    <xdr:to>
      <xdr:col>53</xdr:col>
      <xdr:colOff>916781</xdr:colOff>
      <xdr:row>67</xdr:row>
      <xdr:rowOff>67885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EF8D6CF4-8B31-41FC-AA89-6012E07476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45</xdr:col>
      <xdr:colOff>587375</xdr:colOff>
      <xdr:row>53</xdr:row>
      <xdr:rowOff>100695</xdr:rowOff>
    </xdr:from>
    <xdr:to>
      <xdr:col>49</xdr:col>
      <xdr:colOff>74991</xdr:colOff>
      <xdr:row>58</xdr:row>
      <xdr:rowOff>909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D9C36ABD-1803-4F78-A02E-E5E1B00EA6BF}"/>
            </a:ext>
          </a:extLst>
        </xdr:cNvPr>
        <xdr:cNvSpPr txBox="1"/>
      </xdr:nvSpPr>
      <xdr:spPr>
        <a:xfrm>
          <a:off x="26543000" y="11086195"/>
          <a:ext cx="2440366" cy="85271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/>
            <a:t>vs: Avg</a:t>
          </a:r>
        </a:p>
        <a:p>
          <a:r>
            <a:rPr lang="en-US" sz="2000"/>
            <a:t>peak: Metal</a:t>
          </a:r>
        </a:p>
      </xdr:txBody>
    </xdr:sp>
    <xdr:clientData/>
  </xdr:twoCellAnchor>
  <xdr:twoCellAnchor>
    <xdr:from>
      <xdr:col>59</xdr:col>
      <xdr:colOff>600074</xdr:colOff>
      <xdr:row>53</xdr:row>
      <xdr:rowOff>13607</xdr:rowOff>
    </xdr:from>
    <xdr:to>
      <xdr:col>64</xdr:col>
      <xdr:colOff>133349</xdr:colOff>
      <xdr:row>67</xdr:row>
      <xdr:rowOff>89807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3762C963-D02E-4355-98AE-3E0D1B3701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65</xdr:col>
      <xdr:colOff>101146</xdr:colOff>
      <xdr:row>52</xdr:row>
      <xdr:rowOff>158750</xdr:rowOff>
    </xdr:from>
    <xdr:to>
      <xdr:col>69</xdr:col>
      <xdr:colOff>682171</xdr:colOff>
      <xdr:row>67</xdr:row>
      <xdr:rowOff>44450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8B5ABF49-2502-4311-AC18-77D19B9B2F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71</xdr:col>
      <xdr:colOff>451757</xdr:colOff>
      <xdr:row>24</xdr:row>
      <xdr:rowOff>97972</xdr:rowOff>
    </xdr:from>
    <xdr:to>
      <xdr:col>76</xdr:col>
      <xdr:colOff>395968</xdr:colOff>
      <xdr:row>38</xdr:row>
      <xdr:rowOff>174172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F49ADE21-90C5-47E8-9BD1-1AFD10566B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76</xdr:col>
      <xdr:colOff>628650</xdr:colOff>
      <xdr:row>24</xdr:row>
      <xdr:rowOff>38100</xdr:rowOff>
    </xdr:from>
    <xdr:to>
      <xdr:col>82</xdr:col>
      <xdr:colOff>553811</xdr:colOff>
      <xdr:row>38</xdr:row>
      <xdr:rowOff>114300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F4421371-271B-4196-96E8-D5EB045065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28</xdr:col>
      <xdr:colOff>295828</xdr:colOff>
      <xdr:row>25</xdr:row>
      <xdr:rowOff>3993</xdr:rowOff>
    </xdr:from>
    <xdr:to>
      <xdr:col>36</xdr:col>
      <xdr:colOff>640206</xdr:colOff>
      <xdr:row>39</xdr:row>
      <xdr:rowOff>86687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D354B6BE-4A25-4A62-A38F-52957DC0BD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42</xdr:col>
      <xdr:colOff>42058</xdr:colOff>
      <xdr:row>25</xdr:row>
      <xdr:rowOff>58237</xdr:rowOff>
    </xdr:from>
    <xdr:to>
      <xdr:col>47</xdr:col>
      <xdr:colOff>600622</xdr:colOff>
      <xdr:row>39</xdr:row>
      <xdr:rowOff>90317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70F76501-6B98-489B-9268-974919C0FC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36</xdr:col>
      <xdr:colOff>702899</xdr:colOff>
      <xdr:row>25</xdr:row>
      <xdr:rowOff>30040</xdr:rowOff>
    </xdr:from>
    <xdr:to>
      <xdr:col>41</xdr:col>
      <xdr:colOff>1125620</xdr:colOff>
      <xdr:row>39</xdr:row>
      <xdr:rowOff>93870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96EE1807-F281-43C1-9B72-32081938EE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38</xdr:col>
      <xdr:colOff>71438</xdr:colOff>
      <xdr:row>41</xdr:row>
      <xdr:rowOff>47625</xdr:rowOff>
    </xdr:from>
    <xdr:to>
      <xdr:col>41</xdr:col>
      <xdr:colOff>1033463</xdr:colOff>
      <xdr:row>55</xdr:row>
      <xdr:rowOff>123825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6BED778C-AAC1-4CD1-8CD9-FA429A00D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0.32026</cdr:x>
      <cdr:y>0.70734</cdr:y>
    </cdr:from>
    <cdr:to>
      <cdr:x>0.63668</cdr:x>
      <cdr:y>0.84127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8BE4D45-6694-44ED-811F-663B0EE87883}"/>
            </a:ext>
          </a:extLst>
        </cdr:cNvPr>
        <cdr:cNvSpPr txBox="1"/>
      </cdr:nvSpPr>
      <cdr:spPr>
        <a:xfrm xmlns:a="http://schemas.openxmlformats.org/drawingml/2006/main">
          <a:off x="1391033" y="1940380"/>
          <a:ext cx="1374322" cy="36739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/>
            <a:t>Possible indication that fast sound is</a:t>
          </a:r>
          <a:r>
            <a:rPr lang="en-US" sz="900" baseline="0"/>
            <a:t> occuring in NaCk. Perhaps in simple salts with higher proportion of metals (Na-Na), the observed fast sound is more dominant than in mixtures and allows phonon propagation at these speeds</a:t>
          </a:r>
          <a:endParaRPr lang="en-US" sz="900"/>
        </a:p>
      </cdr:txBody>
    </cdr:sp>
  </cdr:relSizeAnchor>
  <cdr:relSizeAnchor xmlns:cdr="http://schemas.openxmlformats.org/drawingml/2006/chartDrawing">
    <cdr:from>
      <cdr:x>0.47847</cdr:x>
      <cdr:y>0.35714</cdr:y>
    </cdr:from>
    <cdr:to>
      <cdr:x>0.63041</cdr:x>
      <cdr:y>0.70734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1F6A519E-0779-45E6-AA16-56C2EF91632C}"/>
            </a:ext>
          </a:extLst>
        </cdr:cNvPr>
        <cdr:cNvCxnSpPr>
          <a:stCxn xmlns:a="http://schemas.openxmlformats.org/drawingml/2006/main" id="2" idx="0"/>
        </cdr:cNvCxnSpPr>
      </cdr:nvCxnSpPr>
      <cdr:spPr>
        <a:xfrm xmlns:a="http://schemas.openxmlformats.org/drawingml/2006/main" flipV="1">
          <a:off x="2078194" y="979714"/>
          <a:ext cx="659947" cy="960666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68</xdr:col>
      <xdr:colOff>371410</xdr:colOff>
      <xdr:row>68</xdr:row>
      <xdr:rowOff>1511</xdr:rowOff>
    </xdr:from>
    <xdr:to>
      <xdr:col>74</xdr:col>
      <xdr:colOff>452438</xdr:colOff>
      <xdr:row>83</xdr:row>
      <xdr:rowOff>125864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2B1652-BD95-4536-88A8-A3D02727A8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35</xdr:col>
      <xdr:colOff>445859</xdr:colOff>
      <xdr:row>13</xdr:row>
      <xdr:rowOff>21733</xdr:rowOff>
    </xdr:from>
    <xdr:to>
      <xdr:col>40</xdr:col>
      <xdr:colOff>53974</xdr:colOff>
      <xdr:row>27</xdr:row>
      <xdr:rowOff>97933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E25C93-A845-48B7-9965-1F53525B27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397328</xdr:colOff>
      <xdr:row>12</xdr:row>
      <xdr:rowOff>166007</xdr:rowOff>
    </xdr:from>
    <xdr:to>
      <xdr:col>31</xdr:col>
      <xdr:colOff>236764</xdr:colOff>
      <xdr:row>27</xdr:row>
      <xdr:rowOff>51707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B9E7F3C-9F9B-4E69-8A40-EDC215CB18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40</xdr:col>
      <xdr:colOff>184675</xdr:colOff>
      <xdr:row>13</xdr:row>
      <xdr:rowOff>152</xdr:rowOff>
    </xdr:from>
    <xdr:to>
      <xdr:col>45</xdr:col>
      <xdr:colOff>282647</xdr:colOff>
      <xdr:row>27</xdr:row>
      <xdr:rowOff>76352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C00318F-AAA6-4F9A-816B-09AE95CAB2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31</xdr:col>
      <xdr:colOff>353402</xdr:colOff>
      <xdr:row>12</xdr:row>
      <xdr:rowOff>92459</xdr:rowOff>
    </xdr:from>
    <xdr:to>
      <xdr:col>35</xdr:col>
      <xdr:colOff>328909</xdr:colOff>
      <xdr:row>26</xdr:row>
      <xdr:rowOff>168659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A2A6D77-BAF1-47F3-8020-4F39539050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35</xdr:col>
      <xdr:colOff>456745</xdr:colOff>
      <xdr:row>27</xdr:row>
      <xdr:rowOff>187810</xdr:rowOff>
    </xdr:from>
    <xdr:to>
      <xdr:col>40</xdr:col>
      <xdr:colOff>64860</xdr:colOff>
      <xdr:row>42</xdr:row>
      <xdr:rowOff>73510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23F0CA2-B540-41CF-98EC-4D2912AC22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408214</xdr:colOff>
      <xdr:row>27</xdr:row>
      <xdr:rowOff>141584</xdr:rowOff>
    </xdr:from>
    <xdr:to>
      <xdr:col>31</xdr:col>
      <xdr:colOff>247650</xdr:colOff>
      <xdr:row>42</xdr:row>
      <xdr:rowOff>27284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ED3D285-F15B-4A02-BDCF-687FF18704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40</xdr:col>
      <xdr:colOff>195561</xdr:colOff>
      <xdr:row>27</xdr:row>
      <xdr:rowOff>166229</xdr:rowOff>
    </xdr:from>
    <xdr:to>
      <xdr:col>45</xdr:col>
      <xdr:colOff>293533</xdr:colOff>
      <xdr:row>42</xdr:row>
      <xdr:rowOff>51929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F63AAEB-8288-4985-AF63-320380062A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31</xdr:col>
      <xdr:colOff>364288</xdr:colOff>
      <xdr:row>27</xdr:row>
      <xdr:rowOff>68036</xdr:rowOff>
    </xdr:from>
    <xdr:to>
      <xdr:col>35</xdr:col>
      <xdr:colOff>339795</xdr:colOff>
      <xdr:row>41</xdr:row>
      <xdr:rowOff>144236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0627202-FD3C-4D1E-AC9C-161CA72374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35</xdr:col>
      <xdr:colOff>473074</xdr:colOff>
      <xdr:row>43</xdr:row>
      <xdr:rowOff>27246</xdr:rowOff>
    </xdr:from>
    <xdr:to>
      <xdr:col>40</xdr:col>
      <xdr:colOff>81189</xdr:colOff>
      <xdr:row>57</xdr:row>
      <xdr:rowOff>103446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2F0534E-C5C6-452E-8592-D1CDB94DC0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25</xdr:col>
      <xdr:colOff>424543</xdr:colOff>
      <xdr:row>42</xdr:row>
      <xdr:rowOff>171520</xdr:rowOff>
    </xdr:from>
    <xdr:to>
      <xdr:col>31</xdr:col>
      <xdr:colOff>263979</xdr:colOff>
      <xdr:row>57</xdr:row>
      <xdr:rowOff>57220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15DDE1C-7467-4EFD-BF24-04CA055686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40</xdr:col>
      <xdr:colOff>211890</xdr:colOff>
      <xdr:row>43</xdr:row>
      <xdr:rowOff>5665</xdr:rowOff>
    </xdr:from>
    <xdr:to>
      <xdr:col>45</xdr:col>
      <xdr:colOff>309862</xdr:colOff>
      <xdr:row>57</xdr:row>
      <xdr:rowOff>81865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AAE31C0-E130-4790-8F0E-802FD44712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31</xdr:col>
      <xdr:colOff>380617</xdr:colOff>
      <xdr:row>42</xdr:row>
      <xdr:rowOff>97972</xdr:rowOff>
    </xdr:from>
    <xdr:to>
      <xdr:col>35</xdr:col>
      <xdr:colOff>356124</xdr:colOff>
      <xdr:row>56</xdr:row>
      <xdr:rowOff>174172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51942F6-79BD-4D4A-BC22-AD0BFDB83E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53</xdr:col>
      <xdr:colOff>326573</xdr:colOff>
      <xdr:row>28</xdr:row>
      <xdr:rowOff>27212</xdr:rowOff>
    </xdr:from>
    <xdr:to>
      <xdr:col>59</xdr:col>
      <xdr:colOff>410938</xdr:colOff>
      <xdr:row>42</xdr:row>
      <xdr:rowOff>103412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C21BF14-A678-415A-A09D-46AC07E3EE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57</xdr:col>
      <xdr:colOff>176894</xdr:colOff>
      <xdr:row>0</xdr:row>
      <xdr:rowOff>136071</xdr:rowOff>
    </xdr:from>
    <xdr:to>
      <xdr:col>64</xdr:col>
      <xdr:colOff>57151</xdr:colOff>
      <xdr:row>17</xdr:row>
      <xdr:rowOff>76200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81D67FD7-AC88-4B95-826C-005B84D871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47</xdr:col>
      <xdr:colOff>326572</xdr:colOff>
      <xdr:row>28</xdr:row>
      <xdr:rowOff>13607</xdr:rowOff>
    </xdr:from>
    <xdr:to>
      <xdr:col>53</xdr:col>
      <xdr:colOff>220436</xdr:colOff>
      <xdr:row>42</xdr:row>
      <xdr:rowOff>89807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4DCAB46C-80A9-4EF0-9A1B-3FB0988AC2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59</xdr:col>
      <xdr:colOff>598715</xdr:colOff>
      <xdr:row>28</xdr:row>
      <xdr:rowOff>54428</xdr:rowOff>
    </xdr:from>
    <xdr:to>
      <xdr:col>66</xdr:col>
      <xdr:colOff>478972</xdr:colOff>
      <xdr:row>42</xdr:row>
      <xdr:rowOff>130628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BA989382-B398-4B95-9A85-D21C4DE5DC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27</xdr:col>
      <xdr:colOff>244928</xdr:colOff>
      <xdr:row>12</xdr:row>
      <xdr:rowOff>-1</xdr:rowOff>
    </xdr:from>
    <xdr:to>
      <xdr:col>31</xdr:col>
      <xdr:colOff>1023257</xdr:colOff>
      <xdr:row>26</xdr:row>
      <xdr:rowOff>76199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6A231C7A-4557-4A48-BEE0-7FB8944C54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31</xdr:col>
      <xdr:colOff>1211036</xdr:colOff>
      <xdr:row>11</xdr:row>
      <xdr:rowOff>190499</xdr:rowOff>
    </xdr:from>
    <xdr:to>
      <xdr:col>36</xdr:col>
      <xdr:colOff>152400</xdr:colOff>
      <xdr:row>26</xdr:row>
      <xdr:rowOff>62592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5411EB35-6A47-45AA-A1A8-D29DC50D8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0.32026</cdr:x>
      <cdr:y>0.70734</cdr:y>
    </cdr:from>
    <cdr:to>
      <cdr:x>0.63668</cdr:x>
      <cdr:y>0.84127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8BE4D45-6694-44ED-811F-663B0EE87883}"/>
            </a:ext>
          </a:extLst>
        </cdr:cNvPr>
        <cdr:cNvSpPr txBox="1"/>
      </cdr:nvSpPr>
      <cdr:spPr>
        <a:xfrm xmlns:a="http://schemas.openxmlformats.org/drawingml/2006/main">
          <a:off x="1391033" y="1940380"/>
          <a:ext cx="1374322" cy="36739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/>
            <a:t>Possible indication that fast sound is</a:t>
          </a:r>
          <a:r>
            <a:rPr lang="en-US" sz="900" baseline="0"/>
            <a:t> occuring in NaCk. Perhaps in simple salts with higher proportion of metals (Na-Na), the observed fast sound is more dominant than in mixtures and allows phonon propagation at these speeds</a:t>
          </a:r>
          <a:endParaRPr lang="en-US" sz="900"/>
        </a:p>
      </cdr:txBody>
    </cdr:sp>
  </cdr:relSizeAnchor>
  <cdr:relSizeAnchor xmlns:cdr="http://schemas.openxmlformats.org/drawingml/2006/chartDrawing">
    <cdr:from>
      <cdr:x>0.47847</cdr:x>
      <cdr:y>0.35714</cdr:y>
    </cdr:from>
    <cdr:to>
      <cdr:x>0.63041</cdr:x>
      <cdr:y>0.70734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1F6A519E-0779-45E6-AA16-56C2EF91632C}"/>
            </a:ext>
          </a:extLst>
        </cdr:cNvPr>
        <cdr:cNvCxnSpPr>
          <a:stCxn xmlns:a="http://schemas.openxmlformats.org/drawingml/2006/main" id="2" idx="0"/>
        </cdr:cNvCxnSpPr>
      </cdr:nvCxnSpPr>
      <cdr:spPr>
        <a:xfrm xmlns:a="http://schemas.openxmlformats.org/drawingml/2006/main" flipV="1">
          <a:off x="2078194" y="979714"/>
          <a:ext cx="659947" cy="960666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0.32026</cdr:x>
      <cdr:y>0.70734</cdr:y>
    </cdr:from>
    <cdr:to>
      <cdr:x>0.63668</cdr:x>
      <cdr:y>0.84127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8BE4D45-6694-44ED-811F-663B0EE87883}"/>
            </a:ext>
          </a:extLst>
        </cdr:cNvPr>
        <cdr:cNvSpPr txBox="1"/>
      </cdr:nvSpPr>
      <cdr:spPr>
        <a:xfrm xmlns:a="http://schemas.openxmlformats.org/drawingml/2006/main">
          <a:off x="1391033" y="1940380"/>
          <a:ext cx="1374322" cy="36739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/>
            <a:t>Possible indication that fast sound is</a:t>
          </a:r>
          <a:r>
            <a:rPr lang="en-US" sz="900" baseline="0"/>
            <a:t> occuring in NaCk. Perhaps in simple salts with higher proportion of metals (Na-Na), the observed fast sound is more dominant than in mixtures and allows phonon propagation at these speeds</a:t>
          </a:r>
          <a:endParaRPr lang="en-US" sz="900"/>
        </a:p>
      </cdr:txBody>
    </cdr:sp>
  </cdr:relSizeAnchor>
  <cdr:relSizeAnchor xmlns:cdr="http://schemas.openxmlformats.org/drawingml/2006/chartDrawing">
    <cdr:from>
      <cdr:x>0.47847</cdr:x>
      <cdr:y>0.35714</cdr:y>
    </cdr:from>
    <cdr:to>
      <cdr:x>0.63041</cdr:x>
      <cdr:y>0.70734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1F6A519E-0779-45E6-AA16-56C2EF91632C}"/>
            </a:ext>
          </a:extLst>
        </cdr:cNvPr>
        <cdr:cNvCxnSpPr>
          <a:stCxn xmlns:a="http://schemas.openxmlformats.org/drawingml/2006/main" id="2" idx="0"/>
        </cdr:cNvCxnSpPr>
      </cdr:nvCxnSpPr>
      <cdr:spPr>
        <a:xfrm xmlns:a="http://schemas.openxmlformats.org/drawingml/2006/main" flipV="1">
          <a:off x="2078194" y="979714"/>
          <a:ext cx="659947" cy="960666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328614</xdr:colOff>
      <xdr:row>3</xdr:row>
      <xdr:rowOff>180975</xdr:rowOff>
    </xdr:from>
    <xdr:to>
      <xdr:col>15</xdr:col>
      <xdr:colOff>438150</xdr:colOff>
      <xdr:row>14</xdr:row>
      <xdr:rowOff>123825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BF99B557-46FC-417F-9A6B-3E23F20D95CF}"/>
            </a:ext>
          </a:extLst>
        </xdr:cNvPr>
        <xdr:cNvGrpSpPr/>
      </xdr:nvGrpSpPr>
      <xdr:grpSpPr>
        <a:xfrm>
          <a:off x="7034214" y="752475"/>
          <a:ext cx="2547936" cy="2038350"/>
          <a:chOff x="7034214" y="723900"/>
          <a:chExt cx="2547936" cy="2038350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00000000-0008-0000-0400-000002000000}"/>
              </a:ext>
            </a:extLst>
          </xdr:cNvPr>
          <xdr:cNvGraphicFramePr/>
        </xdr:nvGraphicFramePr>
        <xdr:xfrm>
          <a:off x="7034214" y="723900"/>
          <a:ext cx="2547936" cy="20383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5" name="TextBox 1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SpPr txBox="1"/>
        </xdr:nvSpPr>
        <xdr:spPr>
          <a:xfrm>
            <a:off x="8497887" y="1419225"/>
            <a:ext cx="733425" cy="180975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en-US" sz="1000">
                <a:solidFill>
                  <a:schemeClr val="accent3">
                    <a:lumMod val="50000"/>
                  </a:schemeClr>
                </a:solidFill>
              </a:rPr>
              <a:t>1456</a:t>
            </a:r>
          </a:p>
        </xdr:txBody>
      </xdr:sp>
      <xdr:sp macro="" textlink="">
        <xdr:nvSpPr>
          <xdr:cNvPr id="6" name="TextBox 1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SpPr txBox="1"/>
        </xdr:nvSpPr>
        <xdr:spPr>
          <a:xfrm>
            <a:off x="8372475" y="1617661"/>
            <a:ext cx="733425" cy="180975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en-US" sz="1000">
                <a:solidFill>
                  <a:schemeClr val="accent3">
                    <a:lumMod val="50000"/>
                  </a:schemeClr>
                </a:solidFill>
              </a:rPr>
              <a:t>1310</a:t>
            </a:r>
          </a:p>
        </xdr:txBody>
      </xdr:sp>
      <xdr:sp macro="" textlink="">
        <xdr:nvSpPr>
          <xdr:cNvPr id="7" name="TextBox 1">
            <a:extLst>
              <a:ext uri="{FF2B5EF4-FFF2-40B4-BE49-F238E27FC236}">
                <a16:creationId xmlns:a16="http://schemas.microsoft.com/office/drawing/2014/main" id="{00000000-0008-0000-0400-000007000000}"/>
              </a:ext>
            </a:extLst>
          </xdr:cNvPr>
          <xdr:cNvSpPr txBox="1"/>
        </xdr:nvSpPr>
        <xdr:spPr>
          <a:xfrm>
            <a:off x="8059737" y="1952625"/>
            <a:ext cx="733425" cy="180975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en-US" sz="1000">
                <a:solidFill>
                  <a:schemeClr val="accent3">
                    <a:lumMod val="50000"/>
                  </a:schemeClr>
                </a:solidFill>
              </a:rPr>
              <a:t>2.15</a:t>
            </a:r>
            <a:r>
              <a:rPr lang="en-US" sz="800">
                <a:solidFill>
                  <a:schemeClr val="accent3">
                    <a:lumMod val="50000"/>
                  </a:schemeClr>
                </a:solidFill>
              </a:rPr>
              <a:t>E</a:t>
            </a:r>
            <a:r>
              <a:rPr lang="en-US" sz="1000">
                <a:solidFill>
                  <a:schemeClr val="accent3">
                    <a:lumMod val="50000"/>
                  </a:schemeClr>
                </a:solidFill>
              </a:rPr>
              <a:t>6</a:t>
            </a:r>
          </a:p>
        </xdr:txBody>
      </xdr:sp>
      <xdr:sp macro="" textlink="">
        <xdr:nvSpPr>
          <xdr:cNvPr id="8" name="TextBox 1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SpPr txBox="1"/>
        </xdr:nvSpPr>
        <xdr:spPr>
          <a:xfrm>
            <a:off x="8572500" y="2151061"/>
            <a:ext cx="733425" cy="180975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en-US" sz="1000">
                <a:solidFill>
                  <a:schemeClr val="accent3">
                    <a:lumMod val="50000"/>
                  </a:schemeClr>
                </a:solidFill>
              </a:rPr>
              <a:t>3.27</a:t>
            </a:r>
            <a:r>
              <a:rPr lang="en-US" sz="800">
                <a:solidFill>
                  <a:schemeClr val="accent3">
                    <a:lumMod val="50000"/>
                  </a:schemeClr>
                </a:solidFill>
              </a:rPr>
              <a:t>E</a:t>
            </a:r>
            <a:r>
              <a:rPr lang="en-US" sz="1000">
                <a:solidFill>
                  <a:schemeClr val="accent3">
                    <a:lumMod val="50000"/>
                  </a:schemeClr>
                </a:solidFill>
              </a:rPr>
              <a:t>6</a:t>
            </a:r>
          </a:p>
        </xdr:txBody>
      </xdr:sp>
    </xdr:grpSp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0.52727</cdr:x>
      <cdr:y>0.08032</cdr:y>
    </cdr:from>
    <cdr:to>
      <cdr:x>0.82056</cdr:x>
      <cdr:y>0.19159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70659C8-1DF1-4E1E-9D99-2580145F3C65}"/>
            </a:ext>
          </a:extLst>
        </cdr:cNvPr>
        <cdr:cNvSpPr txBox="1"/>
      </cdr:nvSpPr>
      <cdr:spPr>
        <a:xfrm xmlns:a="http://schemas.openxmlformats.org/drawingml/2006/main">
          <a:off x="1343442" y="163711"/>
          <a:ext cx="747293" cy="2268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000">
              <a:solidFill>
                <a:schemeClr val="accent3">
                  <a:lumMod val="50000"/>
                </a:schemeClr>
              </a:solidFill>
            </a:rPr>
            <a:t>2.37</a:t>
          </a:r>
          <a:r>
            <a:rPr lang="en-US" sz="800">
              <a:solidFill>
                <a:schemeClr val="accent3">
                  <a:lumMod val="50000"/>
                </a:schemeClr>
              </a:solidFill>
            </a:rPr>
            <a:t>E</a:t>
          </a:r>
          <a:r>
            <a:rPr lang="en-US" sz="1000">
              <a:solidFill>
                <a:schemeClr val="accent3">
                  <a:lumMod val="50000"/>
                </a:schemeClr>
              </a:solidFill>
            </a:rPr>
            <a:t>-10</a:t>
          </a:r>
        </a:p>
      </cdr:txBody>
    </cdr:sp>
  </cdr:relSizeAnchor>
  <cdr:relSizeAnchor xmlns:cdr="http://schemas.openxmlformats.org/drawingml/2006/chartDrawing">
    <cdr:from>
      <cdr:x>0.37457</cdr:x>
      <cdr:y>0.17621</cdr:y>
    </cdr:from>
    <cdr:to>
      <cdr:x>0.67477</cdr:x>
      <cdr:y>0.29439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E6B34D79-9261-439B-B3CD-F43D52AE12F6}"/>
            </a:ext>
          </a:extLst>
        </cdr:cNvPr>
        <cdr:cNvSpPr txBox="1"/>
      </cdr:nvSpPr>
      <cdr:spPr>
        <a:xfrm xmlns:a="http://schemas.openxmlformats.org/drawingml/2006/main">
          <a:off x="954383" y="359173"/>
          <a:ext cx="764878" cy="2409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>
              <a:solidFill>
                <a:schemeClr val="accent3">
                  <a:lumMod val="50000"/>
                </a:schemeClr>
              </a:solidFill>
            </a:rPr>
            <a:t>1.71</a:t>
          </a:r>
          <a:r>
            <a:rPr lang="en-US" sz="800">
              <a:solidFill>
                <a:schemeClr val="accent3">
                  <a:lumMod val="50000"/>
                </a:schemeClr>
              </a:solidFill>
            </a:rPr>
            <a:t>E</a:t>
          </a:r>
          <a:r>
            <a:rPr lang="en-US" sz="1000">
              <a:solidFill>
                <a:schemeClr val="accent3">
                  <a:lumMod val="50000"/>
                </a:schemeClr>
              </a:solidFill>
            </a:rPr>
            <a:t>-10</a:t>
          </a:r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114</xdr:col>
      <xdr:colOff>371410</xdr:colOff>
      <xdr:row>79</xdr:row>
      <xdr:rowOff>1511</xdr:rowOff>
    </xdr:from>
    <xdr:to>
      <xdr:col>120</xdr:col>
      <xdr:colOff>452438</xdr:colOff>
      <xdr:row>94</xdr:row>
      <xdr:rowOff>125864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B6EB7D-56EB-4CD5-BB7A-692D1B5444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68</xdr:col>
      <xdr:colOff>597248</xdr:colOff>
      <xdr:row>24</xdr:row>
      <xdr:rowOff>10129</xdr:rowOff>
    </xdr:from>
    <xdr:to>
      <xdr:col>73</xdr:col>
      <xdr:colOff>130523</xdr:colOff>
      <xdr:row>38</xdr:row>
      <xdr:rowOff>86329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E8449E-E6BF-4D96-BCAB-1AE922E6A8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58</xdr:col>
      <xdr:colOff>215143</xdr:colOff>
      <xdr:row>24</xdr:row>
      <xdr:rowOff>1057</xdr:rowOff>
    </xdr:from>
    <xdr:to>
      <xdr:col>62</xdr:col>
      <xdr:colOff>1083468</xdr:colOff>
      <xdr:row>38</xdr:row>
      <xdr:rowOff>77257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41D05CA-98B0-46EF-ADB2-624B587211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74</xdr:col>
      <xdr:colOff>12166</xdr:colOff>
      <xdr:row>23</xdr:row>
      <xdr:rowOff>115961</xdr:rowOff>
    </xdr:from>
    <xdr:to>
      <xdr:col>78</xdr:col>
      <xdr:colOff>593191</xdr:colOff>
      <xdr:row>38</xdr:row>
      <xdr:rowOff>1661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1BD3A57-8321-463A-BD7D-7C4AF53503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63</xdr:col>
      <xdr:colOff>445883</xdr:colOff>
      <xdr:row>24</xdr:row>
      <xdr:rowOff>10129</xdr:rowOff>
    </xdr:from>
    <xdr:to>
      <xdr:col>67</xdr:col>
      <xdr:colOff>383970</xdr:colOff>
      <xdr:row>38</xdr:row>
      <xdr:rowOff>86329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3EB5F7E-78A9-4FBC-B907-BA5113D2DD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99</xdr:col>
      <xdr:colOff>326573</xdr:colOff>
      <xdr:row>39</xdr:row>
      <xdr:rowOff>27212</xdr:rowOff>
    </xdr:from>
    <xdr:to>
      <xdr:col>105</xdr:col>
      <xdr:colOff>410938</xdr:colOff>
      <xdr:row>53</xdr:row>
      <xdr:rowOff>103412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114B7F2-9CF6-40EB-969F-4262B7154E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99</xdr:col>
      <xdr:colOff>462644</xdr:colOff>
      <xdr:row>31</xdr:row>
      <xdr:rowOff>40821</xdr:rowOff>
    </xdr:from>
    <xdr:to>
      <xdr:col>105</xdr:col>
      <xdr:colOff>206829</xdr:colOff>
      <xdr:row>49</xdr:row>
      <xdr:rowOff>144236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11B46F3-2D1D-4906-8B2B-01DD73E1E6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90</xdr:col>
      <xdr:colOff>326572</xdr:colOff>
      <xdr:row>39</xdr:row>
      <xdr:rowOff>13607</xdr:rowOff>
    </xdr:from>
    <xdr:to>
      <xdr:col>97</xdr:col>
      <xdr:colOff>421520</xdr:colOff>
      <xdr:row>53</xdr:row>
      <xdr:rowOff>5141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0BCCBEE-182F-4836-9B28-FBFCCC7057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105</xdr:col>
      <xdr:colOff>598715</xdr:colOff>
      <xdr:row>39</xdr:row>
      <xdr:rowOff>54428</xdr:rowOff>
    </xdr:from>
    <xdr:to>
      <xdr:col>112</xdr:col>
      <xdr:colOff>478972</xdr:colOff>
      <xdr:row>53</xdr:row>
      <xdr:rowOff>130628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C7C463E-463B-48D5-8ECB-9D466E5022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63</xdr:col>
      <xdr:colOff>430008</xdr:colOff>
      <xdr:row>38</xdr:row>
      <xdr:rowOff>50649</xdr:rowOff>
    </xdr:from>
    <xdr:to>
      <xdr:col>67</xdr:col>
      <xdr:colOff>368095</xdr:colOff>
      <xdr:row>52</xdr:row>
      <xdr:rowOff>126849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CA9752F-5A40-43FD-A1EF-C72A903A7C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74</xdr:col>
      <xdr:colOff>78236</xdr:colOff>
      <xdr:row>38</xdr:row>
      <xdr:rowOff>10582</xdr:rowOff>
    </xdr:from>
    <xdr:to>
      <xdr:col>78</xdr:col>
      <xdr:colOff>659261</xdr:colOff>
      <xdr:row>52</xdr:row>
      <xdr:rowOff>86782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23B56AA-59DE-4294-8DC2-7F7058E091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58</xdr:col>
      <xdr:colOff>199268</xdr:colOff>
      <xdr:row>38</xdr:row>
      <xdr:rowOff>35530</xdr:rowOff>
    </xdr:from>
    <xdr:to>
      <xdr:col>62</xdr:col>
      <xdr:colOff>928687</xdr:colOff>
      <xdr:row>52</xdr:row>
      <xdr:rowOff>111730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57FD53F-EEC6-40F6-9343-E9932D5FF7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78</xdr:col>
      <xdr:colOff>896560</xdr:colOff>
      <xdr:row>46</xdr:row>
      <xdr:rowOff>112638</xdr:rowOff>
    </xdr:from>
    <xdr:to>
      <xdr:col>84</xdr:col>
      <xdr:colOff>596522</xdr:colOff>
      <xdr:row>60</xdr:row>
      <xdr:rowOff>188838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62B19E5-7DA4-4128-8865-D532F21FC2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79</xdr:col>
      <xdr:colOff>135314</xdr:colOff>
      <xdr:row>66</xdr:row>
      <xdr:rowOff>125486</xdr:rowOff>
    </xdr:from>
    <xdr:to>
      <xdr:col>85</xdr:col>
      <xdr:colOff>121027</xdr:colOff>
      <xdr:row>81</xdr:row>
      <xdr:rowOff>11186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D273EB6D-F55F-47DD-AF1C-3C4C5F0F33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63</xdr:col>
      <xdr:colOff>464155</xdr:colOff>
      <xdr:row>82</xdr:row>
      <xdr:rowOff>92983</xdr:rowOff>
    </xdr:from>
    <xdr:to>
      <xdr:col>67</xdr:col>
      <xdr:colOff>402242</xdr:colOff>
      <xdr:row>96</xdr:row>
      <xdr:rowOff>169183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6787EEF-3ECE-49A8-A39C-C6D5A884E8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58</xdr:col>
      <xdr:colOff>195036</xdr:colOff>
      <xdr:row>82</xdr:row>
      <xdr:rowOff>96763</xdr:rowOff>
    </xdr:from>
    <xdr:to>
      <xdr:col>62</xdr:col>
      <xdr:colOff>537936</xdr:colOff>
      <xdr:row>96</xdr:row>
      <xdr:rowOff>172963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966BE7E-4D51-4126-A7F8-7D1B515975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54</xdr:col>
      <xdr:colOff>695477</xdr:colOff>
      <xdr:row>24</xdr:row>
      <xdr:rowOff>30237</xdr:rowOff>
    </xdr:from>
    <xdr:to>
      <xdr:col>58</xdr:col>
      <xdr:colOff>75596</xdr:colOff>
      <xdr:row>28</xdr:row>
      <xdr:rowOff>120952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650D6D71-0C6D-4093-A7CC-15A8059D4E40}"/>
            </a:ext>
          </a:extLst>
        </xdr:cNvPr>
        <xdr:cNvSpPr txBox="1"/>
      </xdr:nvSpPr>
      <xdr:spPr>
        <a:xfrm>
          <a:off x="35680802" y="5535687"/>
          <a:ext cx="3342519" cy="8527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/>
            <a:t>vs: Salt</a:t>
          </a:r>
        </a:p>
        <a:p>
          <a:r>
            <a:rPr lang="en-US" sz="2000"/>
            <a:t>peak: Avg</a:t>
          </a:r>
        </a:p>
      </xdr:txBody>
    </xdr:sp>
    <xdr:clientData/>
  </xdr:twoCellAnchor>
  <xdr:twoCellAnchor>
    <xdr:from>
      <xdr:col>54</xdr:col>
      <xdr:colOff>666448</xdr:colOff>
      <xdr:row>38</xdr:row>
      <xdr:rowOff>31448</xdr:rowOff>
    </xdr:from>
    <xdr:to>
      <xdr:col>58</xdr:col>
      <xdr:colOff>46567</xdr:colOff>
      <xdr:row>42</xdr:row>
      <xdr:rowOff>122162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A775E592-487E-4FE1-B39C-20950B0DEC63}"/>
            </a:ext>
          </a:extLst>
        </xdr:cNvPr>
        <xdr:cNvSpPr txBox="1"/>
      </xdr:nvSpPr>
      <xdr:spPr>
        <a:xfrm>
          <a:off x="35651773" y="8203898"/>
          <a:ext cx="3342519" cy="85271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/>
            <a:t>vs: Metal</a:t>
          </a:r>
        </a:p>
        <a:p>
          <a:r>
            <a:rPr lang="en-US" sz="2000"/>
            <a:t>peak: Avg</a:t>
          </a:r>
        </a:p>
      </xdr:txBody>
    </xdr:sp>
    <xdr:clientData/>
  </xdr:twoCellAnchor>
  <xdr:twoCellAnchor>
    <xdr:from>
      <xdr:col>54</xdr:col>
      <xdr:colOff>564848</xdr:colOff>
      <xdr:row>83</xdr:row>
      <xdr:rowOff>15272</xdr:rowOff>
    </xdr:from>
    <xdr:to>
      <xdr:col>58</xdr:col>
      <xdr:colOff>61989</xdr:colOff>
      <xdr:row>87</xdr:row>
      <xdr:rowOff>105986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BC14EC8F-084B-4EA8-9ADB-ABAD06B54A3A}"/>
            </a:ext>
          </a:extLst>
        </xdr:cNvPr>
        <xdr:cNvSpPr txBox="1"/>
      </xdr:nvSpPr>
      <xdr:spPr>
        <a:xfrm>
          <a:off x="35550173" y="16760222"/>
          <a:ext cx="3459541" cy="85271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/>
            <a:t>vs: Salt</a:t>
          </a:r>
        </a:p>
        <a:p>
          <a:r>
            <a:rPr lang="en-US" sz="2000"/>
            <a:t>peak: Metal</a:t>
          </a:r>
        </a:p>
      </xdr:txBody>
    </xdr:sp>
    <xdr:clientData/>
  </xdr:twoCellAnchor>
  <xdr:twoCellAnchor>
    <xdr:from>
      <xdr:col>54</xdr:col>
      <xdr:colOff>611414</xdr:colOff>
      <xdr:row>97</xdr:row>
      <xdr:rowOff>61839</xdr:rowOff>
    </xdr:from>
    <xdr:to>
      <xdr:col>58</xdr:col>
      <xdr:colOff>93739</xdr:colOff>
      <xdr:row>101</xdr:row>
      <xdr:rowOff>146506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E61475FF-47AD-4C69-8CBB-1E2E7C5062CD}"/>
            </a:ext>
          </a:extLst>
        </xdr:cNvPr>
        <xdr:cNvSpPr txBox="1"/>
      </xdr:nvSpPr>
      <xdr:spPr>
        <a:xfrm>
          <a:off x="35596739" y="19473789"/>
          <a:ext cx="3444725" cy="8466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/>
            <a:t>vs: Metal</a:t>
          </a:r>
        </a:p>
        <a:p>
          <a:r>
            <a:rPr lang="en-US" sz="2000"/>
            <a:t>peak: Metal</a:t>
          </a:r>
        </a:p>
      </xdr:txBody>
    </xdr:sp>
    <xdr:clientData/>
  </xdr:twoCellAnchor>
  <xdr:twoCellAnchor>
    <xdr:from>
      <xdr:col>58</xdr:col>
      <xdr:colOff>244928</xdr:colOff>
      <xdr:row>96</xdr:row>
      <xdr:rowOff>188234</xdr:rowOff>
    </xdr:from>
    <xdr:to>
      <xdr:col>62</xdr:col>
      <xdr:colOff>587828</xdr:colOff>
      <xdr:row>111</xdr:row>
      <xdr:rowOff>73934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188F1E75-72CF-4CDF-898E-B2B56ACDF6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53</xdr:col>
      <xdr:colOff>0</xdr:colOff>
      <xdr:row>44</xdr:row>
      <xdr:rowOff>0</xdr:rowOff>
    </xdr:from>
    <xdr:to>
      <xdr:col>54</xdr:col>
      <xdr:colOff>376482</xdr:colOff>
      <xdr:row>45</xdr:row>
      <xdr:rowOff>170849</xdr:rowOff>
    </xdr:to>
    <xdr:sp macro="" textlink="">
      <xdr:nvSpPr>
        <xdr:cNvPr id="23" name="TextBox 1">
          <a:extLst>
            <a:ext uri="{FF2B5EF4-FFF2-40B4-BE49-F238E27FC236}">
              <a16:creationId xmlns:a16="http://schemas.microsoft.com/office/drawing/2014/main" id="{16C90715-73D9-4968-8D08-B4C70041BD1E}"/>
            </a:ext>
          </a:extLst>
        </xdr:cNvPr>
        <xdr:cNvSpPr txBox="1"/>
      </xdr:nvSpPr>
      <xdr:spPr>
        <a:xfrm>
          <a:off x="33994725" y="9315450"/>
          <a:ext cx="1367082" cy="361349"/>
        </a:xfrm>
        <a:prstGeom prst="rect">
          <a:avLst/>
        </a:prstGeom>
        <a:solidFill>
          <a:schemeClr val="bg1"/>
        </a:solidFill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sz="900"/>
            <a:t>Possible indication that fast sound is</a:t>
          </a:r>
          <a:r>
            <a:rPr lang="en-US" sz="900" baseline="0"/>
            <a:t> occuring in NaCk. Perhaps in simple salts with higher proportion of metals (Na-Na), the observed fast sound is more dominant than in mixtures and allows phonon propagation at these speeds</a:t>
          </a:r>
          <a:endParaRPr lang="en-US" sz="900"/>
        </a:p>
      </xdr:txBody>
    </xdr:sp>
    <xdr:clientData/>
  </xdr:twoCellAnchor>
  <xdr:twoCellAnchor>
    <xdr:from>
      <xdr:col>63</xdr:col>
      <xdr:colOff>486833</xdr:colOff>
      <xdr:row>96</xdr:row>
      <xdr:rowOff>157995</xdr:rowOff>
    </xdr:from>
    <xdr:to>
      <xdr:col>67</xdr:col>
      <xdr:colOff>424920</xdr:colOff>
      <xdr:row>111</xdr:row>
      <xdr:rowOff>43695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899DB4CC-E6C3-4B8A-B875-512EA8CDC0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68</xdr:col>
      <xdr:colOff>574522</xdr:colOff>
      <xdr:row>38</xdr:row>
      <xdr:rowOff>90713</xdr:rowOff>
    </xdr:from>
    <xdr:to>
      <xdr:col>73</xdr:col>
      <xdr:colOff>107797</xdr:colOff>
      <xdr:row>52</xdr:row>
      <xdr:rowOff>166913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98959159-3174-4E92-8359-9C218F00B2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68</xdr:col>
      <xdr:colOff>577547</xdr:colOff>
      <xdr:row>82</xdr:row>
      <xdr:rowOff>118685</xdr:rowOff>
    </xdr:from>
    <xdr:to>
      <xdr:col>73</xdr:col>
      <xdr:colOff>110822</xdr:colOff>
      <xdr:row>97</xdr:row>
      <xdr:rowOff>4385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2A05B20-433D-46A2-835A-DFBBB3563F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68</xdr:col>
      <xdr:colOff>592666</xdr:colOff>
      <xdr:row>96</xdr:row>
      <xdr:rowOff>133804</xdr:rowOff>
    </xdr:from>
    <xdr:to>
      <xdr:col>73</xdr:col>
      <xdr:colOff>125941</xdr:colOff>
      <xdr:row>111</xdr:row>
      <xdr:rowOff>19504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4F39021D-5BB3-49D3-8639-0D6E9BFE9E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74</xdr:col>
      <xdr:colOff>78619</xdr:colOff>
      <xdr:row>82</xdr:row>
      <xdr:rowOff>73328</xdr:rowOff>
    </xdr:from>
    <xdr:to>
      <xdr:col>78</xdr:col>
      <xdr:colOff>659644</xdr:colOff>
      <xdr:row>96</xdr:row>
      <xdr:rowOff>149528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FAF9D233-D670-49A0-819C-98D3978592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74</xdr:col>
      <xdr:colOff>78619</xdr:colOff>
      <xdr:row>96</xdr:row>
      <xdr:rowOff>142875</xdr:rowOff>
    </xdr:from>
    <xdr:to>
      <xdr:col>78</xdr:col>
      <xdr:colOff>659644</xdr:colOff>
      <xdr:row>111</xdr:row>
      <xdr:rowOff>28575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9858D6CA-D8F0-4240-BA8E-E4A0F52F95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63</xdr:col>
      <xdr:colOff>476854</xdr:colOff>
      <xdr:row>68</xdr:row>
      <xdr:rowOff>32505</xdr:rowOff>
    </xdr:from>
    <xdr:to>
      <xdr:col>67</xdr:col>
      <xdr:colOff>414941</xdr:colOff>
      <xdr:row>82</xdr:row>
      <xdr:rowOff>108705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69FA3689-2E59-4A0A-A014-70810EA630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58</xdr:col>
      <xdr:colOff>207735</xdr:colOff>
      <xdr:row>68</xdr:row>
      <xdr:rowOff>36285</xdr:rowOff>
    </xdr:from>
    <xdr:to>
      <xdr:col>62</xdr:col>
      <xdr:colOff>550635</xdr:colOff>
      <xdr:row>82</xdr:row>
      <xdr:rowOff>112485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EC7D1550-15B9-447D-893E-54AA28BEF9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54</xdr:col>
      <xdr:colOff>577547</xdr:colOff>
      <xdr:row>68</xdr:row>
      <xdr:rowOff>145295</xdr:rowOff>
    </xdr:from>
    <xdr:to>
      <xdr:col>58</xdr:col>
      <xdr:colOff>65163</xdr:colOff>
      <xdr:row>73</xdr:row>
      <xdr:rowOff>45509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89DDC47D-D812-4F9A-8B41-8521524F79DB}"/>
            </a:ext>
          </a:extLst>
        </xdr:cNvPr>
        <xdr:cNvSpPr txBox="1"/>
      </xdr:nvSpPr>
      <xdr:spPr>
        <a:xfrm>
          <a:off x="35562872" y="14032745"/>
          <a:ext cx="3450016" cy="85271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/>
            <a:t>vs: Avg</a:t>
          </a:r>
        </a:p>
        <a:p>
          <a:r>
            <a:rPr lang="en-US" sz="2000"/>
            <a:t>peak: Avg</a:t>
          </a:r>
        </a:p>
      </xdr:txBody>
    </xdr:sp>
    <xdr:clientData/>
  </xdr:twoCellAnchor>
  <xdr:twoCellAnchor>
    <xdr:from>
      <xdr:col>68</xdr:col>
      <xdr:colOff>590246</xdr:colOff>
      <xdr:row>68</xdr:row>
      <xdr:rowOff>58207</xdr:rowOff>
    </xdr:from>
    <xdr:to>
      <xdr:col>73</xdr:col>
      <xdr:colOff>123521</xdr:colOff>
      <xdr:row>82</xdr:row>
      <xdr:rowOff>134407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584E9D80-59D2-405E-A066-95E0A64DDF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74</xdr:col>
      <xdr:colOff>91318</xdr:colOff>
      <xdr:row>68</xdr:row>
      <xdr:rowOff>12850</xdr:rowOff>
    </xdr:from>
    <xdr:to>
      <xdr:col>78</xdr:col>
      <xdr:colOff>672343</xdr:colOff>
      <xdr:row>82</xdr:row>
      <xdr:rowOff>89050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5DB85B29-42C0-49F0-9F4D-76B9B7ADDF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63</xdr:col>
      <xdr:colOff>486682</xdr:colOff>
      <xdr:row>52</xdr:row>
      <xdr:rowOff>178405</xdr:rowOff>
    </xdr:from>
    <xdr:to>
      <xdr:col>67</xdr:col>
      <xdr:colOff>424769</xdr:colOff>
      <xdr:row>67</xdr:row>
      <xdr:rowOff>64105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A9E6E5A6-FBE2-47C8-BD91-2B5F1ABFFD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58</xdr:col>
      <xdr:colOff>217563</xdr:colOff>
      <xdr:row>52</xdr:row>
      <xdr:rowOff>182185</xdr:rowOff>
    </xdr:from>
    <xdr:to>
      <xdr:col>62</xdr:col>
      <xdr:colOff>916781</xdr:colOff>
      <xdr:row>67</xdr:row>
      <xdr:rowOff>67885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11BF22FD-9F03-42A8-BB4D-2D1A735B5A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54</xdr:col>
      <xdr:colOff>587375</xdr:colOff>
      <xdr:row>53</xdr:row>
      <xdr:rowOff>100695</xdr:rowOff>
    </xdr:from>
    <xdr:to>
      <xdr:col>58</xdr:col>
      <xdr:colOff>74991</xdr:colOff>
      <xdr:row>58</xdr:row>
      <xdr:rowOff>909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BD73AFF-AE26-4764-B954-0A3DBC5F99BD}"/>
            </a:ext>
          </a:extLst>
        </xdr:cNvPr>
        <xdr:cNvSpPr txBox="1"/>
      </xdr:nvSpPr>
      <xdr:spPr>
        <a:xfrm>
          <a:off x="35572700" y="11130645"/>
          <a:ext cx="3450016" cy="85271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/>
            <a:t>vs: Avg</a:t>
          </a:r>
        </a:p>
        <a:p>
          <a:r>
            <a:rPr lang="en-US" sz="2000"/>
            <a:t>peak: Metal</a:t>
          </a:r>
        </a:p>
      </xdr:txBody>
    </xdr:sp>
    <xdr:clientData/>
  </xdr:twoCellAnchor>
  <xdr:twoCellAnchor>
    <xdr:from>
      <xdr:col>68</xdr:col>
      <xdr:colOff>600074</xdr:colOff>
      <xdr:row>53</xdr:row>
      <xdr:rowOff>13607</xdr:rowOff>
    </xdr:from>
    <xdr:to>
      <xdr:col>73</xdr:col>
      <xdr:colOff>133349</xdr:colOff>
      <xdr:row>67</xdr:row>
      <xdr:rowOff>89807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93362C5C-C203-4819-A8C0-370BF31FDA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74</xdr:col>
      <xdr:colOff>101146</xdr:colOff>
      <xdr:row>52</xdr:row>
      <xdr:rowOff>158750</xdr:rowOff>
    </xdr:from>
    <xdr:to>
      <xdr:col>78</xdr:col>
      <xdr:colOff>682171</xdr:colOff>
      <xdr:row>67</xdr:row>
      <xdr:rowOff>44450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B38FF71E-BBEC-4A25-8927-61996B658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80</xdr:col>
      <xdr:colOff>451757</xdr:colOff>
      <xdr:row>24</xdr:row>
      <xdr:rowOff>97972</xdr:rowOff>
    </xdr:from>
    <xdr:to>
      <xdr:col>85</xdr:col>
      <xdr:colOff>395968</xdr:colOff>
      <xdr:row>38</xdr:row>
      <xdr:rowOff>174172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47F1B3AF-66EB-4ED3-B6AF-C80CDD6BD2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85</xdr:col>
      <xdr:colOff>628650</xdr:colOff>
      <xdr:row>24</xdr:row>
      <xdr:rowOff>38100</xdr:rowOff>
    </xdr:from>
    <xdr:to>
      <xdr:col>91</xdr:col>
      <xdr:colOff>553811</xdr:colOff>
      <xdr:row>38</xdr:row>
      <xdr:rowOff>114300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C862AC53-B6BE-44B4-A94C-AB611A4E40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49</xdr:col>
      <xdr:colOff>983833</xdr:colOff>
      <xdr:row>50</xdr:row>
      <xdr:rowOff>141515</xdr:rowOff>
    </xdr:from>
    <xdr:to>
      <xdr:col>53</xdr:col>
      <xdr:colOff>904953</xdr:colOff>
      <xdr:row>68</xdr:row>
      <xdr:rowOff>98894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08FAC0CE-FCC5-43C8-ABC9-90A5675733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49</xdr:col>
      <xdr:colOff>572738</xdr:colOff>
      <xdr:row>22</xdr:row>
      <xdr:rowOff>17415</xdr:rowOff>
    </xdr:from>
    <xdr:to>
      <xdr:col>54</xdr:col>
      <xdr:colOff>244929</xdr:colOff>
      <xdr:row>38</xdr:row>
      <xdr:rowOff>95249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66471D3E-B738-4541-B687-330EF08ED3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40</xdr:col>
      <xdr:colOff>702899</xdr:colOff>
      <xdr:row>25</xdr:row>
      <xdr:rowOff>30040</xdr:rowOff>
    </xdr:from>
    <xdr:to>
      <xdr:col>50</xdr:col>
      <xdr:colOff>1125620</xdr:colOff>
      <xdr:row>39</xdr:row>
      <xdr:rowOff>93870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B69266B8-A5B9-4A7C-B4F0-B58A0406BD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46</xdr:col>
      <xdr:colOff>71438</xdr:colOff>
      <xdr:row>41</xdr:row>
      <xdr:rowOff>47625</xdr:rowOff>
    </xdr:from>
    <xdr:to>
      <xdr:col>50</xdr:col>
      <xdr:colOff>1033463</xdr:colOff>
      <xdr:row>55</xdr:row>
      <xdr:rowOff>123825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3255D866-EC78-4EF9-B197-75D8479CAE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37</xdr:col>
      <xdr:colOff>255048</xdr:colOff>
      <xdr:row>10</xdr:row>
      <xdr:rowOff>85345</xdr:rowOff>
    </xdr:from>
    <xdr:to>
      <xdr:col>44</xdr:col>
      <xdr:colOff>642607</xdr:colOff>
      <xdr:row>34</xdr:row>
      <xdr:rowOff>124385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180AACE6-6463-408E-A31A-4E84BA9513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32</xdr:col>
      <xdr:colOff>587375</xdr:colOff>
      <xdr:row>67</xdr:row>
      <xdr:rowOff>15874</xdr:rowOff>
    </xdr:from>
    <xdr:to>
      <xdr:col>45</xdr:col>
      <xdr:colOff>508000</xdr:colOff>
      <xdr:row>84</xdr:row>
      <xdr:rowOff>57479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1C3B3D8A-023C-4237-BD57-B08C53F62B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25</xdr:col>
      <xdr:colOff>205808</xdr:colOff>
      <xdr:row>43</xdr:row>
      <xdr:rowOff>32317</xdr:rowOff>
    </xdr:from>
    <xdr:to>
      <xdr:col>37</xdr:col>
      <xdr:colOff>136071</xdr:colOff>
      <xdr:row>61</xdr:row>
      <xdr:rowOff>108856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1ACFDB46-9C69-4CF2-9AD9-1E84463D0C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19</xdr:col>
      <xdr:colOff>455838</xdr:colOff>
      <xdr:row>28</xdr:row>
      <xdr:rowOff>189820</xdr:rowOff>
    </xdr:from>
    <xdr:to>
      <xdr:col>25</xdr:col>
      <xdr:colOff>449036</xdr:colOff>
      <xdr:row>46</xdr:row>
      <xdr:rowOff>136072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5F7DB6D2-DA18-4CD3-A0A6-530F7E3D9E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17</xdr:col>
      <xdr:colOff>716643</xdr:colOff>
      <xdr:row>55</xdr:row>
      <xdr:rowOff>116416</xdr:rowOff>
    </xdr:from>
    <xdr:to>
      <xdr:col>23</xdr:col>
      <xdr:colOff>791484</xdr:colOff>
      <xdr:row>73</xdr:row>
      <xdr:rowOff>62668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BE7B306D-2CC9-42C4-8542-533BF62313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36</xdr:col>
      <xdr:colOff>421822</xdr:colOff>
      <xdr:row>36</xdr:row>
      <xdr:rowOff>0</xdr:rowOff>
    </xdr:from>
    <xdr:to>
      <xdr:col>42</xdr:col>
      <xdr:colOff>642299</xdr:colOff>
      <xdr:row>53</xdr:row>
      <xdr:rowOff>147879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BDBAECD2-256E-4904-A18E-25750F266F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46</xdr:col>
      <xdr:colOff>182185</xdr:colOff>
      <xdr:row>16</xdr:row>
      <xdr:rowOff>71058</xdr:rowOff>
    </xdr:from>
    <xdr:to>
      <xdr:col>51</xdr:col>
      <xdr:colOff>1143000</xdr:colOff>
      <xdr:row>42</xdr:row>
      <xdr:rowOff>126999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B7664DBE-3B52-4B67-9BC1-E77CF478C6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</xdr:wsDr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0.32026</cdr:x>
      <cdr:y>0.70734</cdr:y>
    </cdr:from>
    <cdr:to>
      <cdr:x>0.63668</cdr:x>
      <cdr:y>0.84127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8BE4D45-6694-44ED-811F-663B0EE87883}"/>
            </a:ext>
          </a:extLst>
        </cdr:cNvPr>
        <cdr:cNvSpPr txBox="1"/>
      </cdr:nvSpPr>
      <cdr:spPr>
        <a:xfrm xmlns:a="http://schemas.openxmlformats.org/drawingml/2006/main">
          <a:off x="1391033" y="1940380"/>
          <a:ext cx="1374322" cy="36739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/>
            <a:t>Possible indication that fast sound is</a:t>
          </a:r>
          <a:r>
            <a:rPr lang="en-US" sz="900" baseline="0"/>
            <a:t> occuring in NaCk. Perhaps in simple salts with higher proportion of metals (Na-Na), the observed fast sound is more dominant than in mixtures and allows phonon propagation at these speeds</a:t>
          </a:r>
          <a:endParaRPr lang="en-US" sz="900"/>
        </a:p>
      </cdr:txBody>
    </cdr:sp>
  </cdr:relSizeAnchor>
  <cdr:relSizeAnchor xmlns:cdr="http://schemas.openxmlformats.org/drawingml/2006/chartDrawing">
    <cdr:from>
      <cdr:x>0.47847</cdr:x>
      <cdr:y>0.35714</cdr:y>
    </cdr:from>
    <cdr:to>
      <cdr:x>0.63041</cdr:x>
      <cdr:y>0.70734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1F6A519E-0779-45E6-AA16-56C2EF91632C}"/>
            </a:ext>
          </a:extLst>
        </cdr:cNvPr>
        <cdr:cNvCxnSpPr>
          <a:stCxn xmlns:a="http://schemas.openxmlformats.org/drawingml/2006/main" id="2" idx="0"/>
        </cdr:cNvCxnSpPr>
      </cdr:nvCxnSpPr>
      <cdr:spPr>
        <a:xfrm xmlns:a="http://schemas.openxmlformats.org/drawingml/2006/main" flipV="1">
          <a:off x="2078194" y="979714"/>
          <a:ext cx="659947" cy="960666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352425</xdr:colOff>
      <xdr:row>1</xdr:row>
      <xdr:rowOff>123825</xdr:rowOff>
    </xdr:from>
    <xdr:to>
      <xdr:col>17</xdr:col>
      <xdr:colOff>352425</xdr:colOff>
      <xdr:row>25</xdr:row>
      <xdr:rowOff>123825</xdr:rowOff>
    </xdr:to>
    <xdr:pic>
      <xdr:nvPicPr>
        <xdr:cNvPr id="3" name="Picture 2" descr="J:\Research\PDF_Analysis_kModel\Figures_Nu_V1\PartPDF_CatAn_Conc_1.0LiCl_OG.png">
          <a:extLst>
            <a:ext uri="{FF2B5EF4-FFF2-40B4-BE49-F238E27FC236}">
              <a16:creationId xmlns:a16="http://schemas.microsoft.com/office/drawing/2014/main" id="{7C576034-C1B7-4CC0-BDE7-A2F2F467A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9625" y="314325"/>
          <a:ext cx="6096000" cy="457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295275</xdr:colOff>
      <xdr:row>2</xdr:row>
      <xdr:rowOff>19049</xdr:rowOff>
    </xdr:from>
    <xdr:to>
      <xdr:col>16</xdr:col>
      <xdr:colOff>352424</xdr:colOff>
      <xdr:row>19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D47D87-B679-447F-858F-CD4A139800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95</xdr:col>
      <xdr:colOff>371410</xdr:colOff>
      <xdr:row>79</xdr:row>
      <xdr:rowOff>1511</xdr:rowOff>
    </xdr:from>
    <xdr:to>
      <xdr:col>101</xdr:col>
      <xdr:colOff>452438</xdr:colOff>
      <xdr:row>94</xdr:row>
      <xdr:rowOff>125864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0B0F94-C0DD-4845-B968-DE8EC0D527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70</xdr:col>
      <xdr:colOff>597248</xdr:colOff>
      <xdr:row>24</xdr:row>
      <xdr:rowOff>10129</xdr:rowOff>
    </xdr:from>
    <xdr:to>
      <xdr:col>75</xdr:col>
      <xdr:colOff>130523</xdr:colOff>
      <xdr:row>38</xdr:row>
      <xdr:rowOff>86329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940231-50A6-4EFE-BB6D-D49125C5CC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60</xdr:col>
      <xdr:colOff>215143</xdr:colOff>
      <xdr:row>24</xdr:row>
      <xdr:rowOff>1057</xdr:rowOff>
    </xdr:from>
    <xdr:to>
      <xdr:col>64</xdr:col>
      <xdr:colOff>1083468</xdr:colOff>
      <xdr:row>38</xdr:row>
      <xdr:rowOff>77257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8C0E707-102D-4E25-BACF-E4EC30B6A1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76</xdr:col>
      <xdr:colOff>12166</xdr:colOff>
      <xdr:row>23</xdr:row>
      <xdr:rowOff>115961</xdr:rowOff>
    </xdr:from>
    <xdr:to>
      <xdr:col>80</xdr:col>
      <xdr:colOff>593191</xdr:colOff>
      <xdr:row>38</xdr:row>
      <xdr:rowOff>1661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869842C-7A0F-48B0-BC2D-8FC55EF515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65</xdr:col>
      <xdr:colOff>445883</xdr:colOff>
      <xdr:row>24</xdr:row>
      <xdr:rowOff>10129</xdr:rowOff>
    </xdr:from>
    <xdr:to>
      <xdr:col>69</xdr:col>
      <xdr:colOff>383970</xdr:colOff>
      <xdr:row>38</xdr:row>
      <xdr:rowOff>86329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CEFACDB-3F28-41B3-838F-B16F9BAE8C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98</xdr:col>
      <xdr:colOff>383269</xdr:colOff>
      <xdr:row>34</xdr:row>
      <xdr:rowOff>104321</xdr:rowOff>
    </xdr:from>
    <xdr:to>
      <xdr:col>103</xdr:col>
      <xdr:colOff>444954</xdr:colOff>
      <xdr:row>53</xdr:row>
      <xdr:rowOff>17236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A968AD8-A4ED-434D-B841-10B69135A8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86</xdr:col>
      <xdr:colOff>598715</xdr:colOff>
      <xdr:row>39</xdr:row>
      <xdr:rowOff>54428</xdr:rowOff>
    </xdr:from>
    <xdr:to>
      <xdr:col>93</xdr:col>
      <xdr:colOff>478972</xdr:colOff>
      <xdr:row>53</xdr:row>
      <xdr:rowOff>130628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18BEB3B-47E8-42C3-8ED1-3234E71AD2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56</xdr:col>
      <xdr:colOff>695477</xdr:colOff>
      <xdr:row>24</xdr:row>
      <xdr:rowOff>30237</xdr:rowOff>
    </xdr:from>
    <xdr:to>
      <xdr:col>60</xdr:col>
      <xdr:colOff>75596</xdr:colOff>
      <xdr:row>28</xdr:row>
      <xdr:rowOff>120952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62BC06E4-FB98-4538-BB3F-47621DD81A5B}"/>
            </a:ext>
          </a:extLst>
        </xdr:cNvPr>
        <xdr:cNvSpPr txBox="1"/>
      </xdr:nvSpPr>
      <xdr:spPr>
        <a:xfrm>
          <a:off x="44110427" y="5535687"/>
          <a:ext cx="3342519" cy="8527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/>
            <a:t>Avg of</a:t>
          </a:r>
          <a:r>
            <a:rPr lang="en-US" sz="2000" baseline="0"/>
            <a:t> all PDF</a:t>
          </a:r>
          <a:endParaRPr lang="en-US" sz="2000"/>
        </a:p>
      </xdr:txBody>
    </xdr:sp>
    <xdr:clientData/>
  </xdr:twoCellAnchor>
  <xdr:twoCellAnchor>
    <xdr:from>
      <xdr:col>56</xdr:col>
      <xdr:colOff>666448</xdr:colOff>
      <xdr:row>38</xdr:row>
      <xdr:rowOff>31448</xdr:rowOff>
    </xdr:from>
    <xdr:to>
      <xdr:col>60</xdr:col>
      <xdr:colOff>0</xdr:colOff>
      <xdr:row>42</xdr:row>
      <xdr:rowOff>122162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69F53-862C-4928-914A-1E893F7E6671}"/>
            </a:ext>
          </a:extLst>
        </xdr:cNvPr>
        <xdr:cNvSpPr txBox="1"/>
      </xdr:nvSpPr>
      <xdr:spPr>
        <a:xfrm>
          <a:off x="44081398" y="8203898"/>
          <a:ext cx="3342519" cy="85271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US" sz="1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PDF-distributed MFP at Tm</a:t>
          </a:r>
          <a:endParaRPr lang="en-US" sz="2800">
            <a:effectLst/>
          </a:endParaRPr>
        </a:p>
      </xdr:txBody>
    </xdr:sp>
    <xdr:clientData/>
  </xdr:twoCellAnchor>
  <xdr:twoCellAnchor>
    <xdr:from>
      <xdr:col>56</xdr:col>
      <xdr:colOff>564848</xdr:colOff>
      <xdr:row>83</xdr:row>
      <xdr:rowOff>15272</xdr:rowOff>
    </xdr:from>
    <xdr:to>
      <xdr:col>60</xdr:col>
      <xdr:colOff>0</xdr:colOff>
      <xdr:row>87</xdr:row>
      <xdr:rowOff>105986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3F9E97D7-2278-4F10-8311-C8DA09938D29}"/>
            </a:ext>
          </a:extLst>
        </xdr:cNvPr>
        <xdr:cNvSpPr txBox="1"/>
      </xdr:nvSpPr>
      <xdr:spPr>
        <a:xfrm>
          <a:off x="43979798" y="16760222"/>
          <a:ext cx="3459541" cy="85271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/>
            <a:t>vs: Salt</a:t>
          </a:r>
        </a:p>
        <a:p>
          <a:r>
            <a:rPr lang="en-US" sz="2000"/>
            <a:t>peak: Metal</a:t>
          </a:r>
        </a:p>
      </xdr:txBody>
    </xdr:sp>
    <xdr:clientData/>
  </xdr:twoCellAnchor>
  <xdr:twoCellAnchor>
    <xdr:from>
      <xdr:col>56</xdr:col>
      <xdr:colOff>611414</xdr:colOff>
      <xdr:row>97</xdr:row>
      <xdr:rowOff>61839</xdr:rowOff>
    </xdr:from>
    <xdr:to>
      <xdr:col>60</xdr:col>
      <xdr:colOff>0</xdr:colOff>
      <xdr:row>101</xdr:row>
      <xdr:rowOff>146506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B70E885-C1D5-424F-A69C-5E8C8838B285}"/>
            </a:ext>
          </a:extLst>
        </xdr:cNvPr>
        <xdr:cNvSpPr txBox="1"/>
      </xdr:nvSpPr>
      <xdr:spPr>
        <a:xfrm>
          <a:off x="44026364" y="19473789"/>
          <a:ext cx="3444725" cy="8466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/>
            <a:t>vs: Metal</a:t>
          </a:r>
        </a:p>
        <a:p>
          <a:r>
            <a:rPr lang="en-US" sz="2000"/>
            <a:t>peak: Metal</a:t>
          </a:r>
        </a:p>
      </xdr:txBody>
    </xdr:sp>
    <xdr:clientData/>
  </xdr:twoCellAnchor>
  <xdr:twoCellAnchor>
    <xdr:from>
      <xdr:col>52</xdr:col>
      <xdr:colOff>0</xdr:colOff>
      <xdr:row>44</xdr:row>
      <xdr:rowOff>0</xdr:rowOff>
    </xdr:from>
    <xdr:to>
      <xdr:col>56</xdr:col>
      <xdr:colOff>376482</xdr:colOff>
      <xdr:row>45</xdr:row>
      <xdr:rowOff>170849</xdr:rowOff>
    </xdr:to>
    <xdr:sp macro="" textlink="">
      <xdr:nvSpPr>
        <xdr:cNvPr id="23" name="TextBox 1">
          <a:extLst>
            <a:ext uri="{FF2B5EF4-FFF2-40B4-BE49-F238E27FC236}">
              <a16:creationId xmlns:a16="http://schemas.microsoft.com/office/drawing/2014/main" id="{6A4A962D-EC3C-4435-A3A5-2AF8EA3B19AF}"/>
            </a:ext>
          </a:extLst>
        </xdr:cNvPr>
        <xdr:cNvSpPr txBox="1"/>
      </xdr:nvSpPr>
      <xdr:spPr>
        <a:xfrm>
          <a:off x="42424350" y="9315450"/>
          <a:ext cx="1367082" cy="361349"/>
        </a:xfrm>
        <a:prstGeom prst="rect">
          <a:avLst/>
        </a:prstGeom>
        <a:solidFill>
          <a:schemeClr val="bg1"/>
        </a:solidFill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sz="900"/>
            <a:t>Possible indication that fast sound is</a:t>
          </a:r>
          <a:r>
            <a:rPr lang="en-US" sz="900" baseline="0"/>
            <a:t> occuring in NaCk. Perhaps in simple salts with higher proportion of metals (Na-Na), the observed fast sound is more dominant than in mixtures and allows phonon propagation at these speeds</a:t>
          </a:r>
          <a:endParaRPr lang="en-US" sz="900"/>
        </a:p>
      </xdr:txBody>
    </xdr:sp>
    <xdr:clientData/>
  </xdr:twoCellAnchor>
  <xdr:twoCellAnchor>
    <xdr:from>
      <xdr:col>56</xdr:col>
      <xdr:colOff>577547</xdr:colOff>
      <xdr:row>68</xdr:row>
      <xdr:rowOff>145295</xdr:rowOff>
    </xdr:from>
    <xdr:to>
      <xdr:col>60</xdr:col>
      <xdr:colOff>0</xdr:colOff>
      <xdr:row>73</xdr:row>
      <xdr:rowOff>45509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E3BD61D-5BE4-4DB0-AC37-D796FA6BB67A}"/>
            </a:ext>
          </a:extLst>
        </xdr:cNvPr>
        <xdr:cNvSpPr txBox="1"/>
      </xdr:nvSpPr>
      <xdr:spPr>
        <a:xfrm>
          <a:off x="43992497" y="14032745"/>
          <a:ext cx="3450016" cy="85271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/>
            <a:t>vs: Avg</a:t>
          </a:r>
        </a:p>
        <a:p>
          <a:r>
            <a:rPr lang="en-US" sz="2000"/>
            <a:t>peak: Avg</a:t>
          </a:r>
        </a:p>
      </xdr:txBody>
    </xdr:sp>
    <xdr:clientData/>
  </xdr:twoCellAnchor>
  <xdr:twoCellAnchor>
    <xdr:from>
      <xdr:col>56</xdr:col>
      <xdr:colOff>587375</xdr:colOff>
      <xdr:row>53</xdr:row>
      <xdr:rowOff>100695</xdr:rowOff>
    </xdr:from>
    <xdr:to>
      <xdr:col>60</xdr:col>
      <xdr:colOff>0</xdr:colOff>
      <xdr:row>58</xdr:row>
      <xdr:rowOff>909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76987B9-41F2-4FD3-8CD9-C0B837D6DA12}"/>
            </a:ext>
          </a:extLst>
        </xdr:cNvPr>
        <xdr:cNvSpPr txBox="1"/>
      </xdr:nvSpPr>
      <xdr:spPr>
        <a:xfrm>
          <a:off x="44002325" y="11130645"/>
          <a:ext cx="3450016" cy="852714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US" sz="16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Distributed MFP, fast sound for unary salts</a:t>
          </a:r>
          <a:endParaRPr lang="en-US" sz="3200">
            <a:effectLst/>
          </a:endParaRPr>
        </a:p>
      </xdr:txBody>
    </xdr:sp>
    <xdr:clientData/>
  </xdr:twoCellAnchor>
  <xdr:twoCellAnchor>
    <xdr:from>
      <xdr:col>82</xdr:col>
      <xdr:colOff>451757</xdr:colOff>
      <xdr:row>24</xdr:row>
      <xdr:rowOff>97972</xdr:rowOff>
    </xdr:from>
    <xdr:to>
      <xdr:col>87</xdr:col>
      <xdr:colOff>395968</xdr:colOff>
      <xdr:row>38</xdr:row>
      <xdr:rowOff>174172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8F971F8A-8592-4CBB-9F2B-5BD4D1DCE4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87</xdr:col>
      <xdr:colOff>628650</xdr:colOff>
      <xdr:row>24</xdr:row>
      <xdr:rowOff>38100</xdr:rowOff>
    </xdr:from>
    <xdr:to>
      <xdr:col>93</xdr:col>
      <xdr:colOff>553811</xdr:colOff>
      <xdr:row>38</xdr:row>
      <xdr:rowOff>114300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CD7A18F0-7953-4377-94AC-D5C56411E3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60</xdr:col>
      <xdr:colOff>257552</xdr:colOff>
      <xdr:row>38</xdr:row>
      <xdr:rowOff>81985</xdr:rowOff>
    </xdr:from>
    <xdr:to>
      <xdr:col>64</xdr:col>
      <xdr:colOff>940594</xdr:colOff>
      <xdr:row>52</xdr:row>
      <xdr:rowOff>178594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CD61A08D-9144-4AD9-9FE6-B91A383583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60</xdr:col>
      <xdr:colOff>296852</xdr:colOff>
      <xdr:row>53</xdr:row>
      <xdr:rowOff>142874</xdr:rowOff>
    </xdr:from>
    <xdr:to>
      <xdr:col>64</xdr:col>
      <xdr:colOff>952500</xdr:colOff>
      <xdr:row>69</xdr:row>
      <xdr:rowOff>143213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D1336DE7-7A36-4A78-8EFA-BA6F4182B5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40</xdr:col>
      <xdr:colOff>702899</xdr:colOff>
      <xdr:row>25</xdr:row>
      <xdr:rowOff>30040</xdr:rowOff>
    </xdr:from>
    <xdr:to>
      <xdr:col>49</xdr:col>
      <xdr:colOff>1125620</xdr:colOff>
      <xdr:row>39</xdr:row>
      <xdr:rowOff>93870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F46D313C-32D7-4DDB-B526-68F8CC2720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45</xdr:col>
      <xdr:colOff>71438</xdr:colOff>
      <xdr:row>41</xdr:row>
      <xdr:rowOff>47625</xdr:rowOff>
    </xdr:from>
    <xdr:to>
      <xdr:col>49</xdr:col>
      <xdr:colOff>1033463</xdr:colOff>
      <xdr:row>55</xdr:row>
      <xdr:rowOff>123825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1A131010-54F2-4105-8EE0-A76158F470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32</xdr:col>
      <xdr:colOff>335178</xdr:colOff>
      <xdr:row>23</xdr:row>
      <xdr:rowOff>14286</xdr:rowOff>
    </xdr:from>
    <xdr:to>
      <xdr:col>40</xdr:col>
      <xdr:colOff>673893</xdr:colOff>
      <xdr:row>41</xdr:row>
      <xdr:rowOff>82337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6903D036-17DE-47D3-8B92-019D1D2735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587375</xdr:colOff>
      <xdr:row>67</xdr:row>
      <xdr:rowOff>15874</xdr:rowOff>
    </xdr:from>
    <xdr:to>
      <xdr:col>44</xdr:col>
      <xdr:colOff>508000</xdr:colOff>
      <xdr:row>84</xdr:row>
      <xdr:rowOff>57479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FE795315-E583-47A5-8EB9-2AA53BD63B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25</xdr:col>
      <xdr:colOff>205808</xdr:colOff>
      <xdr:row>43</xdr:row>
      <xdr:rowOff>32317</xdr:rowOff>
    </xdr:from>
    <xdr:to>
      <xdr:col>37</xdr:col>
      <xdr:colOff>136071</xdr:colOff>
      <xdr:row>61</xdr:row>
      <xdr:rowOff>108856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1F151BCE-1B3E-43FB-817F-F443186EC9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18</xdr:col>
      <xdr:colOff>74839</xdr:colOff>
      <xdr:row>37</xdr:row>
      <xdr:rowOff>121785</xdr:rowOff>
    </xdr:from>
    <xdr:to>
      <xdr:col>24</xdr:col>
      <xdr:colOff>136072</xdr:colOff>
      <xdr:row>55</xdr:row>
      <xdr:rowOff>68037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B6D75454-1990-4A41-85DF-42731BA24B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17</xdr:col>
      <xdr:colOff>716643</xdr:colOff>
      <xdr:row>55</xdr:row>
      <xdr:rowOff>116416</xdr:rowOff>
    </xdr:from>
    <xdr:to>
      <xdr:col>23</xdr:col>
      <xdr:colOff>791484</xdr:colOff>
      <xdr:row>73</xdr:row>
      <xdr:rowOff>62668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549652B0-0CB8-4C74-B558-4BB5BD3F00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37</xdr:col>
      <xdr:colOff>437697</xdr:colOff>
      <xdr:row>41</xdr:row>
      <xdr:rowOff>0</xdr:rowOff>
    </xdr:from>
    <xdr:to>
      <xdr:col>43</xdr:col>
      <xdr:colOff>39049</xdr:colOff>
      <xdr:row>58</xdr:row>
      <xdr:rowOff>147879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10074E0C-665B-4F67-A0C1-F8AA6C8122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65</xdr:col>
      <xdr:colOff>428625</xdr:colOff>
      <xdr:row>38</xdr:row>
      <xdr:rowOff>127001</xdr:rowOff>
    </xdr:from>
    <xdr:to>
      <xdr:col>69</xdr:col>
      <xdr:colOff>381000</xdr:colOff>
      <xdr:row>53</xdr:row>
      <xdr:rowOff>127000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B02A70EF-44C4-46FA-BB84-DF41AB73B8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76</xdr:col>
      <xdr:colOff>0</xdr:colOff>
      <xdr:row>38</xdr:row>
      <xdr:rowOff>15874</xdr:rowOff>
    </xdr:from>
    <xdr:to>
      <xdr:col>80</xdr:col>
      <xdr:colOff>603249</xdr:colOff>
      <xdr:row>53</xdr:row>
      <xdr:rowOff>79375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AEECB03B-FF34-4D87-B08E-D6B3660B3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0.32026</cdr:x>
      <cdr:y>0.70734</cdr:y>
    </cdr:from>
    <cdr:to>
      <cdr:x>0.63668</cdr:x>
      <cdr:y>0.84127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8BE4D45-6694-44ED-811F-663B0EE87883}"/>
            </a:ext>
          </a:extLst>
        </cdr:cNvPr>
        <cdr:cNvSpPr txBox="1"/>
      </cdr:nvSpPr>
      <cdr:spPr>
        <a:xfrm xmlns:a="http://schemas.openxmlformats.org/drawingml/2006/main">
          <a:off x="1391033" y="1940380"/>
          <a:ext cx="1374322" cy="36739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/>
            <a:t>Possible indication that fast sound is</a:t>
          </a:r>
          <a:r>
            <a:rPr lang="en-US" sz="900" baseline="0"/>
            <a:t> occuring in NaCk. Perhaps in simple salts with higher proportion of metals (Na-Na), the observed fast sound is more dominant than in mixtures and allows phonon propagation at these speeds</a:t>
          </a:r>
          <a:endParaRPr lang="en-US" sz="900"/>
        </a:p>
      </cdr:txBody>
    </cdr:sp>
  </cdr:relSizeAnchor>
  <cdr:relSizeAnchor xmlns:cdr="http://schemas.openxmlformats.org/drawingml/2006/chartDrawing">
    <cdr:from>
      <cdr:x>0.47847</cdr:x>
      <cdr:y>0.35714</cdr:y>
    </cdr:from>
    <cdr:to>
      <cdr:x>0.63041</cdr:x>
      <cdr:y>0.70734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1F6A519E-0779-45E6-AA16-56C2EF91632C}"/>
            </a:ext>
          </a:extLst>
        </cdr:cNvPr>
        <cdr:cNvCxnSpPr>
          <a:stCxn xmlns:a="http://schemas.openxmlformats.org/drawingml/2006/main" id="2" idx="0"/>
        </cdr:cNvCxnSpPr>
      </cdr:nvCxnSpPr>
      <cdr:spPr>
        <a:xfrm xmlns:a="http://schemas.openxmlformats.org/drawingml/2006/main" flipV="1">
          <a:off x="2078194" y="979714"/>
          <a:ext cx="659947" cy="960666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91F07-4FDE-4476-A609-8B87C7C20661}">
  <sheetPr codeName="Sheet8">
    <outlinePr summaryBelow="0"/>
  </sheetPr>
  <dimension ref="A1:BZ58"/>
  <sheetViews>
    <sheetView tabSelected="1" zoomScale="69" zoomScaleNormal="69" workbookViewId="0">
      <pane xSplit="3" topLeftCell="AV1" activePane="topRight" state="frozen"/>
      <selection pane="topRight" activeCell="BM8" sqref="BM8"/>
    </sheetView>
  </sheetViews>
  <sheetFormatPr defaultRowHeight="15" x14ac:dyDescent="0.25"/>
  <cols>
    <col min="1" max="1" width="40.140625" style="19" customWidth="1"/>
    <col min="2" max="2" width="7.85546875" style="23" hidden="1" customWidth="1"/>
    <col min="3" max="3" width="6.42578125" style="23" hidden="1" customWidth="1"/>
    <col min="4" max="4" width="8.42578125" style="23" customWidth="1"/>
    <col min="5" max="5" width="9" style="23" customWidth="1"/>
    <col min="6" max="6" width="10.42578125" style="23" customWidth="1"/>
    <col min="7" max="7" width="11.140625" style="23" customWidth="1"/>
    <col min="8" max="8" width="12.7109375" style="23" customWidth="1"/>
    <col min="9" max="9" width="13" style="23" customWidth="1"/>
    <col min="10" max="10" width="10.5703125" style="23" customWidth="1"/>
    <col min="11" max="11" width="12.140625" style="9" customWidth="1"/>
    <col min="12" max="12" width="3.85546875" style="20" customWidth="1"/>
    <col min="13" max="13" width="2.42578125" style="18" customWidth="1"/>
    <col min="14" max="14" width="14.5703125" style="18" customWidth="1"/>
    <col min="15" max="15" width="13.140625" style="18" customWidth="1"/>
    <col min="16" max="16" width="2.28515625" style="18" customWidth="1"/>
    <col min="17" max="17" width="2.28515625" customWidth="1"/>
    <col min="18" max="19" width="2.28515625" style="18" customWidth="1"/>
    <col min="20" max="23" width="12" style="13" customWidth="1"/>
    <col min="24" max="24" width="12.140625" style="8" customWidth="1"/>
    <col min="25" max="25" width="10.140625" style="4" customWidth="1"/>
    <col min="26" max="26" width="7.5703125" style="4" customWidth="1"/>
    <col min="27" max="27" width="6.28515625" style="4" customWidth="1"/>
    <col min="28" max="28" width="8.42578125" style="4" customWidth="1"/>
    <col min="29" max="29" width="7.85546875" style="4" customWidth="1"/>
    <col min="30" max="30" width="6.140625" style="4" customWidth="1"/>
    <col min="31" max="31" width="8.85546875" style="11" customWidth="1"/>
    <col min="32" max="46" width="14.85546875" style="57" customWidth="1"/>
    <col min="47" max="49" width="19" style="57" customWidth="1"/>
    <col min="50" max="50" width="8.7109375" style="57" customWidth="1"/>
    <col min="51" max="51" width="15.28515625" style="57" customWidth="1"/>
    <col min="52" max="52" width="14.85546875" style="57" customWidth="1"/>
    <col min="53" max="53" width="15.5703125" style="57" customWidth="1"/>
    <col min="54" max="54" width="10.140625" style="57" customWidth="1"/>
    <col min="55" max="56" width="13.7109375" style="57" customWidth="1"/>
    <col min="57" max="57" width="14.42578125" style="57" bestFit="1" customWidth="1"/>
    <col min="58" max="60" width="14.42578125" style="57" customWidth="1"/>
    <col min="61" max="61" width="15.42578125" style="57" customWidth="1"/>
    <col min="62" max="62" width="11.140625" style="58" customWidth="1"/>
    <col min="63" max="64" width="10.5703125" style="57" customWidth="1"/>
    <col min="65" max="65" width="12" style="57" customWidth="1"/>
    <col min="66" max="66" width="18" style="57" customWidth="1"/>
    <col min="67" max="67" width="11" style="59" customWidth="1"/>
    <col min="68" max="68" width="15.28515625" style="59" customWidth="1"/>
    <col min="69" max="69" width="14.28515625" style="57" customWidth="1"/>
    <col min="70" max="70" width="13.7109375" style="60" customWidth="1"/>
    <col min="71" max="71" width="15.42578125" customWidth="1"/>
    <col min="74" max="74" width="18.28515625" bestFit="1" customWidth="1"/>
    <col min="75" max="75" width="11.85546875" style="4" customWidth="1"/>
    <col min="76" max="76" width="12.140625" style="4" bestFit="1" customWidth="1"/>
    <col min="77" max="16384" width="9.140625" style="4"/>
  </cols>
  <sheetData>
    <row r="1" spans="1:78" s="80" customFormat="1" ht="20.25" customHeight="1" thickBot="1" x14ac:dyDescent="0.3">
      <c r="A1" s="73" t="s">
        <v>0</v>
      </c>
      <c r="B1" s="74" t="s">
        <v>72</v>
      </c>
      <c r="C1" s="73" t="s">
        <v>56</v>
      </c>
      <c r="D1" s="73" t="s">
        <v>57</v>
      </c>
      <c r="E1" s="73" t="s">
        <v>58</v>
      </c>
      <c r="F1" s="75" t="s">
        <v>60</v>
      </c>
      <c r="G1" s="75" t="s">
        <v>61</v>
      </c>
      <c r="H1" s="73" t="s">
        <v>64</v>
      </c>
      <c r="I1" s="73" t="s">
        <v>59</v>
      </c>
      <c r="J1" s="73" t="s">
        <v>62</v>
      </c>
      <c r="K1" s="76" t="s">
        <v>1</v>
      </c>
      <c r="L1" s="76" t="s">
        <v>52</v>
      </c>
      <c r="M1" s="77" t="s">
        <v>74</v>
      </c>
      <c r="N1" s="77" t="s">
        <v>2</v>
      </c>
      <c r="O1" s="77" t="s">
        <v>3</v>
      </c>
      <c r="P1" s="78" t="s">
        <v>4</v>
      </c>
      <c r="Q1" s="74"/>
      <c r="R1" s="77" t="s">
        <v>6</v>
      </c>
      <c r="S1" s="77" t="s">
        <v>7</v>
      </c>
      <c r="T1" s="77" t="s">
        <v>55</v>
      </c>
      <c r="U1" s="77" t="s">
        <v>242</v>
      </c>
      <c r="V1" s="77" t="s">
        <v>243</v>
      </c>
      <c r="W1" s="77" t="s">
        <v>244</v>
      </c>
      <c r="X1" s="79" t="s">
        <v>8</v>
      </c>
      <c r="Y1" s="80" t="s">
        <v>9</v>
      </c>
      <c r="Z1" s="80" t="s">
        <v>10</v>
      </c>
      <c r="AA1" s="80" t="s">
        <v>11</v>
      </c>
      <c r="AB1" s="80" t="s">
        <v>12</v>
      </c>
      <c r="AC1" s="80" t="s">
        <v>13</v>
      </c>
      <c r="AD1" s="80" t="s">
        <v>14</v>
      </c>
      <c r="AE1" s="80" t="s">
        <v>51</v>
      </c>
      <c r="AF1" s="81" t="s">
        <v>208</v>
      </c>
      <c r="AG1" s="81" t="s">
        <v>209</v>
      </c>
      <c r="AH1" s="81" t="s">
        <v>255</v>
      </c>
      <c r="AI1" s="81" t="s">
        <v>254</v>
      </c>
      <c r="AJ1" s="81"/>
      <c r="AK1" s="251">
        <v>1.1499999999999999</v>
      </c>
      <c r="AL1" s="250">
        <v>0.85</v>
      </c>
      <c r="AM1" s="81" t="s">
        <v>251</v>
      </c>
      <c r="AN1" s="81" t="s">
        <v>245</v>
      </c>
      <c r="AO1" s="81" t="s">
        <v>269</v>
      </c>
      <c r="AP1" s="81" t="s">
        <v>250</v>
      </c>
      <c r="AQ1" s="81" t="s">
        <v>270</v>
      </c>
      <c r="AR1" s="81" t="s">
        <v>252</v>
      </c>
      <c r="AS1" s="81" t="s">
        <v>220</v>
      </c>
      <c r="AT1" s="81" t="s">
        <v>224</v>
      </c>
      <c r="AU1" s="81" t="s">
        <v>221</v>
      </c>
      <c r="AV1" s="81" t="s">
        <v>224</v>
      </c>
      <c r="AW1" s="81" t="s">
        <v>65</v>
      </c>
      <c r="AX1" s="81" t="s">
        <v>73</v>
      </c>
      <c r="AY1" s="81" t="s">
        <v>217</v>
      </c>
      <c r="AZ1" s="81" t="s">
        <v>223</v>
      </c>
      <c r="BA1" s="81" t="s">
        <v>216</v>
      </c>
      <c r="BB1" s="82" t="s">
        <v>67</v>
      </c>
      <c r="BC1" s="83" t="s">
        <v>66</v>
      </c>
      <c r="BD1" s="83" t="s">
        <v>241</v>
      </c>
      <c r="BE1" s="83" t="s">
        <v>210</v>
      </c>
      <c r="BF1" s="83" t="s">
        <v>219</v>
      </c>
      <c r="BG1" s="83" t="s">
        <v>212</v>
      </c>
      <c r="BH1" s="237" t="s">
        <v>215</v>
      </c>
      <c r="BI1" s="83" t="s">
        <v>46</v>
      </c>
      <c r="BJ1" s="83" t="s">
        <v>91</v>
      </c>
      <c r="BK1" s="84" t="s">
        <v>70</v>
      </c>
      <c r="BL1" s="85" t="s">
        <v>63</v>
      </c>
      <c r="BM1" s="85" t="s">
        <v>105</v>
      </c>
      <c r="BN1" s="86" t="s">
        <v>71</v>
      </c>
      <c r="BO1" s="86" t="s">
        <v>90</v>
      </c>
      <c r="BP1" s="87" t="s">
        <v>68</v>
      </c>
      <c r="BQ1" s="88" t="s">
        <v>5</v>
      </c>
      <c r="BR1" s="88" t="s">
        <v>204</v>
      </c>
      <c r="BS1" s="89" t="s">
        <v>69</v>
      </c>
      <c r="BT1" s="90" t="s">
        <v>92</v>
      </c>
      <c r="BU1" s="74"/>
      <c r="BV1" s="74"/>
      <c r="BW1" s="74"/>
      <c r="BX1" s="74"/>
      <c r="BY1" s="80" t="s">
        <v>53</v>
      </c>
    </row>
    <row r="2" spans="1:78" s="11" customFormat="1" ht="20.25" customHeight="1" x14ac:dyDescent="0.25">
      <c r="A2" s="2" t="s">
        <v>16</v>
      </c>
      <c r="B2" s="61">
        <v>9.9499999999999993</v>
      </c>
      <c r="C2" s="2">
        <v>1</v>
      </c>
      <c r="D2" s="2">
        <v>12</v>
      </c>
      <c r="E2" s="2">
        <v>12</v>
      </c>
      <c r="F2" s="22">
        <f t="shared" ref="F2:F37" si="0">D2*1.6726219E-27</f>
        <v>2.0071462799999999E-26</v>
      </c>
      <c r="G2" s="22">
        <f t="shared" ref="G2:G41" si="1">E2*9.1093856E-31</f>
        <v>1.0931262719999999E-29</v>
      </c>
      <c r="H2" s="24">
        <f>((F2*D2)/(G2*E2))</f>
        <v>1836.1522647586683</v>
      </c>
      <c r="I2" s="24">
        <f>D2/E2</f>
        <v>1</v>
      </c>
      <c r="J2" s="26">
        <f>(F2)-(G2)</f>
        <v>2.0060531537279999E-26</v>
      </c>
      <c r="K2" s="3">
        <v>25.939</v>
      </c>
      <c r="L2" s="11">
        <f>0.115*EXP(27000/(8.3144598*N2))/1000</f>
        <v>2.0988673196732184E-3</v>
      </c>
      <c r="M2" s="27">
        <f>N2^-1</f>
        <v>8.9433439162902998E-4</v>
      </c>
      <c r="N2" s="3">
        <v>1118.1500000000001</v>
      </c>
      <c r="O2" s="5">
        <v>1.42E-5</v>
      </c>
      <c r="P2" s="5">
        <v>2.6800000000000001E-4</v>
      </c>
      <c r="Q2" s="32"/>
      <c r="R2" s="6">
        <v>7.5999999999999996E-11</v>
      </c>
      <c r="S2" s="6">
        <v>1.3300000000000001E-10</v>
      </c>
      <c r="T2" s="6">
        <f>S2+R2</f>
        <v>2.09E-10</v>
      </c>
      <c r="U2" s="30">
        <v>6.9409999999999998</v>
      </c>
      <c r="V2" s="30">
        <v>18.9984</v>
      </c>
      <c r="W2" s="30">
        <f>U2*V2/(U2+V2)</f>
        <v>5.0836910028759341</v>
      </c>
      <c r="X2" s="6">
        <v>1810000</v>
      </c>
      <c r="Y2" s="28">
        <v>2547.8000000000002</v>
      </c>
      <c r="Z2" s="11">
        <v>0</v>
      </c>
      <c r="AA2" s="22">
        <v>2.3580999999999999</v>
      </c>
      <c r="AB2" s="22">
        <v>-4.9019999999999999E-4</v>
      </c>
      <c r="AC2" s="11">
        <v>1</v>
      </c>
      <c r="AD2" s="11">
        <v>1</v>
      </c>
      <c r="AE2" s="11">
        <f>AC2+AD2</f>
        <v>2</v>
      </c>
      <c r="AF2" s="62">
        <f t="shared" ref="AF2:AF41" si="2">1/3*BR2*BL2*T2</f>
        <v>8.0248523098591569E-7</v>
      </c>
      <c r="AG2" s="235">
        <f t="shared" ref="AG2:AG9" si="3">1/3*BR2*BL2*BE2</f>
        <v>7.2246877793114628E-7</v>
      </c>
      <c r="AH2" s="235">
        <v>1.33125</v>
      </c>
      <c r="AI2" s="62">
        <v>1.2682350574951</v>
      </c>
      <c r="AJ2" s="62" t="s">
        <v>253</v>
      </c>
      <c r="AK2" s="62">
        <f>AI2*AK$1</f>
        <v>1.4584703161193648</v>
      </c>
      <c r="AL2" s="62">
        <f>AI2*AL$1</f>
        <v>1.077999798870835</v>
      </c>
      <c r="AM2" s="235">
        <v>3.3159909884917799E-10</v>
      </c>
      <c r="AN2" s="235">
        <v>1.27254998016219</v>
      </c>
      <c r="AO2" s="235">
        <f>ABS(AI2-AN2)/AI2</f>
        <v>3.4023051496561113E-3</v>
      </c>
      <c r="AP2" s="235">
        <v>1.3498414938304</v>
      </c>
      <c r="AQ2" s="235">
        <f>ABS(AI2-AP2)/AI2</f>
        <v>6.4346459950792884E-2</v>
      </c>
      <c r="AR2" s="235">
        <v>0.802061726877208</v>
      </c>
      <c r="AS2" s="238">
        <v>1.2205689059226399</v>
      </c>
      <c r="AT2" s="238">
        <f>ABS(($AI2-AS2)/$AI2)</f>
        <v>3.7584634875656157E-2</v>
      </c>
      <c r="AU2" s="239">
        <v>0.898189675483688</v>
      </c>
      <c r="AV2" s="238">
        <f>ABS(($AI2-AU2)/$AI2)</f>
        <v>0.29177980834427591</v>
      </c>
      <c r="AW2" s="62">
        <v>0.79448872327487496</v>
      </c>
      <c r="AX2" s="63">
        <f>(AI2-AW2)/AI2</f>
        <v>0.37354773582424444</v>
      </c>
      <c r="AY2" s="63" t="s">
        <v>228</v>
      </c>
      <c r="AZ2" s="63">
        <v>2.7246206166666602E-7</v>
      </c>
      <c r="BA2" s="63">
        <f>AI2/(AZ2)*0.000001</f>
        <v>4.6547216509235581</v>
      </c>
      <c r="BB2" s="64">
        <v>3801381451.0759559</v>
      </c>
      <c r="BC2" s="65">
        <f>AW2/BB2</f>
        <v>2.0900000000000005E-10</v>
      </c>
      <c r="BD2" s="65">
        <f t="shared" ref="BD2:BD22" si="4">SQRT((BC2-BE2)/W2)</f>
        <v>2.0246720811955542E-6</v>
      </c>
      <c r="BE2" s="65">
        <v>1.8816044053807599E-10</v>
      </c>
      <c r="BF2" s="65">
        <v>2.3551445220149123E-10</v>
      </c>
      <c r="BG2" s="98">
        <v>2.3535591333913802E-10</v>
      </c>
      <c r="BH2" s="98">
        <f t="shared" ref="BH2:BH41" si="5">AI2/(1/3*BR2*BL2)</f>
        <v>3.3030031803928361E-4</v>
      </c>
      <c r="BI2" s="65">
        <f>AI2/BB2</f>
        <v>3.3362478188978761E-10</v>
      </c>
      <c r="BJ2" s="65">
        <f>(BI2-BC2)/BC2</f>
        <v>0.59629082243917475</v>
      </c>
      <c r="BK2" s="66">
        <f>AW2/BL2</f>
        <v>3.1183323780315365E-4</v>
      </c>
      <c r="BL2" s="67">
        <f t="shared" ref="BL2:BL37" si="6">Y2+Z2*N2</f>
        <v>2547.8000000000002</v>
      </c>
      <c r="BM2" s="67">
        <v>3500</v>
      </c>
      <c r="BN2" s="68">
        <f>AI2/BK2</f>
        <v>4067.0297574105298</v>
      </c>
      <c r="BO2" s="68">
        <f>(BN2-BL2)/BL2</f>
        <v>0.59629082243917475</v>
      </c>
      <c r="BP2" s="69">
        <f t="shared" ref="BP2:BP41" si="7">AW2/BQ2</f>
        <v>1.2375213758175622E-2</v>
      </c>
      <c r="BQ2" s="70">
        <v>64.2</v>
      </c>
      <c r="BR2" s="70">
        <f t="shared" ref="BR2:BR41" si="8">BQ2/O2*0.000001</f>
        <v>4.5211267605633809</v>
      </c>
      <c r="BS2" s="71">
        <f>AI2/(BP2)</f>
        <v>102.48187080059502</v>
      </c>
      <c r="BT2" s="72">
        <f>(BS2-BQ2)/BQ2</f>
        <v>0.59629082243917464</v>
      </c>
      <c r="BU2" s="32"/>
      <c r="BV2" s="32"/>
      <c r="BW2" s="32"/>
      <c r="BX2" s="32"/>
      <c r="BY2" s="22">
        <f t="shared" ref="BY2:BY9" si="9">L2/(X2/1000*(Y2+Z2*N2))</f>
        <v>4.5513588360128237E-10</v>
      </c>
      <c r="BZ2" s="22"/>
    </row>
    <row r="3" spans="1:78" ht="20.25" customHeight="1" x14ac:dyDescent="0.25">
      <c r="A3" s="2" t="s">
        <v>17</v>
      </c>
      <c r="B3" s="29">
        <v>6.9</v>
      </c>
      <c r="C3" s="2">
        <v>1</v>
      </c>
      <c r="D3" s="2">
        <v>20</v>
      </c>
      <c r="E3" s="2">
        <v>20</v>
      </c>
      <c r="F3" s="22">
        <f t="shared" si="0"/>
        <v>3.3452438000000001E-26</v>
      </c>
      <c r="G3" s="22">
        <f t="shared" si="1"/>
        <v>1.82187712E-29</v>
      </c>
      <c r="H3" s="24">
        <f t="shared" ref="H3:H41" si="10">((F3*D3)/(G3*E3))</f>
        <v>1836.1522647586683</v>
      </c>
      <c r="I3" s="24">
        <f t="shared" ref="I3:I41" si="11">D3/E3</f>
        <v>1</v>
      </c>
      <c r="J3" s="26">
        <f t="shared" ref="J3:J41" si="12">(F3)-(G3)</f>
        <v>3.3434219228800004E-26</v>
      </c>
      <c r="K3" s="3">
        <v>41.988</v>
      </c>
      <c r="L3" s="11">
        <f>0.12*EXP(26500/(8.3144598*N3))/1000</f>
        <v>1.4814456494713717E-3</v>
      </c>
      <c r="M3" s="27">
        <f t="shared" ref="M3:M41" si="13">N3^-1</f>
        <v>7.885502503647044E-4</v>
      </c>
      <c r="N3" s="3">
        <v>1268.1500000000001</v>
      </c>
      <c r="O3" s="5">
        <v>2.16E-5</v>
      </c>
      <c r="P3" s="5">
        <v>2.8800000000000001E-4</v>
      </c>
      <c r="R3" s="6">
        <v>1.02E-10</v>
      </c>
      <c r="S3" s="6">
        <v>1.3300000000000001E-10</v>
      </c>
      <c r="T3" s="6">
        <f t="shared" ref="T3:T22" si="14">S3+R3</f>
        <v>2.3500000000000002E-10</v>
      </c>
      <c r="U3" s="30">
        <v>22.98977</v>
      </c>
      <c r="V3" s="30">
        <v>18.9984</v>
      </c>
      <c r="W3" s="30">
        <f t="shared" ref="W3:W22" si="15">U3*V3/(U3+V3)</f>
        <v>10.402188196532501</v>
      </c>
      <c r="X3" s="6">
        <v>1950000</v>
      </c>
      <c r="Y3" s="7">
        <v>2085.5</v>
      </c>
      <c r="Z3" s="4">
        <v>0</v>
      </c>
      <c r="AA3" s="8">
        <v>2.7549999999999999</v>
      </c>
      <c r="AB3" s="4">
        <v>-6.3599999999999996E-4</v>
      </c>
      <c r="AC3" s="4">
        <v>1</v>
      </c>
      <c r="AD3" s="4">
        <v>1</v>
      </c>
      <c r="AE3" s="11">
        <f t="shared" ref="AE3:AE40" si="16">AC3+AD3</f>
        <v>2</v>
      </c>
      <c r="AF3" s="62">
        <f t="shared" si="2"/>
        <v>5.3093354166666669E-7</v>
      </c>
      <c r="AG3" s="62">
        <f t="shared" si="3"/>
        <v>4.9109756053584944E-7</v>
      </c>
      <c r="AH3" s="62">
        <v>0.82789999999999997</v>
      </c>
      <c r="AI3" s="37">
        <v>1.2192784382425901</v>
      </c>
      <c r="AJ3" s="62" t="s">
        <v>256</v>
      </c>
      <c r="AK3" s="62">
        <f t="shared" ref="AK3:AK37" si="17">AI3*AK$1</f>
        <v>1.4021702039789785</v>
      </c>
      <c r="AL3" s="62">
        <f t="shared" ref="AL3:AL37" si="18">AI3*AL$1</f>
        <v>1.0363866725062016</v>
      </c>
      <c r="AM3" s="62" t="s">
        <v>247</v>
      </c>
      <c r="AN3" s="62">
        <v>0.85709429236785095</v>
      </c>
      <c r="AO3" s="235">
        <f>ABS(AI3-AN3)/AI3</f>
        <v>0.29704793795646395</v>
      </c>
      <c r="AP3" s="62">
        <v>0.842268101058265</v>
      </c>
      <c r="AQ3" s="235">
        <f>ABS(AI3-AP3)/AI3</f>
        <v>0.30920774563005465</v>
      </c>
      <c r="AR3" s="62">
        <v>0.53047695960528096</v>
      </c>
      <c r="AS3" s="238">
        <v>0.78916546470743199</v>
      </c>
      <c r="AT3" s="238">
        <f t="shared" ref="AT3:AV37" si="19">ABS(($AI3-AS3)/$AI3)</f>
        <v>0.35276025561077129</v>
      </c>
      <c r="AU3" s="239">
        <v>0.60313763030423695</v>
      </c>
      <c r="AV3" s="238">
        <f t="shared" si="19"/>
        <v>0.50533232493344926</v>
      </c>
      <c r="AW3" s="37">
        <v>0.53220717521206062</v>
      </c>
      <c r="AX3" s="43">
        <f>(AI3-AW3)/AI3</f>
        <v>0.56350644896242186</v>
      </c>
      <c r="AY3" s="63">
        <f>AI3/(1/3*BL3*BG3)</f>
        <v>6625164.310155984</v>
      </c>
      <c r="AZ3" s="63">
        <v>2.4225090666666601E-7</v>
      </c>
      <c r="BA3" s="63">
        <f>AI3/(AZ3)*0.000001</f>
        <v>5.0331222905196418</v>
      </c>
      <c r="BB3" s="38">
        <v>2264711383.8811092</v>
      </c>
      <c r="BC3" s="39">
        <f>AW3/BB3</f>
        <v>2.3499999999999996E-10</v>
      </c>
      <c r="BD3" s="65">
        <f t="shared" si="4"/>
        <v>1.3019348592938543E-6</v>
      </c>
      <c r="BE3" s="39">
        <v>2.1736793340206901E-10</v>
      </c>
      <c r="BF3" s="39">
        <v>2.6496648084892683E-10</v>
      </c>
      <c r="BG3" s="39">
        <v>2.6473861999915091E-10</v>
      </c>
      <c r="BH3" s="98">
        <f t="shared" si="5"/>
        <v>5.3967287899640674E-4</v>
      </c>
      <c r="BI3" s="39">
        <f>AI3/BB3</f>
        <v>5.3838137915528699E-10</v>
      </c>
      <c r="BJ3" s="39">
        <f>(BI3-BC3)/BC3</f>
        <v>1.2909845921501577</v>
      </c>
      <c r="BK3" s="44">
        <f>AW3/BL3</f>
        <v>2.5519404229779941E-4</v>
      </c>
      <c r="BL3" s="45">
        <f t="shared" si="6"/>
        <v>2085.5</v>
      </c>
      <c r="BM3" s="45">
        <v>2720</v>
      </c>
      <c r="BN3" s="46">
        <f>AI3/BK3</f>
        <v>4777.8483669291527</v>
      </c>
      <c r="BO3" s="46">
        <f t="shared" ref="BO3:BO41" si="20">(BN3-BL3)/BL3</f>
        <v>1.290984592150157</v>
      </c>
      <c r="BP3" s="40">
        <f t="shared" si="7"/>
        <v>7.5812987921945957E-3</v>
      </c>
      <c r="BQ3" s="47">
        <v>70.2</v>
      </c>
      <c r="BR3" s="70">
        <f t="shared" si="8"/>
        <v>3.25</v>
      </c>
      <c r="BS3" s="41">
        <f>AI3/(BP3)</f>
        <v>160.82711836894106</v>
      </c>
      <c r="BT3" s="48">
        <f t="shared" ref="BT3:BT41" si="21">(BS3-BQ3)/BQ3</f>
        <v>1.2909845921501575</v>
      </c>
      <c r="BW3"/>
      <c r="BX3"/>
      <c r="BY3" s="8">
        <f t="shared" si="9"/>
        <v>3.6428468840931505E-10</v>
      </c>
      <c r="BZ3" s="8"/>
    </row>
    <row r="4" spans="1:78" ht="20.25" customHeight="1" x14ac:dyDescent="0.25">
      <c r="A4" s="2" t="s">
        <v>18</v>
      </c>
      <c r="B4" s="30">
        <v>5.0999999999999996</v>
      </c>
      <c r="C4" s="2">
        <v>1</v>
      </c>
      <c r="D4" s="2">
        <v>28</v>
      </c>
      <c r="E4" s="2">
        <v>28</v>
      </c>
      <c r="F4" s="22">
        <f t="shared" si="0"/>
        <v>4.6833413199999998E-26</v>
      </c>
      <c r="G4" s="22">
        <f t="shared" si="1"/>
        <v>2.5506279679999997E-29</v>
      </c>
      <c r="H4" s="24">
        <f t="shared" si="10"/>
        <v>1836.1522647586683</v>
      </c>
      <c r="I4" s="24">
        <f t="shared" si="11"/>
        <v>1</v>
      </c>
      <c r="J4" s="26">
        <f t="shared" si="12"/>
        <v>4.680790692032E-26</v>
      </c>
      <c r="K4" s="3">
        <v>58.097000000000001</v>
      </c>
      <c r="L4" s="11">
        <f>0.107*EXP(23800/(8.3144598*N4))/1000</f>
        <v>1.3500630387524655E-3</v>
      </c>
      <c r="M4" s="27">
        <f t="shared" si="13"/>
        <v>8.856219279989372E-4</v>
      </c>
      <c r="N4" s="3">
        <v>1129.1500000000001</v>
      </c>
      <c r="O4" s="5">
        <v>3.04E-5</v>
      </c>
      <c r="P4" s="5">
        <v>3.4099999999999999E-4</v>
      </c>
      <c r="R4" s="6">
        <v>1.3799999999999999E-10</v>
      </c>
      <c r="S4" s="6">
        <v>1.3300000000000001E-10</v>
      </c>
      <c r="T4" s="6">
        <f t="shared" si="14"/>
        <v>2.7099999999999999E-10</v>
      </c>
      <c r="U4" s="30">
        <v>39.098300000000002</v>
      </c>
      <c r="V4" s="30">
        <v>18.9984</v>
      </c>
      <c r="W4" s="30">
        <f t="shared" si="15"/>
        <v>12.785668423851959</v>
      </c>
      <c r="X4" s="6">
        <v>1910000</v>
      </c>
      <c r="Y4" s="7">
        <v>1816.4</v>
      </c>
      <c r="Z4" s="4">
        <v>0</v>
      </c>
      <c r="AA4" s="4">
        <v>2.6463999999999999</v>
      </c>
      <c r="AB4" s="4">
        <v>-6.5149999999999995E-4</v>
      </c>
      <c r="AC4" s="4">
        <v>1</v>
      </c>
      <c r="AD4" s="4">
        <v>1</v>
      </c>
      <c r="AE4" s="11">
        <f t="shared" si="16"/>
        <v>2</v>
      </c>
      <c r="AF4" s="62">
        <f t="shared" si="2"/>
        <v>3.6108717499999998E-7</v>
      </c>
      <c r="AG4" s="62">
        <f t="shared" si="3"/>
        <v>3.2961603483108106E-7</v>
      </c>
      <c r="AH4" s="62">
        <v>0.56999999999999995</v>
      </c>
      <c r="AI4" s="37">
        <v>0.62200825361355605</v>
      </c>
      <c r="AJ4" s="62" t="s">
        <v>257</v>
      </c>
      <c r="AK4" s="62">
        <f t="shared" si="17"/>
        <v>0.71530949165558944</v>
      </c>
      <c r="AL4" s="62">
        <f t="shared" si="18"/>
        <v>0.52870701557152266</v>
      </c>
      <c r="AM4" s="62" t="s">
        <v>248</v>
      </c>
      <c r="AN4" s="62">
        <v>0.571754421134825</v>
      </c>
      <c r="AO4" s="235">
        <f>ABS(AI4-AN4)/AI4</f>
        <v>8.0792870812857367E-2</v>
      </c>
      <c r="AP4" s="62">
        <v>0.58268227937308503</v>
      </c>
      <c r="AQ4" s="235">
        <f>ABS(AI4-AP4)/AI4</f>
        <v>6.322420001986602E-2</v>
      </c>
      <c r="AR4" s="62">
        <v>0.36415560623112098</v>
      </c>
      <c r="AS4" s="238">
        <v>0.53534560347861904</v>
      </c>
      <c r="AT4" s="238">
        <f t="shared" si="19"/>
        <v>0.13932717071111272</v>
      </c>
      <c r="AU4" s="239">
        <v>0.41627404571578902</v>
      </c>
      <c r="AV4" s="238">
        <f t="shared" si="19"/>
        <v>0.33075800313348647</v>
      </c>
      <c r="AW4" s="37">
        <v>0.3607730892591835</v>
      </c>
      <c r="AX4" s="43">
        <f>(AI4-AW4)/AI4</f>
        <v>0.41998665264765739</v>
      </c>
      <c r="AY4" s="63">
        <f>AI4/(1/3*BL4*BG4)</f>
        <v>3390174.4768813029</v>
      </c>
      <c r="AZ4" s="63">
        <v>2.4330776359999998E-7</v>
      </c>
      <c r="BA4" s="63">
        <f>AI4/(AZ4)*0.000001</f>
        <v>2.5564669388690073</v>
      </c>
      <c r="BB4" s="38">
        <v>1331266012.0265069</v>
      </c>
      <c r="BC4" s="39">
        <f>AW4/BB4</f>
        <v>2.710000000000001E-10</v>
      </c>
      <c r="BD4" s="65">
        <f t="shared" si="4"/>
        <v>1.3591679765781973E-6</v>
      </c>
      <c r="BE4" s="39">
        <v>2.4738055412580903E-10</v>
      </c>
      <c r="BF4" s="39">
        <v>3.005236080406847E-10</v>
      </c>
      <c r="BG4" s="39">
        <v>3.0302876723678847E-10</v>
      </c>
      <c r="BH4" s="98">
        <f t="shared" si="5"/>
        <v>4.6682421420609493E-4</v>
      </c>
      <c r="BI4" s="39">
        <f>AI4/BB4</f>
        <v>4.6723062708309508E-10</v>
      </c>
      <c r="BJ4" s="39">
        <f>(BI4-BC4)/BC4</f>
        <v>0.72409825491916946</v>
      </c>
      <c r="BK4" s="44">
        <f>AW4/BL4</f>
        <v>1.9861984654216225E-4</v>
      </c>
      <c r="BL4" s="45">
        <f t="shared" si="6"/>
        <v>1816.4</v>
      </c>
      <c r="BM4" s="45">
        <v>2360</v>
      </c>
      <c r="BN4" s="46">
        <f>AI4/BK4</f>
        <v>3131.6520702351795</v>
      </c>
      <c r="BO4" s="46">
        <f t="shared" si="20"/>
        <v>0.72409825491916946</v>
      </c>
      <c r="BP4" s="40">
        <f t="shared" si="7"/>
        <v>5.3927218125438487E-3</v>
      </c>
      <c r="BQ4" s="47">
        <v>66.900000000000006</v>
      </c>
      <c r="BR4" s="70">
        <f t="shared" si="8"/>
        <v>2.200657894736842</v>
      </c>
      <c r="BS4" s="41">
        <f>AI4/(BP4)</f>
        <v>115.34217325409244</v>
      </c>
      <c r="BT4" s="48">
        <f t="shared" si="21"/>
        <v>0.72409825491916946</v>
      </c>
      <c r="BW4"/>
      <c r="BX4"/>
      <c r="BY4" s="8">
        <f t="shared" si="9"/>
        <v>3.8914296812648964E-10</v>
      </c>
      <c r="BZ4" s="8"/>
    </row>
    <row r="5" spans="1:78" ht="20.25" customHeight="1" x14ac:dyDescent="0.25">
      <c r="A5" s="2" t="s">
        <v>19</v>
      </c>
      <c r="B5" s="30"/>
      <c r="C5" s="2">
        <v>1</v>
      </c>
      <c r="D5" s="2">
        <v>46</v>
      </c>
      <c r="E5" s="2">
        <v>46</v>
      </c>
      <c r="F5" s="22">
        <f t="shared" si="0"/>
        <v>7.6940607399999996E-26</v>
      </c>
      <c r="G5" s="22">
        <f t="shared" si="1"/>
        <v>4.1903173759999999E-29</v>
      </c>
      <c r="H5" s="24">
        <f t="shared" si="10"/>
        <v>1836.1522647586683</v>
      </c>
      <c r="I5" s="24">
        <f t="shared" si="11"/>
        <v>1</v>
      </c>
      <c r="J5" s="26">
        <f t="shared" si="12"/>
        <v>7.689870422624E-26</v>
      </c>
      <c r="K5" s="9">
        <v>104.4662</v>
      </c>
      <c r="L5" s="11">
        <f>0.115*EXP(27000/(8.3144598*N5))/1000</f>
        <v>2.5481160758264749E-3</v>
      </c>
      <c r="M5" s="27">
        <f t="shared" si="13"/>
        <v>9.5406191861851825E-4</v>
      </c>
      <c r="N5" s="4">
        <v>1048.1500000000001</v>
      </c>
      <c r="O5" s="5">
        <v>3.57E-5</v>
      </c>
      <c r="P5" s="5">
        <v>3.4900000000000003E-4</v>
      </c>
      <c r="R5" s="6">
        <v>1.5199999999999999E-10</v>
      </c>
      <c r="S5" s="6">
        <v>1.3300000000000001E-10</v>
      </c>
      <c r="T5" s="6">
        <f t="shared" si="14"/>
        <v>2.85E-10</v>
      </c>
      <c r="U5" s="30">
        <v>85.467799999999997</v>
      </c>
      <c r="V5" s="30">
        <v>18.9984</v>
      </c>
      <c r="W5" s="30">
        <f t="shared" si="15"/>
        <v>15.543318810486072</v>
      </c>
      <c r="X5" s="6">
        <f>K5/O5</f>
        <v>2926224.0896358541</v>
      </c>
      <c r="Y5" s="7">
        <v>1760.4</v>
      </c>
      <c r="Z5" s="4">
        <v>0</v>
      </c>
      <c r="AA5" s="6">
        <f>X5*100^3/1000</f>
        <v>2926224089.6358538</v>
      </c>
      <c r="AB5" s="4">
        <v>0</v>
      </c>
      <c r="AF5" s="62">
        <f t="shared" si="2"/>
        <v>3.2557537815126049E-7</v>
      </c>
      <c r="AG5" s="62">
        <f t="shared" si="3"/>
        <v>2.957964068786281E-7</v>
      </c>
      <c r="AH5" s="62">
        <v>0.48965000000000003</v>
      </c>
      <c r="AI5" s="37"/>
      <c r="AJ5" s="62"/>
      <c r="AK5" s="62"/>
      <c r="AL5" s="62"/>
      <c r="AM5" s="62"/>
      <c r="AN5" s="62"/>
      <c r="AO5" s="235"/>
      <c r="AP5" s="62"/>
      <c r="AQ5" s="235"/>
      <c r="AR5" s="62"/>
      <c r="AS5" s="238"/>
      <c r="AT5" s="238"/>
      <c r="AU5" s="239"/>
      <c r="AV5" s="238"/>
      <c r="AW5" s="37"/>
      <c r="AX5" s="43"/>
      <c r="AY5" s="63"/>
      <c r="AZ5" s="63"/>
      <c r="BA5" s="63"/>
      <c r="BB5" s="38"/>
      <c r="BC5" s="39"/>
      <c r="BD5" s="65" t="e">
        <f t="shared" si="4"/>
        <v>#NUM!</v>
      </c>
      <c r="BE5" s="39">
        <v>2.5893228302185304E-10</v>
      </c>
      <c r="BF5" s="39">
        <v>3.1433567867488061E-10</v>
      </c>
      <c r="BG5" s="39"/>
      <c r="BH5" s="98">
        <f t="shared" si="5"/>
        <v>0</v>
      </c>
      <c r="BI5" s="39">
        <v>2.5893228302185304E-10</v>
      </c>
      <c r="BJ5" s="39"/>
      <c r="BK5" s="44"/>
      <c r="BL5" s="45">
        <f t="shared" si="6"/>
        <v>1760.4</v>
      </c>
      <c r="BM5" s="45"/>
      <c r="BN5" s="46"/>
      <c r="BO5" s="46"/>
      <c r="BP5" s="40">
        <f t="shared" si="7"/>
        <v>0</v>
      </c>
      <c r="BQ5" s="47">
        <v>69.5</v>
      </c>
      <c r="BR5" s="70">
        <f t="shared" si="8"/>
        <v>1.9467787114845938</v>
      </c>
      <c r="BS5" s="41"/>
      <c r="BT5" s="48"/>
      <c r="BW5"/>
      <c r="BX5"/>
      <c r="BY5" s="8">
        <f t="shared" si="9"/>
        <v>4.94652566383765E-10</v>
      </c>
      <c r="BZ5" s="8"/>
    </row>
    <row r="6" spans="1:78" ht="20.25" customHeight="1" x14ac:dyDescent="0.25">
      <c r="A6" s="2" t="s">
        <v>20</v>
      </c>
      <c r="B6" s="30"/>
      <c r="C6" s="2">
        <v>1</v>
      </c>
      <c r="D6" s="2">
        <v>64</v>
      </c>
      <c r="E6" s="2">
        <v>64</v>
      </c>
      <c r="F6" s="22">
        <f t="shared" si="0"/>
        <v>1.070478016E-25</v>
      </c>
      <c r="G6" s="22">
        <f t="shared" si="1"/>
        <v>5.8300067839999996E-29</v>
      </c>
      <c r="H6" s="24">
        <f t="shared" si="10"/>
        <v>1836.1522647586685</v>
      </c>
      <c r="I6" s="24">
        <f t="shared" si="11"/>
        <v>1</v>
      </c>
      <c r="J6" s="26">
        <f t="shared" si="12"/>
        <v>1.0698950153215999E-25</v>
      </c>
      <c r="K6" s="3">
        <v>58.44</v>
      </c>
      <c r="L6" s="11">
        <f>0.115*EXP(27000/(8.3144598*N6))/1000</f>
        <v>3.4453112314492135E-3</v>
      </c>
      <c r="M6" s="27">
        <f t="shared" si="13"/>
        <v>1.0469559755012302E-3</v>
      </c>
      <c r="N6" s="3">
        <v>955.15</v>
      </c>
      <c r="O6" s="5">
        <v>4.57E-5</v>
      </c>
      <c r="P6" s="5">
        <v>3.8499999999999998E-4</v>
      </c>
      <c r="R6" s="6">
        <v>1.6699999999999999E-10</v>
      </c>
      <c r="S6" s="6">
        <v>1.3300000000000001E-10</v>
      </c>
      <c r="T6" s="6">
        <f t="shared" si="14"/>
        <v>3E-10</v>
      </c>
      <c r="U6" s="30">
        <v>132.90549999999999</v>
      </c>
      <c r="V6" s="30">
        <v>18.9984</v>
      </c>
      <c r="W6" s="30">
        <f t="shared" si="15"/>
        <v>16.622297723758244</v>
      </c>
      <c r="X6" s="6">
        <v>2196977.25</v>
      </c>
      <c r="Y6" s="4">
        <v>2732.9322499999998</v>
      </c>
      <c r="Z6" s="4">
        <v>-0.91500000000000004</v>
      </c>
      <c r="AA6" s="4">
        <v>4.8985000000000003</v>
      </c>
      <c r="AB6" s="4">
        <v>-5.4299999999999997E-4</v>
      </c>
      <c r="AF6" s="62">
        <f t="shared" si="2"/>
        <v>3.0142161269146596E-7</v>
      </c>
      <c r="AG6" s="62">
        <f t="shared" si="3"/>
        <v>2.8095436645910149E-7</v>
      </c>
      <c r="AH6" s="62">
        <v>0.36715000000000003</v>
      </c>
      <c r="AI6" s="37"/>
      <c r="AJ6" s="62"/>
      <c r="AK6" s="62"/>
      <c r="AL6" s="62"/>
      <c r="AM6" s="62"/>
      <c r="AN6" s="62"/>
      <c r="AO6" s="235"/>
      <c r="AP6" s="62"/>
      <c r="AQ6" s="235"/>
      <c r="AR6" s="62"/>
      <c r="AS6" s="238"/>
      <c r="AT6" s="238"/>
      <c r="AU6" s="239"/>
      <c r="AV6" s="238"/>
      <c r="AW6" s="37"/>
      <c r="AX6" s="43"/>
      <c r="AY6" s="63"/>
      <c r="AZ6" s="63"/>
      <c r="BA6" s="63"/>
      <c r="BB6" s="38"/>
      <c r="BC6" s="39"/>
      <c r="BD6" s="65" t="e">
        <f t="shared" si="4"/>
        <v>#NUM!</v>
      </c>
      <c r="BE6" s="39">
        <v>2.7962928465917803E-10</v>
      </c>
      <c r="BF6" s="39">
        <v>3.3920043013148835E-10</v>
      </c>
      <c r="BG6" s="39"/>
      <c r="BH6" s="98">
        <f t="shared" si="5"/>
        <v>0</v>
      </c>
      <c r="BI6" s="39">
        <v>2.7962928465917803E-10</v>
      </c>
      <c r="BJ6" s="39"/>
      <c r="BK6" s="44"/>
      <c r="BL6" s="45">
        <f t="shared" si="6"/>
        <v>1858.9699999999998</v>
      </c>
      <c r="BM6" s="45"/>
      <c r="BN6" s="46"/>
      <c r="BO6" s="46"/>
      <c r="BP6" s="40">
        <f t="shared" si="7"/>
        <v>0</v>
      </c>
      <c r="BQ6" s="47">
        <v>74.099999999999994</v>
      </c>
      <c r="BR6" s="70">
        <f t="shared" si="8"/>
        <v>1.62144420131291</v>
      </c>
      <c r="BS6" s="41"/>
      <c r="BT6" s="48"/>
      <c r="BW6"/>
      <c r="BX6"/>
      <c r="BY6" s="8">
        <f t="shared" si="9"/>
        <v>8.4358824408450485E-10</v>
      </c>
      <c r="BZ6" s="8"/>
    </row>
    <row r="7" spans="1:78" ht="20.25" customHeight="1" x14ac:dyDescent="0.25">
      <c r="A7" s="2" t="s">
        <v>21</v>
      </c>
      <c r="B7" s="30">
        <v>3.67</v>
      </c>
      <c r="C7" s="2">
        <v>1</v>
      </c>
      <c r="D7" s="2">
        <v>20</v>
      </c>
      <c r="E7" s="2">
        <v>20</v>
      </c>
      <c r="F7" s="22">
        <f t="shared" si="0"/>
        <v>3.3452438000000001E-26</v>
      </c>
      <c r="G7" s="22">
        <f t="shared" si="1"/>
        <v>1.82187712E-29</v>
      </c>
      <c r="H7" s="24">
        <f t="shared" si="10"/>
        <v>1836.1522647586683</v>
      </c>
      <c r="I7" s="24">
        <f t="shared" si="11"/>
        <v>1</v>
      </c>
      <c r="J7" s="26">
        <f t="shared" si="12"/>
        <v>3.3434219228800004E-26</v>
      </c>
      <c r="K7" s="3">
        <v>42.393999999999998</v>
      </c>
      <c r="L7" s="11">
        <f>0.0726*EXP(22400/(8.3144598*N7))/1000</f>
        <v>1.5609788980515524E-3</v>
      </c>
      <c r="M7" s="27">
        <f t="shared" si="13"/>
        <v>1.1388224575788635E-3</v>
      </c>
      <c r="N7" s="3">
        <v>878.1</v>
      </c>
      <c r="O7" s="5">
        <f>K7/X7</f>
        <v>2.828152101400934E-5</v>
      </c>
      <c r="P7" s="5">
        <v>2.8800000000000001E-4</v>
      </c>
      <c r="R7" s="6">
        <v>7.5999999999999996E-11</v>
      </c>
      <c r="S7" s="6">
        <v>1.81E-10</v>
      </c>
      <c r="T7" s="6">
        <f t="shared" si="14"/>
        <v>2.5699999999999999E-10</v>
      </c>
      <c r="U7" s="30">
        <v>6.9409999999999998</v>
      </c>
      <c r="V7" s="30">
        <v>35.453000000000003</v>
      </c>
      <c r="W7" s="30">
        <f t="shared" si="15"/>
        <v>5.804577841203943</v>
      </c>
      <c r="X7" s="6">
        <v>1499000</v>
      </c>
      <c r="Y7" s="4">
        <v>2787.9043499999998</v>
      </c>
      <c r="Z7" s="4">
        <v>-0.84899999999999998</v>
      </c>
      <c r="AA7" s="4">
        <v>1.8842000000000001</v>
      </c>
      <c r="AB7" s="4">
        <v>-4.328E-4</v>
      </c>
      <c r="AC7" s="4">
        <v>1</v>
      </c>
      <c r="AD7" s="4">
        <v>1</v>
      </c>
      <c r="AE7" s="11">
        <f t="shared" si="16"/>
        <v>2</v>
      </c>
      <c r="AF7" s="62">
        <f t="shared" si="2"/>
        <v>4.0225025742942662E-7</v>
      </c>
      <c r="AG7" s="62">
        <f t="shared" si="3"/>
        <v>3.7226977205251361E-7</v>
      </c>
      <c r="AH7" s="62">
        <v>0.61260000000000003</v>
      </c>
      <c r="AI7" s="37">
        <v>0.62171538406412596</v>
      </c>
      <c r="AJ7" s="62" t="s">
        <v>258</v>
      </c>
      <c r="AK7" s="62">
        <f t="shared" si="17"/>
        <v>0.71497269167374478</v>
      </c>
      <c r="AL7" s="62">
        <f t="shared" si="18"/>
        <v>0.52845807645450704</v>
      </c>
      <c r="AM7" s="235">
        <v>4.1180985941237099E-10</v>
      </c>
      <c r="AN7" s="62">
        <v>0.65758853659320404</v>
      </c>
      <c r="AO7" s="235">
        <f>ABS(AI7-AN7)/AI7</f>
        <v>5.7700281267896038E-2</v>
      </c>
      <c r="AP7" s="62">
        <v>0.68631947375037605</v>
      </c>
      <c r="AQ7" s="235">
        <f>ABS(AI7-AP7)/AI7</f>
        <v>0.1039126445029171</v>
      </c>
      <c r="AR7" s="62">
        <v>0.41038418590950398</v>
      </c>
      <c r="AS7" s="238">
        <v>0.79296638429921396</v>
      </c>
      <c r="AT7" s="238">
        <f>ABS(($AI7-AS7)/$AI7)</f>
        <v>0.27544919206539137</v>
      </c>
      <c r="AU7" s="239">
        <v>0.47211359257975699</v>
      </c>
      <c r="AV7" s="238">
        <f t="shared" si="19"/>
        <v>0.24062745641973451</v>
      </c>
      <c r="AW7" s="37">
        <v>0.40224439226966308</v>
      </c>
      <c r="AX7" s="43">
        <f t="shared" ref="AX7:AX14" si="22">(AI7-AW7)/AI7</f>
        <v>0.35300878411563619</v>
      </c>
      <c r="AY7" s="63">
        <f>AI7/(1/3*BL7*BG7)</f>
        <v>3057984.9350080346</v>
      </c>
      <c r="AZ7" s="63">
        <v>3.4373590999999901E-7</v>
      </c>
      <c r="BA7" s="63">
        <f>AI7/(AZ7)*0.000001</f>
        <v>1.8087007088206983</v>
      </c>
      <c r="BB7" s="38">
        <v>1565153277.313864</v>
      </c>
      <c r="BC7" s="39">
        <f t="shared" ref="BC7:BC14" si="23">AW7/BB7</f>
        <v>2.5700000000000004E-10</v>
      </c>
      <c r="BD7" s="65">
        <f t="shared" si="4"/>
        <v>1.8165711237792346E-6</v>
      </c>
      <c r="BE7" s="39">
        <v>2.3784529568456903E-10</v>
      </c>
      <c r="BF7" s="39">
        <v>2.8537174524490604E-10</v>
      </c>
      <c r="BG7" s="39">
        <v>2.9863263583740558E-10</v>
      </c>
      <c r="BH7" s="98">
        <f t="shared" si="5"/>
        <v>3.9721753001615754E-4</v>
      </c>
      <c r="BI7" s="39">
        <f t="shared" ref="BI7:BI14" si="24">AI7/BB7</f>
        <v>3.9722332187881421E-10</v>
      </c>
      <c r="BJ7" s="39">
        <f t="shared" ref="BJ7:BJ14" si="25">(BI7-BC7)/BC7</f>
        <v>0.54561603843896556</v>
      </c>
      <c r="BK7" s="44">
        <f t="shared" ref="BK7:BK14" si="26">AW7/BL7</f>
        <v>1.969471672957989E-4</v>
      </c>
      <c r="BL7" s="45">
        <f t="shared" si="6"/>
        <v>2042.3974499999999</v>
      </c>
      <c r="BM7" s="45">
        <v>3500</v>
      </c>
      <c r="BN7" s="46">
        <f t="shared" ref="BN7:BN14" si="27">AI7/BK7</f>
        <v>3156.7622555868456</v>
      </c>
      <c r="BO7" s="46">
        <f t="shared" si="20"/>
        <v>0.54561603843896578</v>
      </c>
      <c r="BP7" s="40">
        <f t="shared" si="7"/>
        <v>6.1864717359222257E-3</v>
      </c>
      <c r="BQ7" s="47">
        <v>65.02</v>
      </c>
      <c r="BR7" s="70">
        <f t="shared" si="8"/>
        <v>2.2990276925980089</v>
      </c>
      <c r="BS7" s="41">
        <f t="shared" ref="BS7:BS14" si="28">AI7/(BP7)</f>
        <v>100.49595481930155</v>
      </c>
      <c r="BT7" s="48">
        <f t="shared" si="21"/>
        <v>0.54561603843896567</v>
      </c>
      <c r="BW7"/>
      <c r="BX7"/>
      <c r="BY7" s="8">
        <f t="shared" si="9"/>
        <v>5.0986492855295244E-10</v>
      </c>
      <c r="BZ7" s="8"/>
    </row>
    <row r="8" spans="1:78" ht="20.25" customHeight="1" x14ac:dyDescent="0.25">
      <c r="A8" s="2" t="s">
        <v>22</v>
      </c>
      <c r="B8" s="30">
        <v>3.94</v>
      </c>
      <c r="C8" s="2">
        <v>1</v>
      </c>
      <c r="D8" s="2">
        <v>28</v>
      </c>
      <c r="E8" s="2">
        <v>28</v>
      </c>
      <c r="F8" s="22">
        <f t="shared" si="0"/>
        <v>4.6833413199999998E-26</v>
      </c>
      <c r="G8" s="22">
        <f t="shared" si="1"/>
        <v>2.5506279679999997E-29</v>
      </c>
      <c r="H8" s="24">
        <f t="shared" si="10"/>
        <v>1836.1522647586683</v>
      </c>
      <c r="I8" s="24">
        <f t="shared" si="11"/>
        <v>1</v>
      </c>
      <c r="J8" s="26">
        <f t="shared" si="12"/>
        <v>4.680790692032E-26</v>
      </c>
      <c r="K8" s="3">
        <v>58.44</v>
      </c>
      <c r="L8" s="11">
        <f>0.0893*EXP(22000/(8.3144598*N8))/1000</f>
        <v>1.0321390978018604E-3</v>
      </c>
      <c r="M8" s="27">
        <f t="shared" si="13"/>
        <v>9.2494103500901812E-4</v>
      </c>
      <c r="N8" s="3">
        <v>1081.1500000000001</v>
      </c>
      <c r="O8" s="5">
        <v>3.765E-5</v>
      </c>
      <c r="P8" s="5">
        <v>3.5E-4</v>
      </c>
      <c r="R8" s="6">
        <v>1.02E-10</v>
      </c>
      <c r="S8" s="6">
        <v>1.81E-10</v>
      </c>
      <c r="T8" s="6">
        <f t="shared" si="14"/>
        <v>2.8300000000000001E-10</v>
      </c>
      <c r="U8" s="30">
        <v>22.98977</v>
      </c>
      <c r="V8" s="30">
        <v>35.453000000000003</v>
      </c>
      <c r="W8" s="30">
        <f t="shared" si="15"/>
        <v>13.946230060792807</v>
      </c>
      <c r="X8" s="6">
        <v>1560000</v>
      </c>
      <c r="Y8" s="4">
        <v>2732.9322499999998</v>
      </c>
      <c r="Z8" s="4">
        <v>-0.91500000000000004</v>
      </c>
      <c r="AA8" s="4">
        <v>2.1393</v>
      </c>
      <c r="AB8" s="4">
        <v>-5.4299999999999997E-4</v>
      </c>
      <c r="AC8" s="4">
        <v>1</v>
      </c>
      <c r="AD8" s="4">
        <v>1</v>
      </c>
      <c r="AE8" s="11">
        <f t="shared" si="16"/>
        <v>2</v>
      </c>
      <c r="AF8" s="62">
        <f t="shared" si="2"/>
        <v>3.0415923375652935E-7</v>
      </c>
      <c r="AG8" s="62">
        <f t="shared" si="3"/>
        <v>2.861734353833445E-7</v>
      </c>
      <c r="AH8" s="62">
        <v>0.46649999999999997</v>
      </c>
      <c r="AI8" s="37">
        <v>0.47705461868503202</v>
      </c>
      <c r="AJ8" s="62" t="s">
        <v>259</v>
      </c>
      <c r="AK8" s="62">
        <f t="shared" si="17"/>
        <v>0.54861281148778673</v>
      </c>
      <c r="AL8" s="62">
        <f t="shared" si="18"/>
        <v>0.40549642588227719</v>
      </c>
      <c r="AM8" s="62" t="s">
        <v>246</v>
      </c>
      <c r="AN8" s="62">
        <v>0.50410392462777398</v>
      </c>
      <c r="AO8" s="235">
        <f>ABS(AI8-AN8)/AI8</f>
        <v>5.6700647857265273E-2</v>
      </c>
      <c r="AP8" s="62">
        <v>0.48682954154178998</v>
      </c>
      <c r="AQ8" s="235">
        <f>ABS(AI8-AP8)/AI8</f>
        <v>2.0490154531365525E-2</v>
      </c>
      <c r="AR8" s="62">
        <v>0.31018667592972998</v>
      </c>
      <c r="AS8" s="238">
        <v>0.5405387597447</v>
      </c>
      <c r="AT8" s="238">
        <f t="shared" si="19"/>
        <v>0.13307520475256612</v>
      </c>
      <c r="AU8" s="239">
        <v>0.35117684804354099</v>
      </c>
      <c r="AV8" s="238">
        <f t="shared" si="19"/>
        <v>0.26386448366953114</v>
      </c>
      <c r="AW8" s="37">
        <v>0.30612615309310248</v>
      </c>
      <c r="AX8" s="43">
        <f t="shared" si="22"/>
        <v>0.35829957178295851</v>
      </c>
      <c r="AY8" s="63">
        <f>AI8/(1/3*BL8*BG8)</f>
        <v>2548471.2705427231</v>
      </c>
      <c r="AZ8" s="63">
        <v>2.92311164799999E-7</v>
      </c>
      <c r="BA8" s="63">
        <f>AI8/(AZ8)*0.000001</f>
        <v>1.6320095710727833</v>
      </c>
      <c r="BB8" s="38">
        <v>1081717855.4526589</v>
      </c>
      <c r="BC8" s="39">
        <f t="shared" si="23"/>
        <v>2.8300000000000001E-10</v>
      </c>
      <c r="BD8" s="65">
        <f t="shared" si="4"/>
        <v>1.0954162084238985E-6</v>
      </c>
      <c r="BE8" s="39">
        <v>2.66265407146292E-10</v>
      </c>
      <c r="BF8" s="39">
        <v>3.206764381934731E-10</v>
      </c>
      <c r="BG8" s="39">
        <v>3.220644811515606E-10</v>
      </c>
      <c r="BH8" s="98">
        <f t="shared" si="5"/>
        <v>4.4386769199955577E-4</v>
      </c>
      <c r="BI8" s="39">
        <f t="shared" si="24"/>
        <v>4.4101575681710674E-10</v>
      </c>
      <c r="BJ8" s="39">
        <f t="shared" si="25"/>
        <v>0.55835956472475878</v>
      </c>
      <c r="BK8" s="44">
        <f t="shared" si="26"/>
        <v>1.7556326452852731E-4</v>
      </c>
      <c r="BL8" s="45">
        <f t="shared" si="6"/>
        <v>1743.6799999999998</v>
      </c>
      <c r="BM8" s="45">
        <v>2720</v>
      </c>
      <c r="BN8" s="46">
        <f t="shared" si="27"/>
        <v>2717.2804058192669</v>
      </c>
      <c r="BO8" s="46">
        <f t="shared" si="20"/>
        <v>0.55835956472475867</v>
      </c>
      <c r="BP8" s="40">
        <f t="shared" si="7"/>
        <v>4.3971007338854135E-3</v>
      </c>
      <c r="BQ8" s="47">
        <v>69.62</v>
      </c>
      <c r="BR8" s="70">
        <f t="shared" si="8"/>
        <v>1.849136786188579</v>
      </c>
      <c r="BS8" s="41">
        <f t="shared" si="28"/>
        <v>108.49299289613769</v>
      </c>
      <c r="BT8" s="48">
        <f t="shared" si="21"/>
        <v>0.55835956472475845</v>
      </c>
      <c r="BW8"/>
      <c r="BX8"/>
      <c r="BY8" s="8">
        <f t="shared" si="9"/>
        <v>3.7944326183477726E-10</v>
      </c>
      <c r="BZ8" s="8"/>
    </row>
    <row r="9" spans="1:78" ht="20.25" customHeight="1" x14ac:dyDescent="0.25">
      <c r="A9" s="2" t="s">
        <v>23</v>
      </c>
      <c r="B9" s="30">
        <v>3.34</v>
      </c>
      <c r="C9" s="2">
        <v>1</v>
      </c>
      <c r="D9" s="2">
        <v>36</v>
      </c>
      <c r="E9" s="2">
        <v>36</v>
      </c>
      <c r="F9" s="22">
        <f t="shared" si="0"/>
        <v>6.0214388399999996E-26</v>
      </c>
      <c r="G9" s="22">
        <f t="shared" si="1"/>
        <v>3.2793788159999999E-29</v>
      </c>
      <c r="H9" s="24">
        <f t="shared" si="10"/>
        <v>1836.1522647586683</v>
      </c>
      <c r="I9" s="24">
        <f t="shared" si="11"/>
        <v>1</v>
      </c>
      <c r="J9" s="26">
        <f t="shared" si="12"/>
        <v>6.0181594611840001E-26</v>
      </c>
      <c r="K9" s="3">
        <v>74.551299999999998</v>
      </c>
      <c r="L9" s="11">
        <f>0.0708*EXP(23900/(8.3144598*N9))/1000</f>
        <v>1.1078669041234444E-3</v>
      </c>
      <c r="M9" s="27">
        <f t="shared" si="13"/>
        <v>9.5680045926422035E-4</v>
      </c>
      <c r="N9" s="3">
        <v>1045.1500000000001</v>
      </c>
      <c r="O9" s="5">
        <v>4.884E-5</v>
      </c>
      <c r="P9" s="5">
        <v>3.8200000000000002E-4</v>
      </c>
      <c r="R9" s="6">
        <v>1.3799999999999999E-10</v>
      </c>
      <c r="S9" s="6">
        <v>1.81E-10</v>
      </c>
      <c r="T9" s="6">
        <f>S9+R9</f>
        <v>3.1899999999999998E-10</v>
      </c>
      <c r="U9" s="30">
        <v>39.098300000000002</v>
      </c>
      <c r="V9" s="30">
        <v>35.453000000000003</v>
      </c>
      <c r="W9" s="30">
        <f t="shared" si="15"/>
        <v>18.593264368294051</v>
      </c>
      <c r="X9" s="6">
        <v>1530000</v>
      </c>
      <c r="Y9" s="4">
        <v>2514.8256999999999</v>
      </c>
      <c r="Z9" s="4">
        <v>-0.878</v>
      </c>
      <c r="AA9" s="4">
        <v>2.1358999999999999</v>
      </c>
      <c r="AB9" s="4">
        <v>-5.8310000000000002E-4</v>
      </c>
      <c r="AC9" s="4">
        <v>1</v>
      </c>
      <c r="AD9" s="4">
        <v>1</v>
      </c>
      <c r="AE9" s="11">
        <f t="shared" si="16"/>
        <v>2</v>
      </c>
      <c r="AF9" s="62">
        <f t="shared" si="2"/>
        <v>2.5593314786786776E-7</v>
      </c>
      <c r="AG9" s="62">
        <f t="shared" si="3"/>
        <v>2.3977579491661176E-7</v>
      </c>
      <c r="AH9" s="62">
        <v>0.35505000000000003</v>
      </c>
      <c r="AI9" s="37">
        <v>0.36559719352224501</v>
      </c>
      <c r="AJ9" s="62" t="s">
        <v>260</v>
      </c>
      <c r="AK9" s="62">
        <f t="shared" si="17"/>
        <v>0.42043677255058171</v>
      </c>
      <c r="AL9" s="62">
        <f t="shared" si="18"/>
        <v>0.31075761449390826</v>
      </c>
      <c r="AM9" s="235">
        <v>5.0614944217642101E-10</v>
      </c>
      <c r="AN9" s="62">
        <v>0.41550005782079902</v>
      </c>
      <c r="AO9" s="235">
        <f>ABS(AI9-AN9)/AI9</f>
        <v>0.1364968473028435</v>
      </c>
      <c r="AP9" s="62">
        <v>0.37423569928907002</v>
      </c>
      <c r="AQ9" s="235">
        <f>ABS(AI9-AP9)/AI9</f>
        <v>2.3628479430051738E-2</v>
      </c>
      <c r="AR9" s="62">
        <v>0.26186834835755002</v>
      </c>
      <c r="AS9" s="238">
        <v>0.43176830156351298</v>
      </c>
      <c r="AT9" s="238">
        <f>ABS(($AI9-AS9)/$AI9)</f>
        <v>0.18099457330008673</v>
      </c>
      <c r="AU9" s="239">
        <v>0.29834703599335899</v>
      </c>
      <c r="AV9" s="238">
        <f t="shared" si="19"/>
        <v>0.18394604422693453</v>
      </c>
      <c r="AW9" s="37">
        <v>0.25652333922633108</v>
      </c>
      <c r="AX9" s="43">
        <f t="shared" si="22"/>
        <v>0.29834434243072838</v>
      </c>
      <c r="AY9" s="63">
        <f>AI9/(1/3*BL9*BG9)</f>
        <v>1914248.1139870561</v>
      </c>
      <c r="AZ9" s="63">
        <v>2.8650949879999998E-7</v>
      </c>
      <c r="BA9" s="63">
        <f>AI9/(AZ9)*0.000001</f>
        <v>1.2760386481198402</v>
      </c>
      <c r="BB9" s="38">
        <v>804148398.82862413</v>
      </c>
      <c r="BC9" s="39">
        <f t="shared" si="23"/>
        <v>3.1899999999999998E-10</v>
      </c>
      <c r="BD9" s="65">
        <f t="shared" si="4"/>
        <v>1.0407330734427512E-6</v>
      </c>
      <c r="BE9" s="39">
        <v>2.9886116439238405E-10</v>
      </c>
      <c r="BF9" s="39">
        <v>5.1446004272493702E-10</v>
      </c>
      <c r="BG9" s="39">
        <v>3.5873266934807023E-10</v>
      </c>
      <c r="BH9" s="98">
        <f t="shared" si="5"/>
        <v>4.556873765871358E-4</v>
      </c>
      <c r="BI9" s="39">
        <f t="shared" si="24"/>
        <v>4.5463896222985473E-10</v>
      </c>
      <c r="BJ9" s="39">
        <f t="shared" si="25"/>
        <v>0.42520050855753838</v>
      </c>
      <c r="BK9" s="44">
        <f t="shared" si="26"/>
        <v>1.6060976019439908E-4</v>
      </c>
      <c r="BL9" s="45">
        <f t="shared" si="6"/>
        <v>1597.1839999999997</v>
      </c>
      <c r="BM9" s="45">
        <v>2360</v>
      </c>
      <c r="BN9" s="46">
        <f t="shared" si="27"/>
        <v>2276.3074490599633</v>
      </c>
      <c r="BO9" s="46">
        <f t="shared" si="20"/>
        <v>0.4252005085575386</v>
      </c>
      <c r="BP9" s="40">
        <f t="shared" si="7"/>
        <v>3.4853714568794988E-3</v>
      </c>
      <c r="BQ9" s="47">
        <v>73.599999999999994</v>
      </c>
      <c r="BR9" s="70">
        <f t="shared" si="8"/>
        <v>1.5069615069615068</v>
      </c>
      <c r="BS9" s="41">
        <f t="shared" si="28"/>
        <v>104.89475742983483</v>
      </c>
      <c r="BT9" s="48">
        <f t="shared" si="21"/>
        <v>0.42520050855753849</v>
      </c>
      <c r="BW9"/>
      <c r="BX9"/>
      <c r="BY9" s="8">
        <f t="shared" si="9"/>
        <v>4.5335791979318428E-10</v>
      </c>
      <c r="BZ9" s="8"/>
    </row>
    <row r="10" spans="1:78" ht="20.25" customHeight="1" x14ac:dyDescent="0.25">
      <c r="A10" s="2" t="s">
        <v>24</v>
      </c>
      <c r="B10" s="30">
        <v>0.52</v>
      </c>
      <c r="C10" s="2">
        <v>1</v>
      </c>
      <c r="D10" s="2">
        <v>13</v>
      </c>
      <c r="E10" s="2">
        <v>12</v>
      </c>
      <c r="F10" s="22">
        <f t="shared" si="0"/>
        <v>2.17440847E-26</v>
      </c>
      <c r="G10" s="22">
        <f t="shared" si="1"/>
        <v>1.0931262719999999E-29</v>
      </c>
      <c r="H10" s="24">
        <f t="shared" si="10"/>
        <v>2154.9286996126039</v>
      </c>
      <c r="I10" s="24">
        <f t="shared" si="11"/>
        <v>1.0833333333333333</v>
      </c>
      <c r="J10" s="26">
        <f t="shared" si="12"/>
        <v>2.1733153437280001E-26</v>
      </c>
      <c r="K10" s="3">
        <v>47.01</v>
      </c>
      <c r="L10" s="20">
        <f>10^(-8.12+11500/N10+639000/N10^2)/1000</f>
        <v>1.5280162636820758</v>
      </c>
      <c r="M10" s="27">
        <f t="shared" si="13"/>
        <v>9.3444844180722323E-4</v>
      </c>
      <c r="N10" s="3">
        <v>1070.1500000000001</v>
      </c>
      <c r="O10" s="5">
        <v>2.4000000000000001E-5</v>
      </c>
      <c r="P10" s="5">
        <v>7.4200000000000001E-6</v>
      </c>
      <c r="R10" s="10">
        <v>3.3999999999999999E-11</v>
      </c>
      <c r="S10" s="6">
        <v>1.3300000000000001E-10</v>
      </c>
      <c r="T10" s="6">
        <f t="shared" si="14"/>
        <v>1.6699999999999999E-10</v>
      </c>
      <c r="U10" s="30">
        <v>9.0121800000000007</v>
      </c>
      <c r="V10" s="30">
        <v>18.9984</v>
      </c>
      <c r="W10" s="30">
        <f t="shared" si="15"/>
        <v>6.1125831922080875</v>
      </c>
      <c r="X10" s="6">
        <v>1960000</v>
      </c>
      <c r="Y10" s="7">
        <v>2547.8000000000002</v>
      </c>
      <c r="Z10" s="4">
        <v>0</v>
      </c>
      <c r="AA10" s="4">
        <v>1.972</v>
      </c>
      <c r="AB10" s="8">
        <v>-1.45E-5</v>
      </c>
      <c r="AC10" s="4">
        <v>1</v>
      </c>
      <c r="AD10" s="4">
        <v>2</v>
      </c>
      <c r="AE10" s="11">
        <f t="shared" si="16"/>
        <v>3</v>
      </c>
      <c r="AF10" s="62">
        <f t="shared" si="2"/>
        <v>5.1944334083333329E-7</v>
      </c>
      <c r="AG10" s="62"/>
      <c r="AH10" s="62">
        <v>0.79925905600000002</v>
      </c>
      <c r="AI10" s="37"/>
      <c r="AJ10" s="62"/>
      <c r="AK10" s="62"/>
      <c r="AL10" s="62"/>
      <c r="AM10" s="62"/>
      <c r="AN10" s="62"/>
      <c r="AO10" s="235"/>
      <c r="AP10" s="62"/>
      <c r="AQ10" s="235"/>
      <c r="AR10" s="62"/>
      <c r="AS10" s="238"/>
      <c r="AT10" s="238"/>
      <c r="AU10" s="239"/>
      <c r="AV10" s="238"/>
      <c r="AW10" s="37">
        <v>0.51979938659180325</v>
      </c>
      <c r="AX10" s="43" t="e">
        <f t="shared" si="22"/>
        <v>#DIV/0!</v>
      </c>
      <c r="AY10" s="63"/>
      <c r="AZ10" s="63"/>
      <c r="BA10" s="63"/>
      <c r="BB10" s="38">
        <v>3112571177.1964269</v>
      </c>
      <c r="BC10" s="39">
        <f t="shared" si="23"/>
        <v>1.6699999999999999E-10</v>
      </c>
      <c r="BD10" s="65">
        <f t="shared" si="4"/>
        <v>5.2269198917938225E-6</v>
      </c>
      <c r="BE10" s="39"/>
      <c r="BF10" s="39"/>
      <c r="BG10" s="39"/>
      <c r="BH10" s="98">
        <f t="shared" si="5"/>
        <v>0</v>
      </c>
      <c r="BI10" s="39">
        <f t="shared" si="24"/>
        <v>0</v>
      </c>
      <c r="BJ10" s="39">
        <f t="shared" si="25"/>
        <v>-1</v>
      </c>
      <c r="BK10" s="44">
        <f t="shared" si="26"/>
        <v>2.0401891301978303E-4</v>
      </c>
      <c r="BL10" s="45">
        <f t="shared" si="6"/>
        <v>2547.8000000000002</v>
      </c>
      <c r="BM10" s="45"/>
      <c r="BN10" s="46">
        <f t="shared" si="27"/>
        <v>0</v>
      </c>
      <c r="BO10" s="46">
        <f t="shared" si="20"/>
        <v>-1</v>
      </c>
      <c r="BP10" s="40">
        <f t="shared" si="7"/>
        <v>5.9135311330125511E-3</v>
      </c>
      <c r="BQ10" s="47">
        <v>87.9</v>
      </c>
      <c r="BR10" s="70">
        <f t="shared" si="8"/>
        <v>3.6624999999999996</v>
      </c>
      <c r="BS10" s="41">
        <f t="shared" si="28"/>
        <v>0</v>
      </c>
      <c r="BT10" s="48">
        <f t="shared" si="21"/>
        <v>-1</v>
      </c>
      <c r="BW10"/>
      <c r="BX10"/>
      <c r="BY10" s="8"/>
      <c r="BZ10" s="8"/>
    </row>
    <row r="11" spans="1:78" ht="20.25" customHeight="1" x14ac:dyDescent="0.25">
      <c r="A11" s="2" t="s">
        <v>25</v>
      </c>
      <c r="B11" s="30">
        <v>0.02</v>
      </c>
      <c r="C11" s="2">
        <v>1</v>
      </c>
      <c r="D11" s="2">
        <v>21</v>
      </c>
      <c r="E11" s="2">
        <v>20</v>
      </c>
      <c r="F11" s="22">
        <f t="shared" si="0"/>
        <v>3.51250599E-26</v>
      </c>
      <c r="G11" s="22">
        <f t="shared" si="1"/>
        <v>1.82187712E-29</v>
      </c>
      <c r="H11" s="24">
        <f t="shared" si="10"/>
        <v>2024.3578718964318</v>
      </c>
      <c r="I11" s="24">
        <f t="shared" si="11"/>
        <v>1.05</v>
      </c>
      <c r="J11" s="26">
        <f t="shared" si="12"/>
        <v>3.5106841128800003E-26</v>
      </c>
      <c r="K11" s="11">
        <v>62.3018</v>
      </c>
      <c r="L11" s="11">
        <f>0.187*EXP(32100/(8.3144598*N11))/1000</f>
        <v>2.3159210132636244E-3</v>
      </c>
      <c r="M11" s="27">
        <f t="shared" si="13"/>
        <v>6.5180550123843041E-4</v>
      </c>
      <c r="N11" s="11">
        <v>1534.2</v>
      </c>
      <c r="O11" s="5">
        <f t="shared" ref="O11:O16" si="29">K11/X11</f>
        <v>2.5574620069823672E-5</v>
      </c>
      <c r="P11" s="5">
        <v>2.1599999999999999E-4</v>
      </c>
      <c r="R11" s="6">
        <v>7.1999999999999997E-11</v>
      </c>
      <c r="S11" s="6">
        <v>1.3300000000000001E-10</v>
      </c>
      <c r="T11" s="6">
        <f t="shared" si="14"/>
        <v>2.0500000000000002E-10</v>
      </c>
      <c r="U11" s="30">
        <v>24.305</v>
      </c>
      <c r="V11" s="30">
        <v>18.9984</v>
      </c>
      <c r="W11" s="30">
        <f t="shared" si="15"/>
        <v>10.663276139979772</v>
      </c>
      <c r="X11" s="6">
        <f t="shared" ref="X11:X18" si="30">(AA11+N11*AB11)*1000000</f>
        <v>2436079.2000000002</v>
      </c>
      <c r="Y11" s="7">
        <v>2175.6</v>
      </c>
      <c r="Z11" s="4">
        <v>0</v>
      </c>
      <c r="AA11" s="8">
        <v>3.24</v>
      </c>
      <c r="AB11" s="8">
        <v>-5.2400000000000005E-4</v>
      </c>
      <c r="AC11" s="4">
        <v>1</v>
      </c>
      <c r="AD11" s="4">
        <v>2</v>
      </c>
      <c r="AE11" s="11">
        <f t="shared" si="16"/>
        <v>3</v>
      </c>
      <c r="AF11" s="62">
        <f t="shared" si="2"/>
        <v>5.5165642193242058E-7</v>
      </c>
      <c r="AG11" s="62"/>
      <c r="AH11" s="62">
        <v>0.65067779999999997</v>
      </c>
      <c r="AI11" s="37"/>
      <c r="AJ11" s="62"/>
      <c r="AK11" s="62"/>
      <c r="AL11" s="62"/>
      <c r="AM11" s="62"/>
      <c r="AN11" s="62"/>
      <c r="AO11" s="235"/>
      <c r="AP11" s="62"/>
      <c r="AQ11" s="235"/>
      <c r="AR11" s="62"/>
      <c r="AS11" s="238"/>
      <c r="AT11" s="238"/>
      <c r="AU11" s="239"/>
      <c r="AV11" s="238"/>
      <c r="AW11" s="37">
        <v>0.55165642193242048</v>
      </c>
      <c r="AX11" s="43" t="e">
        <f t="shared" si="22"/>
        <v>#DIV/0!</v>
      </c>
      <c r="AY11" s="63"/>
      <c r="AZ11" s="63"/>
      <c r="BA11" s="63"/>
      <c r="BB11" s="38">
        <v>2691006936.2557101</v>
      </c>
      <c r="BC11" s="39">
        <f t="shared" si="23"/>
        <v>2.0499999999999996E-10</v>
      </c>
      <c r="BD11" s="65">
        <f t="shared" si="4"/>
        <v>4.3846163857688806E-6</v>
      </c>
      <c r="BE11" s="39"/>
      <c r="BF11" s="39"/>
      <c r="BG11" s="39"/>
      <c r="BH11" s="98">
        <f t="shared" si="5"/>
        <v>0</v>
      </c>
      <c r="BI11" s="39">
        <f t="shared" si="24"/>
        <v>0</v>
      </c>
      <c r="BJ11" s="39">
        <f t="shared" si="25"/>
        <v>-1</v>
      </c>
      <c r="BK11" s="44">
        <f t="shared" si="26"/>
        <v>2.5356518750341078E-4</v>
      </c>
      <c r="BL11" s="45">
        <f t="shared" si="6"/>
        <v>2175.6</v>
      </c>
      <c r="BM11" s="45"/>
      <c r="BN11" s="46">
        <f t="shared" si="27"/>
        <v>0</v>
      </c>
      <c r="BO11" s="46">
        <f t="shared" si="20"/>
        <v>-1</v>
      </c>
      <c r="BP11" s="40">
        <f t="shared" si="7"/>
        <v>5.8130286821119117E-3</v>
      </c>
      <c r="BQ11" s="47">
        <v>94.9</v>
      </c>
      <c r="BR11" s="70">
        <f t="shared" si="8"/>
        <v>3.7107100610255244</v>
      </c>
      <c r="BS11" s="41">
        <f t="shared" si="28"/>
        <v>0</v>
      </c>
      <c r="BT11" s="48">
        <f t="shared" si="21"/>
        <v>-1</v>
      </c>
      <c r="BW11"/>
      <c r="BX11"/>
      <c r="BY11" s="8">
        <f t="shared" ref="BY11:BY16" si="31">L11/(X11/1000*(Y11+Z11*N11))</f>
        <v>4.369716780765129E-10</v>
      </c>
      <c r="BZ11" s="8"/>
    </row>
    <row r="12" spans="1:78" ht="20.25" customHeight="1" x14ac:dyDescent="0.25">
      <c r="A12" s="2" t="s">
        <v>26</v>
      </c>
      <c r="B12" s="30">
        <v>0.12</v>
      </c>
      <c r="C12" s="2">
        <v>1</v>
      </c>
      <c r="D12" s="2">
        <v>29</v>
      </c>
      <c r="E12" s="2">
        <v>28</v>
      </c>
      <c r="F12" s="22">
        <f t="shared" si="0"/>
        <v>4.8506035099999997E-26</v>
      </c>
      <c r="G12" s="22">
        <f t="shared" si="1"/>
        <v>2.5506279679999997E-29</v>
      </c>
      <c r="H12" s="24">
        <f t="shared" si="10"/>
        <v>1969.6480289056633</v>
      </c>
      <c r="I12" s="24">
        <f t="shared" si="11"/>
        <v>1.0357142857142858</v>
      </c>
      <c r="J12" s="26">
        <f t="shared" si="12"/>
        <v>4.8480528820319999E-26</v>
      </c>
      <c r="K12" s="11">
        <v>78.074799999999996</v>
      </c>
      <c r="L12" s="11">
        <f>0.1*EXP(47600/(8.3144598*N12))/1000</f>
        <v>2.9475212895614506E-3</v>
      </c>
      <c r="M12" s="27">
        <f t="shared" si="13"/>
        <v>5.9101654846335696E-4</v>
      </c>
      <c r="N12" s="11">
        <v>1692</v>
      </c>
      <c r="O12" s="5">
        <f t="shared" si="29"/>
        <v>3.1001402462170846E-5</v>
      </c>
      <c r="P12" s="5">
        <v>1.55E-4</v>
      </c>
      <c r="R12" s="6">
        <v>1E-10</v>
      </c>
      <c r="S12" s="6">
        <v>1.3300000000000001E-10</v>
      </c>
      <c r="T12" s="6">
        <f t="shared" si="14"/>
        <v>2.3300000000000002E-10</v>
      </c>
      <c r="U12" s="30">
        <v>40.078000000000003</v>
      </c>
      <c r="V12" s="30">
        <v>18.9984</v>
      </c>
      <c r="W12" s="30">
        <f t="shared" si="15"/>
        <v>12.888697943679709</v>
      </c>
      <c r="X12" s="6">
        <f t="shared" si="30"/>
        <v>2518428</v>
      </c>
      <c r="Y12" s="7">
        <v>1710.3</v>
      </c>
      <c r="Z12" s="4">
        <v>0</v>
      </c>
      <c r="AA12" s="8">
        <v>3.18</v>
      </c>
      <c r="AB12" s="8">
        <v>-3.9100000000000002E-4</v>
      </c>
      <c r="AC12" s="4">
        <v>1</v>
      </c>
      <c r="AD12" s="4">
        <v>2</v>
      </c>
      <c r="AE12" s="11">
        <f t="shared" si="16"/>
        <v>3</v>
      </c>
      <c r="AF12" s="62">
        <f t="shared" si="2"/>
        <v>4.281066429944552E-7</v>
      </c>
      <c r="AG12" s="62"/>
      <c r="AH12" s="62">
        <v>0.56480320000000006</v>
      </c>
      <c r="AI12" s="37"/>
      <c r="AJ12" s="62"/>
      <c r="AK12" s="62"/>
      <c r="AL12" s="62"/>
      <c r="AM12" s="62"/>
      <c r="AN12" s="62"/>
      <c r="AO12" s="235"/>
      <c r="AP12" s="62"/>
      <c r="AQ12" s="235"/>
      <c r="AR12" s="62"/>
      <c r="AS12" s="238"/>
      <c r="AT12" s="238"/>
      <c r="AU12" s="239"/>
      <c r="AV12" s="238"/>
      <c r="AW12" s="37">
        <v>0.42810664299445522</v>
      </c>
      <c r="AX12" s="43" t="e">
        <f t="shared" si="22"/>
        <v>#DIV/0!</v>
      </c>
      <c r="AY12" s="63"/>
      <c r="AZ12" s="63"/>
      <c r="BA12" s="63"/>
      <c r="BB12" s="38">
        <v>1837367566.4998081</v>
      </c>
      <c r="BC12" s="39">
        <f t="shared" si="23"/>
        <v>2.3299999999999997E-10</v>
      </c>
      <c r="BD12" s="65">
        <f t="shared" si="4"/>
        <v>4.2518059721890888E-6</v>
      </c>
      <c r="BE12" s="39"/>
      <c r="BF12" s="39"/>
      <c r="BG12" s="39"/>
      <c r="BH12" s="98">
        <f t="shared" si="5"/>
        <v>0</v>
      </c>
      <c r="BI12" s="39">
        <f t="shared" si="24"/>
        <v>0</v>
      </c>
      <c r="BJ12" s="39">
        <f t="shared" si="25"/>
        <v>-1</v>
      </c>
      <c r="BK12" s="44">
        <f t="shared" si="26"/>
        <v>2.5031084780123677E-4</v>
      </c>
      <c r="BL12" s="45">
        <f t="shared" si="6"/>
        <v>1710.3</v>
      </c>
      <c r="BM12" s="45"/>
      <c r="BN12" s="46">
        <f t="shared" si="27"/>
        <v>0</v>
      </c>
      <c r="BO12" s="46">
        <f t="shared" si="20"/>
        <v>-1</v>
      </c>
      <c r="BP12" s="40">
        <f t="shared" si="7"/>
        <v>4.2847513160763776E-3</v>
      </c>
      <c r="BQ12" s="41">
        <v>99.914000000000001</v>
      </c>
      <c r="BR12" s="70">
        <f t="shared" si="8"/>
        <v>3.2228864523764389</v>
      </c>
      <c r="BS12" s="41">
        <f t="shared" si="28"/>
        <v>0</v>
      </c>
      <c r="BT12" s="48">
        <f t="shared" si="21"/>
        <v>-1</v>
      </c>
      <c r="BW12"/>
      <c r="BX12"/>
      <c r="BY12" s="8">
        <f t="shared" si="31"/>
        <v>6.843135125098611E-10</v>
      </c>
      <c r="BZ12" s="8"/>
    </row>
    <row r="13" spans="1:78" ht="20.25" customHeight="1" x14ac:dyDescent="0.25">
      <c r="A13" s="2" t="s">
        <v>27</v>
      </c>
      <c r="B13" s="30"/>
      <c r="C13" s="2">
        <v>1</v>
      </c>
      <c r="D13" s="2">
        <v>47</v>
      </c>
      <c r="E13" s="2">
        <v>46</v>
      </c>
      <c r="F13" s="22">
        <f t="shared" si="0"/>
        <v>7.8613229299999995E-26</v>
      </c>
      <c r="G13" s="22">
        <f t="shared" si="1"/>
        <v>4.1903173759999999E-29</v>
      </c>
      <c r="H13" s="24">
        <f t="shared" si="10"/>
        <v>1916.8527187390821</v>
      </c>
      <c r="I13" s="24">
        <f t="shared" si="11"/>
        <v>1.0217391304347827</v>
      </c>
      <c r="J13" s="26">
        <f t="shared" si="12"/>
        <v>7.8571326126239999E-26</v>
      </c>
      <c r="K13" s="11">
        <v>125.6168</v>
      </c>
      <c r="L13" s="11">
        <f>0.0703*EXP(54500/(8.3144598*N13))/1000</f>
        <v>3.0018345111633513E-3</v>
      </c>
      <c r="M13" s="27">
        <f t="shared" si="13"/>
        <v>5.7273768613974802E-4</v>
      </c>
      <c r="N13" s="11">
        <v>1746</v>
      </c>
      <c r="O13" s="5">
        <f t="shared" si="29"/>
        <v>3.6213810492182497E-5</v>
      </c>
      <c r="P13" s="5">
        <v>2.13E-4</v>
      </c>
      <c r="R13" s="6">
        <v>1.1800000000000001E-10</v>
      </c>
      <c r="S13" s="6">
        <v>1.3300000000000001E-10</v>
      </c>
      <c r="T13" s="6">
        <f t="shared" si="14"/>
        <v>2.5100000000000001E-10</v>
      </c>
      <c r="U13" s="30">
        <v>87.62</v>
      </c>
      <c r="V13" s="30">
        <v>18.9984</v>
      </c>
      <c r="W13" s="30">
        <f t="shared" si="15"/>
        <v>15.613063111057754</v>
      </c>
      <c r="X13" s="6">
        <f t="shared" si="30"/>
        <v>3468754</v>
      </c>
      <c r="Y13" s="7">
        <v>1398.6</v>
      </c>
      <c r="Z13" s="4">
        <v>0</v>
      </c>
      <c r="AA13" s="8">
        <v>4.78</v>
      </c>
      <c r="AB13" s="8">
        <v>-7.5100000000000004E-4</v>
      </c>
      <c r="AC13" s="4">
        <v>1</v>
      </c>
      <c r="AD13" s="4">
        <v>2</v>
      </c>
      <c r="AE13" s="11">
        <f t="shared" si="16"/>
        <v>3</v>
      </c>
      <c r="AF13" s="62">
        <f t="shared" si="2"/>
        <v>3.1989463805530149E-7</v>
      </c>
      <c r="AG13" s="62"/>
      <c r="AH13" s="62">
        <v>0.39041500000000001</v>
      </c>
      <c r="AI13" s="37"/>
      <c r="AJ13" s="62"/>
      <c r="AK13" s="62"/>
      <c r="AL13" s="62"/>
      <c r="AM13" s="62"/>
      <c r="AN13" s="62"/>
      <c r="AO13" s="235"/>
      <c r="AP13" s="62"/>
      <c r="AQ13" s="235"/>
      <c r="AR13" s="62"/>
      <c r="AS13" s="238"/>
      <c r="AT13" s="238"/>
      <c r="AU13" s="239"/>
      <c r="AV13" s="238"/>
      <c r="AW13" s="37">
        <v>0.31989463805530149</v>
      </c>
      <c r="AX13" s="43" t="e">
        <f t="shared" si="22"/>
        <v>#DIV/0!</v>
      </c>
      <c r="AY13" s="63"/>
      <c r="AZ13" s="63"/>
      <c r="BA13" s="63"/>
      <c r="BB13" s="38">
        <v>1274480629.7023959</v>
      </c>
      <c r="BC13" s="39">
        <f t="shared" si="23"/>
        <v>2.5100000000000012E-10</v>
      </c>
      <c r="BD13" s="65">
        <f t="shared" si="4"/>
        <v>4.0095238683009026E-6</v>
      </c>
      <c r="BE13" s="39"/>
      <c r="BF13" s="39"/>
      <c r="BG13" s="39"/>
      <c r="BH13" s="98">
        <f t="shared" si="5"/>
        <v>0</v>
      </c>
      <c r="BI13" s="39">
        <f t="shared" si="24"/>
        <v>0</v>
      </c>
      <c r="BJ13" s="39">
        <f t="shared" si="25"/>
        <v>-1</v>
      </c>
      <c r="BK13" s="44">
        <f t="shared" si="26"/>
        <v>2.2872489493443551E-4</v>
      </c>
      <c r="BL13" s="45">
        <f t="shared" si="6"/>
        <v>1398.6</v>
      </c>
      <c r="BM13" s="45"/>
      <c r="BN13" s="46">
        <f t="shared" si="27"/>
        <v>0</v>
      </c>
      <c r="BO13" s="46">
        <f t="shared" si="20"/>
        <v>-1</v>
      </c>
      <c r="BP13" s="40">
        <f t="shared" si="7"/>
        <v>3.2312589702555706E-3</v>
      </c>
      <c r="BQ13" s="47">
        <v>99</v>
      </c>
      <c r="BR13" s="70">
        <f t="shared" si="8"/>
        <v>2.733763684475325</v>
      </c>
      <c r="BS13" s="41">
        <f t="shared" si="28"/>
        <v>0</v>
      </c>
      <c r="BT13" s="48">
        <f t="shared" si="21"/>
        <v>-1</v>
      </c>
      <c r="BW13"/>
      <c r="BX13"/>
      <c r="BY13" s="8">
        <f t="shared" si="31"/>
        <v>6.1875642429403127E-10</v>
      </c>
      <c r="BZ13" s="8"/>
    </row>
    <row r="14" spans="1:78" ht="20.25" customHeight="1" x14ac:dyDescent="0.25">
      <c r="A14" s="2" t="s">
        <v>28</v>
      </c>
      <c r="B14" s="30">
        <v>0.8</v>
      </c>
      <c r="C14" s="2">
        <v>1</v>
      </c>
      <c r="D14" s="2">
        <v>29</v>
      </c>
      <c r="E14" s="2">
        <v>28</v>
      </c>
      <c r="F14" s="22">
        <f t="shared" si="0"/>
        <v>4.8506035099999997E-26</v>
      </c>
      <c r="G14" s="22">
        <f t="shared" si="1"/>
        <v>2.5506279679999997E-29</v>
      </c>
      <c r="H14" s="24">
        <f t="shared" si="10"/>
        <v>1969.6480289056633</v>
      </c>
      <c r="I14" s="24">
        <f t="shared" si="11"/>
        <v>1.0357142857142858</v>
      </c>
      <c r="J14" s="26">
        <f t="shared" si="12"/>
        <v>4.8480528820319999E-26</v>
      </c>
      <c r="K14" s="11">
        <v>95.210999999999999</v>
      </c>
      <c r="L14" s="11">
        <f>0.18*EXP(20500/(8.3144598*N14))/1000</f>
        <v>2.1885964575678765E-3</v>
      </c>
      <c r="M14" s="27">
        <f t="shared" si="13"/>
        <v>1.0131712259371835E-3</v>
      </c>
      <c r="N14" s="11">
        <v>987</v>
      </c>
      <c r="O14" s="5">
        <f t="shared" si="29"/>
        <v>5.651027632231827E-5</v>
      </c>
      <c r="P14" s="5">
        <v>1.8000000000000001E-4</v>
      </c>
      <c r="R14" s="6">
        <v>7.1999999999999997E-11</v>
      </c>
      <c r="S14" s="6">
        <v>1.81E-10</v>
      </c>
      <c r="T14" s="6">
        <f t="shared" si="14"/>
        <v>2.5300000000000001E-10</v>
      </c>
      <c r="U14" s="30">
        <v>24.305</v>
      </c>
      <c r="V14" s="30">
        <v>35.453000000000003</v>
      </c>
      <c r="W14" s="30">
        <f t="shared" si="15"/>
        <v>14.41957838281067</v>
      </c>
      <c r="X14" s="6">
        <f t="shared" si="30"/>
        <v>1684844</v>
      </c>
      <c r="Y14" s="7">
        <v>2101</v>
      </c>
      <c r="Z14" s="4">
        <v>0</v>
      </c>
      <c r="AA14" s="8">
        <v>1.9691000000000001</v>
      </c>
      <c r="AB14" s="8">
        <v>-2.8800000000000001E-4</v>
      </c>
      <c r="AC14" s="4">
        <v>1</v>
      </c>
      <c r="AD14" s="4">
        <v>2</v>
      </c>
      <c r="AE14" s="11">
        <f t="shared" si="16"/>
        <v>3</v>
      </c>
      <c r="AF14" s="62">
        <f t="shared" si="2"/>
        <v>2.8861057804145577E-7</v>
      </c>
      <c r="AG14" s="62">
        <f>1/3*BR14*BL14*BE14</f>
        <v>2.6994066201236537E-7</v>
      </c>
      <c r="AH14" s="62">
        <v>0.45680000000000004</v>
      </c>
      <c r="AI14" s="37">
        <v>0.79107788518133404</v>
      </c>
      <c r="AJ14" s="62" t="s">
        <v>261</v>
      </c>
      <c r="AK14" s="62">
        <f t="shared" si="17"/>
        <v>0.90973956795853406</v>
      </c>
      <c r="AL14" s="62">
        <f t="shared" si="18"/>
        <v>0.67241620240413391</v>
      </c>
      <c r="AM14" s="235">
        <v>4.7852054075804904E-10</v>
      </c>
      <c r="AN14" s="62">
        <v>0.54587387301537704</v>
      </c>
      <c r="AO14" s="235">
        <f>ABS(AI14-AN14)/AI14</f>
        <v>0.30996190989430877</v>
      </c>
      <c r="AP14" s="62">
        <v>0.43829220310135403</v>
      </c>
      <c r="AQ14" s="235">
        <f>ABS(AI14-AP14)/AI14</f>
        <v>0.44595568740884856</v>
      </c>
      <c r="AR14" s="62">
        <v>0.28861057804145501</v>
      </c>
      <c r="AS14" s="238">
        <v>0.56648340243984496</v>
      </c>
      <c r="AT14" s="238">
        <f t="shared" si="19"/>
        <v>0.28390944425150583</v>
      </c>
      <c r="AU14" s="239">
        <v>0.350053420154739</v>
      </c>
      <c r="AV14" s="238">
        <f t="shared" si="19"/>
        <v>0.55749815952129878</v>
      </c>
      <c r="AW14" s="37">
        <v>0.28861057804145579</v>
      </c>
      <c r="AX14" s="43">
        <f t="shared" si="22"/>
        <v>0.63516793548678285</v>
      </c>
      <c r="AY14" s="63">
        <f>AI14/(1/3*BL14*BG14)</f>
        <v>3861437.2434991831</v>
      </c>
      <c r="AZ14" s="63">
        <v>3.4777652533333298E-7</v>
      </c>
      <c r="BA14" s="63">
        <f>AI14/(AZ14)*0.000001</f>
        <v>2.2746730372991979</v>
      </c>
      <c r="BB14" s="38">
        <v>1140753272.891129</v>
      </c>
      <c r="BC14" s="39">
        <f t="shared" si="23"/>
        <v>2.5300000000000011E-10</v>
      </c>
      <c r="BD14" s="65">
        <f t="shared" si="4"/>
        <v>1.0653665075178939E-6</v>
      </c>
      <c r="BE14" s="39">
        <v>2.36633694969138E-10</v>
      </c>
      <c r="BF14" s="39">
        <v>2.9252666845548141E-10</v>
      </c>
      <c r="BG14" s="39">
        <v>2.9252666849999965E-10</v>
      </c>
      <c r="BH14" s="98">
        <f t="shared" si="5"/>
        <v>6.9346974843773469E-4</v>
      </c>
      <c r="BI14" s="39">
        <f t="shared" si="24"/>
        <v>6.934697484377349E-10</v>
      </c>
      <c r="BJ14" s="39">
        <f t="shared" si="25"/>
        <v>1.7409871479752357</v>
      </c>
      <c r="BK14" s="44">
        <f t="shared" si="26"/>
        <v>1.3736819516490043E-4</v>
      </c>
      <c r="BL14" s="45">
        <f t="shared" si="6"/>
        <v>2101</v>
      </c>
      <c r="BM14" s="45">
        <v>3400</v>
      </c>
      <c r="BN14" s="46">
        <f t="shared" si="27"/>
        <v>5758.8139978959698</v>
      </c>
      <c r="BO14" s="46">
        <f t="shared" si="20"/>
        <v>1.7409871479752355</v>
      </c>
      <c r="BP14" s="40">
        <f t="shared" si="7"/>
        <v>3.1354356209961735E-3</v>
      </c>
      <c r="BQ14" s="41">
        <v>92.048000000000002</v>
      </c>
      <c r="BR14" s="70">
        <f t="shared" si="8"/>
        <v>1.6288718794256964</v>
      </c>
      <c r="BS14" s="41">
        <f t="shared" si="28"/>
        <v>252.30238499682449</v>
      </c>
      <c r="BT14" s="48">
        <f t="shared" si="21"/>
        <v>1.7409871479752355</v>
      </c>
      <c r="BW14"/>
      <c r="BX14"/>
      <c r="BY14" s="8">
        <f t="shared" si="31"/>
        <v>6.1827251968353004E-10</v>
      </c>
      <c r="BZ14" s="8"/>
    </row>
    <row r="15" spans="1:78" ht="20.25" customHeight="1" x14ac:dyDescent="0.25">
      <c r="A15" s="2" t="s">
        <v>29</v>
      </c>
      <c r="B15" s="30">
        <v>2.5</v>
      </c>
      <c r="C15" s="2">
        <v>1</v>
      </c>
      <c r="D15" s="2">
        <v>37</v>
      </c>
      <c r="E15" s="2">
        <v>36</v>
      </c>
      <c r="F15" s="22">
        <f t="shared" si="0"/>
        <v>6.1887010299999994E-26</v>
      </c>
      <c r="G15" s="22">
        <f t="shared" si="1"/>
        <v>3.2793788159999999E-29</v>
      </c>
      <c r="H15" s="24">
        <f t="shared" si="10"/>
        <v>1939.5775080668341</v>
      </c>
      <c r="I15" s="24">
        <f t="shared" si="11"/>
        <v>1.0277777777777777</v>
      </c>
      <c r="J15" s="26">
        <f t="shared" si="12"/>
        <v>6.185421651184E-26</v>
      </c>
      <c r="K15" s="4">
        <v>110.98399999999999</v>
      </c>
      <c r="L15" s="11">
        <f>10^(-0.545+597/N15+546000/N15^2)/1000</f>
        <v>3.3595446651079881E-3</v>
      </c>
      <c r="M15" s="27">
        <f t="shared" si="13"/>
        <v>9.5693779904306223E-4</v>
      </c>
      <c r="N15" s="4">
        <v>1045</v>
      </c>
      <c r="O15" s="5">
        <f t="shared" si="29"/>
        <v>5.3154147698835956E-5</v>
      </c>
      <c r="P15" s="5">
        <v>2.03E-4</v>
      </c>
      <c r="R15" s="6">
        <v>1E-10</v>
      </c>
      <c r="S15" s="6">
        <v>1.81E-10</v>
      </c>
      <c r="T15" s="6">
        <f t="shared" si="14"/>
        <v>2.8100000000000001E-10</v>
      </c>
      <c r="U15" s="30">
        <v>40.078000000000003</v>
      </c>
      <c r="V15" s="30">
        <v>35.453000000000003</v>
      </c>
      <c r="W15" s="30">
        <f t="shared" si="15"/>
        <v>18.811949186426766</v>
      </c>
      <c r="X15" s="6">
        <f t="shared" si="30"/>
        <v>2087964.9999999995</v>
      </c>
      <c r="Y15" s="7">
        <v>2065.0300000000002</v>
      </c>
      <c r="Z15" s="4">
        <v>0</v>
      </c>
      <c r="AA15" s="8">
        <v>2.5299999999999998</v>
      </c>
      <c r="AB15" s="8">
        <v>-4.2299999999999998E-4</v>
      </c>
      <c r="AF15" s="62">
        <f t="shared" si="2"/>
        <v>3.7311089961278134E-7</v>
      </c>
      <c r="AG15" s="62">
        <f>1/3*BR15*BL15*BE15</f>
        <v>3.702431010869908E-7</v>
      </c>
      <c r="AH15" s="62">
        <v>0.44125000000000003</v>
      </c>
      <c r="AI15" s="37"/>
      <c r="AJ15" s="62"/>
      <c r="AK15" s="62"/>
      <c r="AL15" s="62"/>
      <c r="AM15" s="235">
        <v>5.0339659849367597E-10</v>
      </c>
      <c r="AN15" s="62">
        <v>0.66840839048394896</v>
      </c>
      <c r="AO15" s="235"/>
      <c r="AP15" s="62">
        <v>0.448735993317051</v>
      </c>
      <c r="AQ15" s="235"/>
      <c r="AR15" s="62">
        <v>0.37311089961278099</v>
      </c>
      <c r="AS15" s="238">
        <v>0.46759091611683001</v>
      </c>
      <c r="AT15" s="238" t="e">
        <f t="shared" si="19"/>
        <v>#DIV/0!</v>
      </c>
      <c r="AU15" s="239">
        <v>0.43890421341306202</v>
      </c>
      <c r="AV15" s="238" t="e">
        <f t="shared" si="19"/>
        <v>#DIV/0!</v>
      </c>
      <c r="AW15" s="37"/>
      <c r="AX15" s="43"/>
      <c r="AY15" s="63">
        <f>AI15/(1/3*BL15*BG15)</f>
        <v>0</v>
      </c>
      <c r="AZ15" s="63">
        <v>2.4240387599999998E-7</v>
      </c>
      <c r="BA15" s="63">
        <f>AI15/(AZ15)*0.000001</f>
        <v>0</v>
      </c>
      <c r="BB15" s="38"/>
      <c r="BC15" s="39"/>
      <c r="BD15" s="65" t="e">
        <f t="shared" si="4"/>
        <v>#NUM!</v>
      </c>
      <c r="BE15" s="39">
        <v>2.7884018267334601E-10</v>
      </c>
      <c r="BF15" s="39">
        <v>3.3920043013148835E-10</v>
      </c>
      <c r="BG15" s="39">
        <v>3.0154839679999996E-10</v>
      </c>
      <c r="BH15" s="98">
        <f t="shared" si="5"/>
        <v>0</v>
      </c>
      <c r="BI15" s="39"/>
      <c r="BJ15" s="39"/>
      <c r="BK15" s="44"/>
      <c r="BL15" s="45">
        <f t="shared" si="6"/>
        <v>2065.0300000000002</v>
      </c>
      <c r="BM15" s="45">
        <v>2200</v>
      </c>
      <c r="BN15" s="46"/>
      <c r="BO15" s="46"/>
      <c r="BP15" s="40">
        <f t="shared" si="7"/>
        <v>0</v>
      </c>
      <c r="BQ15" s="41">
        <v>102.533</v>
      </c>
      <c r="BR15" s="70">
        <f t="shared" si="8"/>
        <v>1.9289745850302744</v>
      </c>
      <c r="BS15" s="41"/>
      <c r="BT15" s="48"/>
      <c r="BW15"/>
      <c r="BX15"/>
      <c r="BY15" s="8">
        <f t="shared" si="31"/>
        <v>7.7916751857846874E-10</v>
      </c>
      <c r="BZ15" s="8"/>
    </row>
    <row r="16" spans="1:78" ht="20.25" customHeight="1" x14ac:dyDescent="0.25">
      <c r="A16" s="2" t="s">
        <v>30</v>
      </c>
      <c r="B16" s="30"/>
      <c r="C16" s="2">
        <v>1</v>
      </c>
      <c r="D16" s="2">
        <v>55</v>
      </c>
      <c r="E16" s="2">
        <v>54</v>
      </c>
      <c r="F16" s="22">
        <f t="shared" si="0"/>
        <v>9.1994204499999998E-26</v>
      </c>
      <c r="G16" s="22">
        <f t="shared" si="1"/>
        <v>4.9190682239999996E-29</v>
      </c>
      <c r="H16" s="24">
        <f t="shared" si="10"/>
        <v>1904.7875860407996</v>
      </c>
      <c r="I16" s="24">
        <f t="shared" si="11"/>
        <v>1.0185185185185186</v>
      </c>
      <c r="J16" s="26">
        <f t="shared" si="12"/>
        <v>9.1945013817760001E-26</v>
      </c>
      <c r="K16" s="4">
        <v>158.52600000000001</v>
      </c>
      <c r="L16" s="11">
        <f>10^(-0.439+398/N16+879000/N16^2)/1000</f>
        <v>3.78088190424221E-3</v>
      </c>
      <c r="M16" s="27">
        <f t="shared" si="13"/>
        <v>8.7260034904013963E-4</v>
      </c>
      <c r="N16" s="4">
        <v>1146</v>
      </c>
      <c r="O16" s="5">
        <f t="shared" si="29"/>
        <v>5.811897000013199E-5</v>
      </c>
      <c r="P16" s="5">
        <v>2.12E-4</v>
      </c>
      <c r="R16" s="6">
        <v>1.1800000000000001E-10</v>
      </c>
      <c r="S16" s="6">
        <v>1.81E-10</v>
      </c>
      <c r="T16" s="6">
        <f t="shared" si="14"/>
        <v>2.99E-10</v>
      </c>
      <c r="U16" s="30">
        <v>87.62</v>
      </c>
      <c r="V16" s="30">
        <v>35.453000000000003</v>
      </c>
      <c r="W16" s="30">
        <f t="shared" si="15"/>
        <v>25.240238395098846</v>
      </c>
      <c r="X16" s="6">
        <f t="shared" si="30"/>
        <v>2727612</v>
      </c>
      <c r="Y16" s="7">
        <v>1873.13</v>
      </c>
      <c r="Z16" s="4">
        <v>0</v>
      </c>
      <c r="AA16" s="8">
        <v>3.39</v>
      </c>
      <c r="AB16" s="8">
        <v>-5.7799999999999995E-4</v>
      </c>
      <c r="AC16" s="4">
        <v>1</v>
      </c>
      <c r="AD16" s="4">
        <v>2</v>
      </c>
      <c r="AE16" s="11">
        <f t="shared" si="16"/>
        <v>3</v>
      </c>
      <c r="AF16" s="62">
        <f t="shared" si="2"/>
        <v>3.3599408249358719E-7</v>
      </c>
      <c r="AG16" s="62">
        <f>1/3*BR16*BL16*BE16</f>
        <v>3.2666098973626658E-7</v>
      </c>
      <c r="AH16" s="62">
        <v>0.37705</v>
      </c>
      <c r="AI16" s="37"/>
      <c r="AJ16" s="62"/>
      <c r="AK16" s="62"/>
      <c r="AL16" s="62"/>
      <c r="AM16" s="235">
        <v>5.1067900000000003E-10</v>
      </c>
      <c r="AN16" s="62">
        <v>0.57386328446067703</v>
      </c>
      <c r="AO16" s="235"/>
      <c r="AP16" s="62">
        <v>0.383511707903748</v>
      </c>
      <c r="AQ16" s="235"/>
      <c r="AR16" s="62">
        <v>0.33599408249358698</v>
      </c>
      <c r="AS16" s="238">
        <v>0.39572551478833601</v>
      </c>
      <c r="AT16" s="238" t="e">
        <f t="shared" si="19"/>
        <v>#DIV/0!</v>
      </c>
      <c r="AU16" s="239">
        <v>0.39572551478833601</v>
      </c>
      <c r="AV16" s="238" t="e">
        <f t="shared" si="19"/>
        <v>#DIV/0!</v>
      </c>
      <c r="AW16" s="37">
        <v>0.33599408249358731</v>
      </c>
      <c r="AX16" s="43" t="e">
        <f>(AI16-AW16)/AI16</f>
        <v>#DIV/0!</v>
      </c>
      <c r="AY16" s="63">
        <f>AI16/(1/3*BL16*BG16)</f>
        <v>0</v>
      </c>
      <c r="AZ16" s="63">
        <v>2.19877240174666E-7</v>
      </c>
      <c r="BA16" s="63">
        <f>AI16/(AZ16)*0.000001</f>
        <v>0</v>
      </c>
      <c r="BB16" s="38">
        <v>1123726028.406646</v>
      </c>
      <c r="BC16" s="39">
        <f>AW16/BB16</f>
        <v>2.9900000000000016E-10</v>
      </c>
      <c r="BD16" s="65">
        <f t="shared" si="4"/>
        <v>5.7363526802457437E-7</v>
      </c>
      <c r="BE16" s="39">
        <v>2.9069451225530999E-10</v>
      </c>
      <c r="BF16" s="39">
        <v>4.2159143435239494E-10</v>
      </c>
      <c r="BG16" s="39">
        <v>3.2712108429999942E-10</v>
      </c>
      <c r="BH16" s="98">
        <f t="shared" si="5"/>
        <v>0</v>
      </c>
      <c r="BI16" s="39">
        <f>AI16/BB16</f>
        <v>0</v>
      </c>
      <c r="BJ16" s="39">
        <f>(BI16-BC16)/BC16</f>
        <v>-1</v>
      </c>
      <c r="BK16" s="44">
        <f>AW16/BL16</f>
        <v>1.7937574140267215E-4</v>
      </c>
      <c r="BL16" s="45">
        <f t="shared" si="6"/>
        <v>1873.13</v>
      </c>
      <c r="BM16" s="45"/>
      <c r="BN16" s="46">
        <f>AI16/BK16</f>
        <v>0</v>
      </c>
      <c r="BO16" s="46">
        <f t="shared" si="20"/>
        <v>-1</v>
      </c>
      <c r="BP16" s="40">
        <f t="shared" si="7"/>
        <v>3.2121805209711983E-3</v>
      </c>
      <c r="BQ16" s="47">
        <v>104.6</v>
      </c>
      <c r="BR16" s="70">
        <f t="shared" si="8"/>
        <v>1.7997566027023955</v>
      </c>
      <c r="BS16" s="41">
        <f>AI16/(BP16)</f>
        <v>0</v>
      </c>
      <c r="BT16" s="48">
        <f t="shared" si="21"/>
        <v>-1</v>
      </c>
      <c r="BW16"/>
      <c r="BX16"/>
      <c r="BY16" s="8">
        <f t="shared" si="31"/>
        <v>7.4001853993764589E-10</v>
      </c>
      <c r="BZ16" s="8"/>
    </row>
    <row r="17" spans="1:78" ht="20.25" customHeight="1" x14ac:dyDescent="0.25">
      <c r="A17" s="2" t="s">
        <v>31</v>
      </c>
      <c r="B17" s="30">
        <v>0.3</v>
      </c>
      <c r="C17" s="2">
        <v>1</v>
      </c>
      <c r="D17" s="2">
        <v>26</v>
      </c>
      <c r="E17" s="2">
        <v>25</v>
      </c>
      <c r="F17" s="22">
        <f t="shared" si="0"/>
        <v>4.3488169400000001E-26</v>
      </c>
      <c r="G17" s="22">
        <f t="shared" si="1"/>
        <v>2.2773463999999997E-29</v>
      </c>
      <c r="H17" s="24">
        <f t="shared" si="10"/>
        <v>1985.9822895629759</v>
      </c>
      <c r="I17" s="24">
        <f t="shared" si="11"/>
        <v>1.04</v>
      </c>
      <c r="J17" s="26">
        <f t="shared" si="12"/>
        <v>4.3465395936000002E-26</v>
      </c>
      <c r="K17" s="4">
        <v>84.99</v>
      </c>
      <c r="L17" s="11"/>
      <c r="M17" s="27">
        <f t="shared" si="13"/>
        <v>1.7148246591785991E-3</v>
      </c>
      <c r="N17" s="1">
        <v>583.15</v>
      </c>
      <c r="O17" s="11">
        <v>4.4669999999999998E-5</v>
      </c>
      <c r="P17" s="13">
        <v>3.7599999999999998E-4</v>
      </c>
      <c r="R17" s="6">
        <v>1.02E-10</v>
      </c>
      <c r="S17" s="6">
        <v>2.31E-10</v>
      </c>
      <c r="T17" s="6">
        <f t="shared" si="14"/>
        <v>3.3299999999999999E-10</v>
      </c>
      <c r="U17" s="30">
        <v>22.98977</v>
      </c>
      <c r="V17" s="30">
        <f>14.0067+3*15.9994</f>
        <v>62.004899999999999</v>
      </c>
      <c r="W17" s="30">
        <f t="shared" si="15"/>
        <v>16.771385663042164</v>
      </c>
      <c r="X17" s="6">
        <f t="shared" si="30"/>
        <v>1886915.5249999999</v>
      </c>
      <c r="Y17" s="4">
        <v>2490.4882499999999</v>
      </c>
      <c r="Z17" s="4">
        <v>-1.155</v>
      </c>
      <c r="AA17" s="14">
        <v>2.3338999999999999</v>
      </c>
      <c r="AB17" s="8">
        <v>-7.6650000000000004E-4</v>
      </c>
      <c r="AC17" s="4">
        <v>2</v>
      </c>
      <c r="AD17" s="4">
        <v>3</v>
      </c>
      <c r="AE17" s="11">
        <f t="shared" si="16"/>
        <v>5</v>
      </c>
      <c r="AF17" s="62">
        <f t="shared" si="2"/>
        <v>7.0252146004029523E-7</v>
      </c>
      <c r="AG17" s="62">
        <f>1/3*BR17*BL17*BE17</f>
        <v>4.3236429370237978E-7</v>
      </c>
      <c r="AH17" s="62">
        <v>0.51224999999999998</v>
      </c>
      <c r="AI17" s="37"/>
      <c r="AJ17" s="62"/>
      <c r="AK17" s="62"/>
      <c r="AL17" s="62"/>
      <c r="AM17" s="62"/>
      <c r="AN17" s="62"/>
      <c r="AO17" s="235"/>
      <c r="AP17" s="62"/>
      <c r="AQ17" s="235"/>
      <c r="AR17" s="62"/>
      <c r="AS17" s="238">
        <v>0.34093205712619801</v>
      </c>
      <c r="AT17" s="238"/>
      <c r="AU17" s="239">
        <f>1/3*BR17*BL17*BF17</f>
        <v>6.1623593358972269E-7</v>
      </c>
      <c r="AV17" s="238"/>
      <c r="AW17" s="37">
        <v>0.69828459522735364</v>
      </c>
      <c r="AX17" s="43" t="e">
        <f>(AI17-AW17)/AI17</f>
        <v>#DIV/0!</v>
      </c>
      <c r="AY17" s="63"/>
      <c r="AZ17" s="63">
        <v>2.2380854304899199E-4</v>
      </c>
      <c r="BA17" s="63"/>
      <c r="BB17" s="38">
        <v>2096950736.418479</v>
      </c>
      <c r="BC17" s="39">
        <f>AW17/BB17</f>
        <v>3.3300000000000009E-10</v>
      </c>
      <c r="BD17" s="65">
        <f t="shared" si="4"/>
        <v>2.7632240007039253E-6</v>
      </c>
      <c r="BE17" s="39">
        <v>2.0494364655370699E-10</v>
      </c>
      <c r="BF17" s="39">
        <v>2.9210006748207721E-10</v>
      </c>
      <c r="BG17" s="39"/>
      <c r="BH17" s="98">
        <f t="shared" si="5"/>
        <v>0</v>
      </c>
      <c r="BI17" s="39">
        <f>AI17/BB17</f>
        <v>0</v>
      </c>
      <c r="BJ17" s="39">
        <f>(BI17-BC17)/BC17</f>
        <v>-1</v>
      </c>
      <c r="BK17" s="44">
        <f>AW17/BL17</f>
        <v>3.8431690207620117E-4</v>
      </c>
      <c r="BL17" s="45">
        <f t="shared" si="6"/>
        <v>1816.9499999999998</v>
      </c>
      <c r="BM17" s="45"/>
      <c r="BN17" s="46">
        <f>AI17/BK17</f>
        <v>0</v>
      </c>
      <c r="BO17" s="46">
        <f t="shared" si="20"/>
        <v>-1</v>
      </c>
      <c r="BP17" s="40">
        <f t="shared" si="7"/>
        <v>4.4876902006899333E-3</v>
      </c>
      <c r="BQ17" s="41">
        <v>155.6</v>
      </c>
      <c r="BR17" s="70">
        <f t="shared" si="8"/>
        <v>3.4833221401387955</v>
      </c>
      <c r="BS17" s="41">
        <f>AI17/(BP17)</f>
        <v>0</v>
      </c>
      <c r="BT17" s="48">
        <f t="shared" si="21"/>
        <v>-1</v>
      </c>
      <c r="BW17"/>
      <c r="BX17"/>
      <c r="BY17" s="8"/>
      <c r="BZ17" s="8"/>
    </row>
    <row r="18" spans="1:78" ht="20.25" customHeight="1" x14ac:dyDescent="0.25">
      <c r="A18" s="2" t="s">
        <v>32</v>
      </c>
      <c r="B18" s="30">
        <v>0.2</v>
      </c>
      <c r="C18" s="2">
        <v>1</v>
      </c>
      <c r="D18" s="2">
        <v>34</v>
      </c>
      <c r="E18" s="2">
        <v>33</v>
      </c>
      <c r="F18" s="22">
        <f t="shared" si="0"/>
        <v>5.6869144599999998E-26</v>
      </c>
      <c r="G18" s="22">
        <f t="shared" si="1"/>
        <v>3.0060972479999997E-29</v>
      </c>
      <c r="H18" s="24">
        <f t="shared" si="10"/>
        <v>1949.1203104325261</v>
      </c>
      <c r="I18" s="24">
        <f t="shared" si="11"/>
        <v>1.0303030303030303</v>
      </c>
      <c r="J18" s="26">
        <f t="shared" si="12"/>
        <v>5.6839083627519992E-26</v>
      </c>
      <c r="K18" s="4">
        <v>101.1</v>
      </c>
      <c r="L18" s="11"/>
      <c r="M18" s="27">
        <f t="shared" si="13"/>
        <v>1.6389412439564042E-3</v>
      </c>
      <c r="N18" s="4">
        <v>610.15</v>
      </c>
      <c r="O18" s="11">
        <v>5.4060000000000001E-5</v>
      </c>
      <c r="P18" s="13">
        <v>3.8999999999999999E-4</v>
      </c>
      <c r="R18" s="6">
        <v>1.3799999999999999E-10</v>
      </c>
      <c r="S18" s="6">
        <v>2.31E-10</v>
      </c>
      <c r="T18" s="6">
        <f t="shared" si="14"/>
        <v>3.6899999999999997E-10</v>
      </c>
      <c r="U18" s="30">
        <v>39.098300000000002</v>
      </c>
      <c r="V18" s="30">
        <f>14.0067+3*15.9994</f>
        <v>62.004899999999999</v>
      </c>
      <c r="W18" s="30">
        <f t="shared" si="15"/>
        <v>23.978332848712999</v>
      </c>
      <c r="X18" s="6">
        <f t="shared" si="30"/>
        <v>1870200.65</v>
      </c>
      <c r="Y18" s="4">
        <v>2449.9279999999999</v>
      </c>
      <c r="Z18" s="4">
        <v>-1.1200000000000001</v>
      </c>
      <c r="AA18" s="14">
        <v>2.3149999999999999</v>
      </c>
      <c r="AB18" s="8">
        <v>-7.2900000000000005E-4</v>
      </c>
      <c r="AC18" s="4">
        <v>2</v>
      </c>
      <c r="AD18" s="4">
        <v>3</v>
      </c>
      <c r="AE18" s="11">
        <f t="shared" si="16"/>
        <v>5</v>
      </c>
      <c r="AF18" s="62">
        <f t="shared" si="2"/>
        <v>5.6673048612652593E-7</v>
      </c>
      <c r="AG18" s="62"/>
      <c r="AH18" s="62">
        <v>0.40920000000000001</v>
      </c>
      <c r="AI18" s="37"/>
      <c r="AJ18" s="62"/>
      <c r="AK18" s="62"/>
      <c r="AL18" s="62"/>
      <c r="AM18" s="62"/>
      <c r="AN18" s="62"/>
      <c r="AO18" s="235"/>
      <c r="AP18" s="62"/>
      <c r="AQ18" s="235"/>
      <c r="AR18" s="62"/>
      <c r="AS18" s="238"/>
      <c r="AT18" s="238"/>
      <c r="AU18" s="239"/>
      <c r="AV18" s="238"/>
      <c r="AW18" s="37">
        <v>0.53083304545912946</v>
      </c>
      <c r="AX18" s="43" t="e">
        <f>(AI18-AW18)/AI18</f>
        <v>#DIV/0!</v>
      </c>
      <c r="AY18" s="63"/>
      <c r="AZ18" s="63"/>
      <c r="BA18" s="63"/>
      <c r="BB18" s="38">
        <v>1438571938.91363</v>
      </c>
      <c r="BC18" s="39">
        <f>AW18/BB18</f>
        <v>3.6899999999999997E-10</v>
      </c>
      <c r="BD18" s="65">
        <f t="shared" si="4"/>
        <v>3.9228679638015965E-6</v>
      </c>
      <c r="BE18" s="39"/>
      <c r="BF18" s="39"/>
      <c r="BG18" s="39"/>
      <c r="BH18" s="98">
        <f t="shared" si="5"/>
        <v>0</v>
      </c>
      <c r="BI18" s="39">
        <f>AI18/BB18</f>
        <v>0</v>
      </c>
      <c r="BJ18" s="39">
        <f>(BI18-BC18)/BC18</f>
        <v>-1</v>
      </c>
      <c r="BK18" s="44">
        <f>AW18/BL18</f>
        <v>3.004896779385526E-4</v>
      </c>
      <c r="BL18" s="45">
        <f t="shared" si="6"/>
        <v>1766.56</v>
      </c>
      <c r="BM18" s="45"/>
      <c r="BN18" s="46">
        <f>AI18/BK18</f>
        <v>0</v>
      </c>
      <c r="BO18" s="46">
        <f t="shared" si="20"/>
        <v>-1</v>
      </c>
      <c r="BP18" s="40">
        <f t="shared" si="7"/>
        <v>3.7647733720505634E-3</v>
      </c>
      <c r="BQ18" s="41">
        <v>141</v>
      </c>
      <c r="BR18" s="70">
        <f t="shared" si="8"/>
        <v>2.6082130965593784</v>
      </c>
      <c r="BS18" s="41">
        <f>AI18/(BP18)</f>
        <v>0</v>
      </c>
      <c r="BT18" s="48">
        <f t="shared" si="21"/>
        <v>-1</v>
      </c>
      <c r="BW18"/>
      <c r="BX18"/>
      <c r="BY18" s="8"/>
      <c r="BZ18" s="8"/>
    </row>
    <row r="19" spans="1:78" ht="20.25" customHeight="1" x14ac:dyDescent="0.25">
      <c r="A19" s="2" t="s">
        <v>33</v>
      </c>
      <c r="B19" s="30">
        <v>0.05</v>
      </c>
      <c r="C19" s="2">
        <v>1</v>
      </c>
      <c r="D19" s="2">
        <v>49</v>
      </c>
      <c r="E19" s="2">
        <v>46</v>
      </c>
      <c r="F19" s="22">
        <f t="shared" si="0"/>
        <v>8.1958473100000004E-26</v>
      </c>
      <c r="G19" s="22">
        <f t="shared" si="1"/>
        <v>4.1903173759999999E-29</v>
      </c>
      <c r="H19" s="24">
        <f t="shared" si="10"/>
        <v>2083.4601076018726</v>
      </c>
      <c r="I19" s="24">
        <f t="shared" si="11"/>
        <v>1.0652173913043479</v>
      </c>
      <c r="J19" s="26">
        <f t="shared" si="12"/>
        <v>8.1916569926240009E-26</v>
      </c>
      <c r="K19" s="12">
        <v>167.21</v>
      </c>
      <c r="L19" s="11"/>
      <c r="M19" s="27">
        <f t="shared" si="13"/>
        <v>8.3963056255247689E-4</v>
      </c>
      <c r="N19" s="15">
        <v>1191</v>
      </c>
      <c r="O19" s="5">
        <f>K19/X19</f>
        <v>4.292862515949649E-5</v>
      </c>
      <c r="P19" s="5">
        <v>3.0899999999999998E-4</v>
      </c>
      <c r="R19" s="6">
        <v>7.1999999999999997E-11</v>
      </c>
      <c r="S19" s="6">
        <v>1.3300000000000001E-10</v>
      </c>
      <c r="T19" s="6">
        <f t="shared" si="14"/>
        <v>2.0500000000000002E-10</v>
      </c>
      <c r="U19" s="30">
        <v>91.224000000000004</v>
      </c>
      <c r="V19" s="30">
        <v>18.9984</v>
      </c>
      <c r="W19" s="30">
        <f t="shared" si="15"/>
        <v>15.723755258459262</v>
      </c>
      <c r="X19" s="6">
        <f>(5.36-0.00123*N19)*1000000</f>
        <v>3895070.0000000005</v>
      </c>
      <c r="Y19" s="7">
        <v>1700</v>
      </c>
      <c r="Z19" s="4">
        <v>0</v>
      </c>
      <c r="AA19" s="4">
        <v>5.36</v>
      </c>
      <c r="AB19" s="4">
        <v>-1.23E-3</v>
      </c>
      <c r="AF19" s="62">
        <f t="shared" si="2"/>
        <v>3.328431774116381E-7</v>
      </c>
      <c r="AG19" s="62"/>
      <c r="AH19" s="62"/>
      <c r="AI19" s="37"/>
      <c r="AJ19" s="62"/>
      <c r="AK19" s="62"/>
      <c r="AL19" s="62"/>
      <c r="AM19" s="62"/>
      <c r="AN19" s="62"/>
      <c r="AO19" s="235"/>
      <c r="AP19" s="62"/>
      <c r="AQ19" s="235"/>
      <c r="AR19" s="62"/>
      <c r="AS19" s="238"/>
      <c r="AT19" s="238"/>
      <c r="AU19" s="239"/>
      <c r="AV19" s="238"/>
      <c r="AW19" s="37"/>
      <c r="AX19" s="43"/>
      <c r="AY19" s="63"/>
      <c r="AZ19" s="63"/>
      <c r="BA19" s="63"/>
      <c r="BB19" s="38"/>
      <c r="BC19" s="39"/>
      <c r="BD19" s="65">
        <f t="shared" si="4"/>
        <v>0</v>
      </c>
      <c r="BE19" s="39"/>
      <c r="BF19" s="39"/>
      <c r="BG19" s="39"/>
      <c r="BH19" s="98">
        <f t="shared" si="5"/>
        <v>0</v>
      </c>
      <c r="BI19" s="39"/>
      <c r="BJ19" s="39"/>
      <c r="BK19" s="44"/>
      <c r="BL19" s="45">
        <f t="shared" si="6"/>
        <v>1700</v>
      </c>
      <c r="BM19" s="45"/>
      <c r="BN19" s="46"/>
      <c r="BO19" s="46"/>
      <c r="BP19" s="40">
        <f t="shared" si="7"/>
        <v>0</v>
      </c>
      <c r="BQ19" s="49">
        <v>123</v>
      </c>
      <c r="BR19" s="70">
        <f t="shared" si="8"/>
        <v>2.8652210394115185</v>
      </c>
      <c r="BS19" s="41"/>
      <c r="BT19" s="48"/>
      <c r="BW19"/>
      <c r="BX19"/>
      <c r="BY19" s="8"/>
      <c r="BZ19" s="8"/>
    </row>
    <row r="20" spans="1:78" ht="20.25" customHeight="1" x14ac:dyDescent="0.25">
      <c r="A20" s="2" t="s">
        <v>34</v>
      </c>
      <c r="B20" s="30">
        <v>0.08</v>
      </c>
      <c r="C20" s="2">
        <v>1</v>
      </c>
      <c r="D20" s="2">
        <v>99</v>
      </c>
      <c r="E20" s="2">
        <v>96</v>
      </c>
      <c r="F20" s="22">
        <f t="shared" si="0"/>
        <v>1.6558956810000001E-25</v>
      </c>
      <c r="G20" s="22">
        <f t="shared" si="1"/>
        <v>8.7450101759999993E-29</v>
      </c>
      <c r="H20" s="24">
        <f t="shared" si="10"/>
        <v>1952.7048987521384</v>
      </c>
      <c r="I20" s="24">
        <f t="shared" si="11"/>
        <v>1.03125</v>
      </c>
      <c r="J20" s="26">
        <f t="shared" si="12"/>
        <v>1.6550211799824002E-25</v>
      </c>
      <c r="K20" s="12">
        <v>308.0317</v>
      </c>
      <c r="L20" s="11"/>
      <c r="M20" s="27">
        <f t="shared" si="13"/>
        <v>7.2254335260115603E-4</v>
      </c>
      <c r="N20" s="15">
        <v>1384</v>
      </c>
      <c r="O20" s="5">
        <f>K20/X20</f>
        <v>5.0331977124183008E-5</v>
      </c>
      <c r="P20" s="5">
        <v>1.21E-4</v>
      </c>
      <c r="R20" s="6">
        <v>9.3999999999999999E-11</v>
      </c>
      <c r="S20" s="6">
        <v>1.3300000000000001E-10</v>
      </c>
      <c r="T20" s="6">
        <f t="shared" si="14"/>
        <v>2.2699999999999999E-10</v>
      </c>
      <c r="U20" s="30">
        <v>232.03809999999999</v>
      </c>
      <c r="V20" s="30">
        <v>18.9984</v>
      </c>
      <c r="W20" s="30">
        <f t="shared" si="15"/>
        <v>17.560604290770467</v>
      </c>
      <c r="X20" s="6">
        <v>6120000</v>
      </c>
      <c r="Y20" s="7">
        <v>1362</v>
      </c>
      <c r="Z20" s="4">
        <v>0</v>
      </c>
      <c r="AA20" s="4">
        <v>7.34</v>
      </c>
      <c r="AB20" s="4">
        <v>-8.0800000000000002E-4</v>
      </c>
      <c r="AF20" s="62">
        <f t="shared" si="2"/>
        <v>3.4399093755610213E-7</v>
      </c>
      <c r="AG20" s="62"/>
      <c r="AH20" s="62"/>
      <c r="AI20" s="37"/>
      <c r="AJ20" s="62"/>
      <c r="AK20" s="62"/>
      <c r="AL20" s="62"/>
      <c r="AM20" s="62"/>
      <c r="AN20" s="62"/>
      <c r="AO20" s="235"/>
      <c r="AP20" s="62"/>
      <c r="AQ20" s="235"/>
      <c r="AR20" s="62"/>
      <c r="AS20" s="238"/>
      <c r="AT20" s="238"/>
      <c r="AU20" s="239"/>
      <c r="AV20" s="238"/>
      <c r="AW20" s="37"/>
      <c r="AX20" s="43"/>
      <c r="AY20" s="63"/>
      <c r="AZ20" s="63"/>
      <c r="BA20" s="63"/>
      <c r="BB20" s="38"/>
      <c r="BC20" s="39"/>
      <c r="BD20" s="65">
        <f t="shared" si="4"/>
        <v>0</v>
      </c>
      <c r="BE20" s="39"/>
      <c r="BF20" s="39"/>
      <c r="BG20" s="39"/>
      <c r="BH20" s="98">
        <f t="shared" si="5"/>
        <v>0</v>
      </c>
      <c r="BI20" s="39"/>
      <c r="BJ20" s="39"/>
      <c r="BK20" s="44"/>
      <c r="BL20" s="45">
        <f t="shared" si="6"/>
        <v>1362</v>
      </c>
      <c r="BM20" s="45"/>
      <c r="BN20" s="46"/>
      <c r="BO20" s="46"/>
      <c r="BP20" s="40">
        <f t="shared" si="7"/>
        <v>0</v>
      </c>
      <c r="BQ20" s="50">
        <v>168</v>
      </c>
      <c r="BR20" s="70">
        <f t="shared" si="8"/>
        <v>3.3378382809301765</v>
      </c>
      <c r="BS20" s="41"/>
      <c r="BT20" s="48"/>
      <c r="BW20"/>
      <c r="BX20"/>
      <c r="BY20" s="8"/>
      <c r="BZ20" s="8"/>
    </row>
    <row r="21" spans="1:78" x14ac:dyDescent="0.25">
      <c r="A21" s="2" t="s">
        <v>35</v>
      </c>
      <c r="B21" s="30">
        <v>0.09</v>
      </c>
      <c r="C21" s="2">
        <v>1</v>
      </c>
      <c r="D21" s="2">
        <v>101</v>
      </c>
      <c r="E21" s="2">
        <v>98</v>
      </c>
      <c r="F21" s="22">
        <f t="shared" si="0"/>
        <v>1.6893481190000001E-25</v>
      </c>
      <c r="G21" s="22">
        <f t="shared" si="1"/>
        <v>8.9271978879999991E-29</v>
      </c>
      <c r="H21" s="24">
        <f t="shared" si="10"/>
        <v>1950.2904261560993</v>
      </c>
      <c r="I21" s="24">
        <f t="shared" si="11"/>
        <v>1.0306122448979591</v>
      </c>
      <c r="J21" s="26">
        <f t="shared" si="12"/>
        <v>1.6884553992112001E-25</v>
      </c>
      <c r="K21" s="12">
        <v>314.02249999999998</v>
      </c>
      <c r="L21" s="11">
        <f>10^(11.4-35400/N21+27700000/N21^2)/1000</f>
        <v>3.3294860215237095E-3</v>
      </c>
      <c r="M21" s="27">
        <f t="shared" si="13"/>
        <v>7.6394194041252863E-4</v>
      </c>
      <c r="N21" s="15">
        <v>1309</v>
      </c>
      <c r="O21" s="5">
        <f>K21/X21</f>
        <v>4.8535162287480677E-5</v>
      </c>
      <c r="P21" s="17">
        <v>1.4899999999999999E-4</v>
      </c>
      <c r="R21" s="6">
        <v>8.9000000000000003E-11</v>
      </c>
      <c r="S21" s="6">
        <v>1.3300000000000001E-10</v>
      </c>
      <c r="T21" s="6">
        <f t="shared" si="14"/>
        <v>2.2200000000000001E-10</v>
      </c>
      <c r="U21" s="30">
        <v>238.02889999999999</v>
      </c>
      <c r="V21" s="30">
        <v>18.9984</v>
      </c>
      <c r="W21" s="30">
        <f t="shared" si="15"/>
        <v>17.594116476187551</v>
      </c>
      <c r="X21" s="6">
        <v>6470000</v>
      </c>
      <c r="Y21" s="7">
        <v>1062</v>
      </c>
      <c r="Z21" s="4">
        <v>0</v>
      </c>
      <c r="AA21" s="11">
        <v>7.6040000000000001</v>
      </c>
      <c r="AB21" s="4">
        <v>-7.9100000000000004E-4</v>
      </c>
      <c r="AF21" s="62">
        <f t="shared" si="2"/>
        <v>2.8174031682443137E-7</v>
      </c>
      <c r="AG21" s="62"/>
      <c r="AH21" s="62"/>
      <c r="AI21" s="37"/>
      <c r="AJ21" s="62"/>
      <c r="AK21" s="62"/>
      <c r="AL21" s="62"/>
      <c r="AM21" s="62"/>
      <c r="AN21" s="62"/>
      <c r="AO21" s="235"/>
      <c r="AP21" s="62"/>
      <c r="AQ21" s="235"/>
      <c r="AR21" s="62"/>
      <c r="AS21" s="238"/>
      <c r="AT21" s="238"/>
      <c r="AU21" s="239"/>
      <c r="AV21" s="238"/>
      <c r="AW21" s="37"/>
      <c r="AX21" s="43"/>
      <c r="AY21" s="63"/>
      <c r="AZ21" s="63"/>
      <c r="BA21" s="63"/>
      <c r="BB21" s="38"/>
      <c r="BC21" s="39"/>
      <c r="BD21" s="65">
        <f t="shared" si="4"/>
        <v>0</v>
      </c>
      <c r="BE21" s="39"/>
      <c r="BF21" s="39"/>
      <c r="BG21" s="39"/>
      <c r="BH21" s="98">
        <f t="shared" si="5"/>
        <v>0</v>
      </c>
      <c r="BI21" s="39"/>
      <c r="BJ21" s="39"/>
      <c r="BK21" s="44"/>
      <c r="BL21" s="45">
        <f t="shared" si="6"/>
        <v>1062</v>
      </c>
      <c r="BM21" s="45"/>
      <c r="BN21" s="46"/>
      <c r="BO21" s="46"/>
      <c r="BP21" s="40">
        <f t="shared" si="7"/>
        <v>0</v>
      </c>
      <c r="BQ21" s="50">
        <v>174</v>
      </c>
      <c r="BR21" s="70">
        <f t="shared" si="8"/>
        <v>3.5850297351304445</v>
      </c>
      <c r="BS21" s="41"/>
      <c r="BT21" s="48"/>
      <c r="BW21"/>
      <c r="BX21"/>
      <c r="BY21" s="8">
        <f t="shared" ref="BY21:BY26" si="32">L21/(X21/1000*(Y21+Z21*N21))</f>
        <v>4.8456093479738579E-10</v>
      </c>
      <c r="BZ21" s="8"/>
    </row>
    <row r="22" spans="1:78" x14ac:dyDescent="0.25">
      <c r="A22" s="2" t="s">
        <v>36</v>
      </c>
      <c r="B22" s="30"/>
      <c r="C22" s="2">
        <v>1</v>
      </c>
      <c r="D22" s="2">
        <v>109</v>
      </c>
      <c r="E22" s="2">
        <v>107</v>
      </c>
      <c r="F22" s="22">
        <f t="shared" si="0"/>
        <v>1.823157871E-25</v>
      </c>
      <c r="G22" s="22">
        <f t="shared" si="1"/>
        <v>9.7470425919999998E-29</v>
      </c>
      <c r="H22" s="24">
        <f t="shared" si="10"/>
        <v>1905.4349775174894</v>
      </c>
      <c r="I22" s="24">
        <f t="shared" si="11"/>
        <v>1.0186915887850467</v>
      </c>
      <c r="J22" s="26">
        <f t="shared" si="12"/>
        <v>1.8221831667407999E-25</v>
      </c>
      <c r="K22" s="12">
        <v>344.3879</v>
      </c>
      <c r="L22" s="11">
        <f>0.478*EXP(10900/(8.3144598*N22))/1000</f>
        <v>1.5506403023444345E-3</v>
      </c>
      <c r="M22" s="27">
        <f t="shared" si="13"/>
        <v>8.9766606822262122E-4</v>
      </c>
      <c r="N22" s="16">
        <v>1114</v>
      </c>
      <c r="O22" s="5">
        <f>K22/X22</f>
        <v>7.5193864628820956E-5</v>
      </c>
      <c r="P22" s="17">
        <v>3.3300000000000002E-4</v>
      </c>
      <c r="R22" s="6">
        <v>1.16E-10</v>
      </c>
      <c r="S22" s="6">
        <v>1.81E-10</v>
      </c>
      <c r="T22" s="6">
        <f t="shared" si="14"/>
        <v>2.9700000000000001E-10</v>
      </c>
      <c r="U22" s="30">
        <v>238.02889999999999</v>
      </c>
      <c r="V22" s="30">
        <v>35.453000000000003</v>
      </c>
      <c r="W22" s="30">
        <f t="shared" si="15"/>
        <v>30.857027802205558</v>
      </c>
      <c r="X22" s="6">
        <v>4580000</v>
      </c>
      <c r="Y22" s="7">
        <v>1248</v>
      </c>
      <c r="Z22" s="4">
        <v>0</v>
      </c>
      <c r="AA22" s="11">
        <v>6.3746999999999998</v>
      </c>
      <c r="AB22" s="4">
        <v>-1.5222E-3</v>
      </c>
      <c r="AF22" s="62">
        <f t="shared" si="2"/>
        <v>2.4646691710132674E-7</v>
      </c>
      <c r="AG22" s="62"/>
      <c r="AH22" s="62"/>
      <c r="AI22" s="37"/>
      <c r="AJ22" s="62"/>
      <c r="AK22" s="62"/>
      <c r="AL22" s="62"/>
      <c r="AM22" s="62"/>
      <c r="AN22" s="62"/>
      <c r="AO22" s="235"/>
      <c r="AP22" s="62"/>
      <c r="AQ22" s="235"/>
      <c r="AR22" s="62"/>
      <c r="AS22" s="238"/>
      <c r="AT22" s="238"/>
      <c r="AU22" s="239"/>
      <c r="AV22" s="238"/>
      <c r="AW22" s="37"/>
      <c r="AX22" s="43"/>
      <c r="AY22" s="63"/>
      <c r="AZ22" s="63"/>
      <c r="BA22" s="63"/>
      <c r="BB22" s="38"/>
      <c r="BC22" s="39"/>
      <c r="BD22" s="65">
        <f t="shared" si="4"/>
        <v>0</v>
      </c>
      <c r="BE22" s="39"/>
      <c r="BF22" s="39"/>
      <c r="BG22" s="39"/>
      <c r="BH22" s="98">
        <f t="shared" si="5"/>
        <v>0</v>
      </c>
      <c r="BI22" s="39"/>
      <c r="BJ22" s="39"/>
      <c r="BK22" s="44"/>
      <c r="BL22" s="45">
        <f t="shared" si="6"/>
        <v>1248</v>
      </c>
      <c r="BM22" s="45"/>
      <c r="BN22" s="46"/>
      <c r="BO22" s="46"/>
      <c r="BP22" s="40">
        <f t="shared" si="7"/>
        <v>0</v>
      </c>
      <c r="BQ22" s="50">
        <v>150</v>
      </c>
      <c r="BR22" s="70">
        <f t="shared" si="8"/>
        <v>1.9948436051324685</v>
      </c>
      <c r="BS22" s="41"/>
      <c r="BT22" s="48"/>
      <c r="BW22"/>
      <c r="BX22"/>
      <c r="BY22" s="8">
        <f t="shared" si="32"/>
        <v>2.7128826250287524E-10</v>
      </c>
      <c r="BZ22" s="8"/>
    </row>
    <row r="23" spans="1:78" x14ac:dyDescent="0.25">
      <c r="A23" s="4" t="s">
        <v>37</v>
      </c>
      <c r="B23" s="31"/>
      <c r="C23" s="11">
        <v>2</v>
      </c>
      <c r="D23" s="25">
        <v>33.76</v>
      </c>
      <c r="E23" s="25">
        <v>33.44</v>
      </c>
      <c r="F23" s="22">
        <f t="shared" si="0"/>
        <v>5.6467715343999995E-26</v>
      </c>
      <c r="G23" s="22">
        <f t="shared" si="1"/>
        <v>3.0461785446399997E-29</v>
      </c>
      <c r="H23" s="24">
        <f t="shared" si="10"/>
        <v>1871.4620768599771</v>
      </c>
      <c r="I23" s="24">
        <f t="shared" si="11"/>
        <v>1.0095693779904307</v>
      </c>
      <c r="J23" s="26">
        <f t="shared" si="12"/>
        <v>5.6437253558553592E-26</v>
      </c>
      <c r="K23" s="4">
        <v>81.162404000000009</v>
      </c>
      <c r="L23" s="11">
        <f>0.141*EXP(18800/(8.3144598*N23))/1000</f>
        <v>3.6048872982003179E-3</v>
      </c>
      <c r="M23" s="27">
        <f t="shared" si="13"/>
        <v>1.43348623853211E-3</v>
      </c>
      <c r="N23" s="4">
        <v>697.6</v>
      </c>
      <c r="O23" s="4">
        <v>4.6549051207293618E-5</v>
      </c>
      <c r="P23" s="4">
        <v>3.0722637834585992E-4</v>
      </c>
      <c r="T23" s="22">
        <f>0.68*T9+0.32*T14</f>
        <v>2.9788000000000001E-10</v>
      </c>
      <c r="U23" s="22"/>
      <c r="V23" s="22"/>
      <c r="W23" s="22"/>
      <c r="X23" s="8">
        <v>1741629.2032000001</v>
      </c>
      <c r="Y23" s="4">
        <v>1968.0306331357569</v>
      </c>
      <c r="AC23" s="4">
        <v>2</v>
      </c>
      <c r="AD23" s="4">
        <v>3</v>
      </c>
      <c r="AE23" s="11">
        <f t="shared" si="16"/>
        <v>5</v>
      </c>
      <c r="AF23" s="62">
        <f t="shared" si="2"/>
        <v>3.3375408853502522E-7</v>
      </c>
      <c r="AG23" s="62"/>
      <c r="AH23" s="62">
        <v>0.43524000000000002</v>
      </c>
      <c r="AI23" s="37"/>
      <c r="AJ23" s="62"/>
      <c r="AK23" s="62"/>
      <c r="AL23" s="62"/>
      <c r="AM23" s="62"/>
      <c r="AN23" s="62"/>
      <c r="AO23" s="235"/>
      <c r="AP23" s="62"/>
      <c r="AQ23" s="235"/>
      <c r="AR23" s="62"/>
      <c r="AS23" s="238"/>
      <c r="AT23" s="238"/>
      <c r="AU23" s="239"/>
      <c r="AV23" s="238"/>
      <c r="AW23" s="37">
        <v>0.28255485787268969</v>
      </c>
      <c r="AX23" s="43" t="e">
        <f t="shared" ref="AX23:AX41" si="33">(AI23-AW23)/AI23</f>
        <v>#DIV/0!</v>
      </c>
      <c r="AY23" s="63"/>
      <c r="AZ23" s="63"/>
      <c r="BA23" s="63"/>
      <c r="BB23" s="38">
        <v>1120431343.2759011</v>
      </c>
      <c r="BC23" s="39">
        <f t="shared" ref="BC23:BC40" si="34">AW23/BB23</f>
        <v>2.5218399999999988E-10</v>
      </c>
      <c r="BD23" s="39"/>
      <c r="BE23" s="39"/>
      <c r="BF23" s="39"/>
      <c r="BG23" s="39"/>
      <c r="BH23" s="98">
        <f t="shared" si="5"/>
        <v>0</v>
      </c>
      <c r="BI23" s="39">
        <f t="shared" ref="BI23:BI40" si="35">AI23/BB23</f>
        <v>0</v>
      </c>
      <c r="BJ23" s="39">
        <f t="shared" ref="BJ23:BJ41" si="36">(BI23-BC23)/BC23</f>
        <v>-1</v>
      </c>
      <c r="BK23" s="44">
        <f t="shared" ref="BK23:BK41" si="37">AW23/BL23</f>
        <v>1.4357238810987487E-4</v>
      </c>
      <c r="BL23" s="45">
        <f t="shared" si="6"/>
        <v>1968.0306331357569</v>
      </c>
      <c r="BM23" s="45"/>
      <c r="BN23" s="46">
        <f t="shared" ref="BN23:BN41" si="38">AI23/BK23</f>
        <v>0</v>
      </c>
      <c r="BO23" s="46">
        <f t="shared" si="20"/>
        <v>-1</v>
      </c>
      <c r="BP23" s="40">
        <f t="shared" si="7"/>
        <v>3.5539989488832884E-3</v>
      </c>
      <c r="BQ23" s="41">
        <v>79.503360000000001</v>
      </c>
      <c r="BR23" s="70">
        <f t="shared" si="8"/>
        <v>1.7079480233861968</v>
      </c>
      <c r="BS23" s="41">
        <f t="shared" ref="BS23:BS41" si="39">AI23/(BP23)</f>
        <v>0</v>
      </c>
      <c r="BT23" s="48">
        <f t="shared" si="21"/>
        <v>-1</v>
      </c>
      <c r="BW23"/>
      <c r="BX23"/>
      <c r="BY23" s="8">
        <f t="shared" si="32"/>
        <v>1.0517297026523455E-9</v>
      </c>
      <c r="BZ23" s="8"/>
    </row>
    <row r="24" spans="1:78" x14ac:dyDescent="0.25">
      <c r="A24" s="4" t="s">
        <v>38</v>
      </c>
      <c r="B24" s="31"/>
      <c r="C24" s="11">
        <v>2</v>
      </c>
      <c r="D24" s="25">
        <v>12.34</v>
      </c>
      <c r="E24" s="25">
        <v>11.34</v>
      </c>
      <c r="F24" s="22">
        <f t="shared" si="0"/>
        <v>2.0640154245999999E-26</v>
      </c>
      <c r="G24" s="22">
        <f t="shared" si="1"/>
        <v>1.0330043270399999E-29</v>
      </c>
      <c r="H24" s="24">
        <f t="shared" si="10"/>
        <v>2174.2671429464549</v>
      </c>
      <c r="I24" s="24">
        <f t="shared" si="11"/>
        <v>1.088183421516755</v>
      </c>
      <c r="J24" s="26">
        <f t="shared" si="12"/>
        <v>2.06298242027296E-26</v>
      </c>
      <c r="K24" s="4">
        <v>33.103140000000003</v>
      </c>
      <c r="L24" s="11">
        <f>0.116*EXP(31200/(8.3144598*N24))/1000</f>
        <v>1.9398692129051695E-2</v>
      </c>
      <c r="M24" s="27">
        <f t="shared" si="13"/>
        <v>1.364256480218281E-3</v>
      </c>
      <c r="N24" s="4">
        <v>733</v>
      </c>
      <c r="O24" s="4">
        <v>1.6714173769923689E-5</v>
      </c>
      <c r="P24" s="4">
        <v>1.409526898683356E-4</v>
      </c>
      <c r="T24" s="22">
        <f>0.66*T2+0.34*T10</f>
        <v>1.9472000000000003E-10</v>
      </c>
      <c r="U24" s="22"/>
      <c r="V24" s="22"/>
      <c r="W24" s="22"/>
      <c r="X24" s="8">
        <v>1986063.3540000001</v>
      </c>
      <c r="Y24" s="4">
        <v>2547.6863757231322</v>
      </c>
      <c r="AC24" s="4">
        <v>2</v>
      </c>
      <c r="AD24" s="4">
        <v>3</v>
      </c>
      <c r="AE24" s="11">
        <f t="shared" si="16"/>
        <v>5</v>
      </c>
      <c r="AF24" s="62">
        <f t="shared" si="2"/>
        <v>7.148851808441443E-7</v>
      </c>
      <c r="AG24" s="62">
        <f>1/3*BR24*BL24*BE24</f>
        <v>6.0953584013575084E-7</v>
      </c>
      <c r="AH24" s="62">
        <v>1.1000000000000001</v>
      </c>
      <c r="AI24" s="37">
        <v>1.1000000000000001</v>
      </c>
      <c r="AJ24" s="62" t="s">
        <v>262</v>
      </c>
      <c r="AK24" s="62">
        <f t="shared" si="17"/>
        <v>1.2649999999999999</v>
      </c>
      <c r="AL24" s="62">
        <f t="shared" si="18"/>
        <v>0.93500000000000005</v>
      </c>
      <c r="AM24" s="235">
        <v>2.0806969999999999E-10</v>
      </c>
      <c r="AN24" s="62">
        <v>1.2767938196406401</v>
      </c>
      <c r="AO24" s="235">
        <f>ABS(AI24-AN24)/AI24</f>
        <v>0.16072165421876364</v>
      </c>
      <c r="AP24" s="62">
        <v>1.51848599870652</v>
      </c>
      <c r="AQ24" s="235">
        <f>ABS(AI24-AP24)/AI24</f>
        <v>0.38044181700592716</v>
      </c>
      <c r="AR24" s="62">
        <v>0.348423403692107</v>
      </c>
      <c r="AS24" s="62">
        <v>1.0187917505808699</v>
      </c>
      <c r="AT24" s="238">
        <f t="shared" si="19"/>
        <v>7.382568129011835E-2</v>
      </c>
      <c r="AU24" s="239">
        <v>1.0187917505808699</v>
      </c>
      <c r="AV24" s="238">
        <f t="shared" si="19"/>
        <v>7.382568129011835E-2</v>
      </c>
      <c r="AW24" s="37">
        <v>0.62426158899966577</v>
      </c>
      <c r="AX24" s="43">
        <f t="shared" si="33"/>
        <v>0.43248946454575843</v>
      </c>
      <c r="AY24" s="63">
        <f>AI24/(1/3*BL24*BG24)</f>
        <v>3706357.1752703404</v>
      </c>
      <c r="AZ24" s="63">
        <v>1.9173646389555701E-7</v>
      </c>
      <c r="BA24" s="63">
        <f>AI24/(AZ24)*0.000001</f>
        <v>5.7370412369719812</v>
      </c>
      <c r="BB24" s="38">
        <v>3671349531.8618751</v>
      </c>
      <c r="BC24" s="39">
        <f t="shared" si="34"/>
        <v>1.7003600000000001E-10</v>
      </c>
      <c r="BD24" s="39"/>
      <c r="BE24" s="39">
        <v>1.6602500929042107E-10</v>
      </c>
      <c r="BF24" s="39">
        <v>2.0909055219685087E-10</v>
      </c>
      <c r="BG24" s="39">
        <v>3.4947869558698333E-10</v>
      </c>
      <c r="BH24" s="98">
        <f t="shared" si="5"/>
        <v>2.9961734518972648E-4</v>
      </c>
      <c r="BI24" s="39">
        <f t="shared" si="35"/>
        <v>2.9961734518972644E-10</v>
      </c>
      <c r="BJ24" s="39">
        <f t="shared" si="36"/>
        <v>0.76208182496486876</v>
      </c>
      <c r="BK24" s="44">
        <f t="shared" si="37"/>
        <v>2.4503078359575407E-4</v>
      </c>
      <c r="BL24" s="45">
        <f t="shared" si="6"/>
        <v>2547.6863757231322</v>
      </c>
      <c r="BM24" s="45"/>
      <c r="BN24" s="46">
        <f t="shared" si="38"/>
        <v>4489.23185837235</v>
      </c>
      <c r="BO24" s="46">
        <f t="shared" si="20"/>
        <v>0.76208182496486909</v>
      </c>
      <c r="BP24" s="40">
        <f t="shared" si="7"/>
        <v>8.6393422043187697E-3</v>
      </c>
      <c r="BQ24" s="41">
        <v>72.25800000000001</v>
      </c>
      <c r="BR24" s="70">
        <f t="shared" si="8"/>
        <v>4.3231571595853948</v>
      </c>
      <c r="BS24" s="41">
        <f t="shared" si="39"/>
        <v>127.32450850831152</v>
      </c>
      <c r="BT24" s="48">
        <f t="shared" si="21"/>
        <v>0.76208182496486909</v>
      </c>
      <c r="BW24"/>
      <c r="BX24"/>
      <c r="BY24" s="8">
        <f t="shared" si="32"/>
        <v>3.8338347353322035E-9</v>
      </c>
      <c r="BZ24" s="8"/>
    </row>
    <row r="25" spans="1:78" x14ac:dyDescent="0.25">
      <c r="A25" s="4" t="s">
        <v>39</v>
      </c>
      <c r="B25" s="31"/>
      <c r="C25" s="11">
        <v>3</v>
      </c>
      <c r="D25" s="25">
        <v>19.64</v>
      </c>
      <c r="E25" s="25">
        <v>19.64</v>
      </c>
      <c r="F25" s="22">
        <f t="shared" si="0"/>
        <v>3.2850294116000003E-26</v>
      </c>
      <c r="G25" s="22">
        <f t="shared" si="1"/>
        <v>1.78908333184E-29</v>
      </c>
      <c r="H25" s="24">
        <f t="shared" si="10"/>
        <v>1836.1522647586683</v>
      </c>
      <c r="I25" s="24">
        <f t="shared" si="11"/>
        <v>1</v>
      </c>
      <c r="J25" s="26">
        <f t="shared" si="12"/>
        <v>3.2832403282681602E-26</v>
      </c>
      <c r="K25" s="4">
        <v>41.290994999999988</v>
      </c>
      <c r="L25" s="11">
        <f>10^(0.213+-1200/N25+1350000/N25^2)/1000</f>
        <v>1.2003439447166342E-2</v>
      </c>
      <c r="M25" s="27">
        <f t="shared" si="13"/>
        <v>1.3605442176870747E-3</v>
      </c>
      <c r="N25" s="4">
        <v>735</v>
      </c>
      <c r="O25" s="4">
        <v>1.9405588331960499E-5</v>
      </c>
      <c r="P25" s="4">
        <v>3.1252324985815613E-4</v>
      </c>
      <c r="T25" s="22">
        <f>0.465*T2+0.115*T3+0.42*T4</f>
        <v>2.3803E-10</v>
      </c>
      <c r="U25" s="22"/>
      <c r="V25" s="22"/>
      <c r="W25" s="22"/>
      <c r="X25" s="8">
        <v>2102415.4449999998</v>
      </c>
      <c r="Y25" s="4">
        <v>2012.468707779205</v>
      </c>
      <c r="AC25" s="4">
        <v>3</v>
      </c>
      <c r="AD25" s="4">
        <v>3</v>
      </c>
      <c r="AE25" s="11">
        <f t="shared" si="16"/>
        <v>6</v>
      </c>
      <c r="AF25" s="62">
        <f t="shared" si="2"/>
        <v>5.4326858976638285E-7</v>
      </c>
      <c r="AG25" s="62">
        <f>1/3*BR25*BL25*BE25</f>
        <v>4.8209294921946862E-7</v>
      </c>
      <c r="AH25" s="62">
        <v>0.78024246508674777</v>
      </c>
      <c r="AI25" s="37">
        <v>0.78633287605038305</v>
      </c>
      <c r="AJ25" s="62" t="s">
        <v>263</v>
      </c>
      <c r="AK25" s="62">
        <f t="shared" si="17"/>
        <v>0.90428280745794043</v>
      </c>
      <c r="AL25" s="62">
        <f t="shared" si="18"/>
        <v>0.66838294464282555</v>
      </c>
      <c r="AM25" s="235">
        <v>2.3290599999999999E-10</v>
      </c>
      <c r="AN25" s="62">
        <v>0.75631548066380605</v>
      </c>
      <c r="AO25" s="235">
        <f>ABS(AI25-AN25)/AI25</f>
        <v>3.8173903572936298E-2</v>
      </c>
      <c r="AP25" s="62">
        <v>0.90509686778680298</v>
      </c>
      <c r="AQ25" s="235">
        <f>ABS(AI25-AP25)/AI25</f>
        <v>0.15103526172395509</v>
      </c>
      <c r="AR25" s="62">
        <v>0.36960760138920601</v>
      </c>
      <c r="AS25" s="62">
        <v>0.839610460137869</v>
      </c>
      <c r="AT25" s="238">
        <f t="shared" si="19"/>
        <v>6.7754491399482419E-2</v>
      </c>
      <c r="AU25" s="239">
        <v>0.839610460137869</v>
      </c>
      <c r="AV25" s="238">
        <f t="shared" si="19"/>
        <v>6.7754491399482419E-2</v>
      </c>
      <c r="AW25" s="37">
        <v>0.39969771709442198</v>
      </c>
      <c r="AX25" s="43">
        <f t="shared" si="33"/>
        <v>0.49169400228814547</v>
      </c>
      <c r="AY25" s="63">
        <f>AI25/(1/3*BL25*BG25)</f>
        <v>3145748.1427474972</v>
      </c>
      <c r="AZ25" s="63">
        <v>2.0332455378033299E-7</v>
      </c>
      <c r="BA25" s="63">
        <f>AI25/(AZ25)*0.000001</f>
        <v>3.8673778519633117</v>
      </c>
      <c r="BB25" s="38">
        <v>2282353441.8618789</v>
      </c>
      <c r="BC25" s="39">
        <f t="shared" si="34"/>
        <v>1.7512524999999998E-10</v>
      </c>
      <c r="BD25" s="39"/>
      <c r="BE25" s="39">
        <v>2.1122624584656404E-10</v>
      </c>
      <c r="BF25" s="39">
        <v>2.4334220633798502E-10</v>
      </c>
      <c r="BG25" s="39">
        <v>3.7262724303100115E-10</v>
      </c>
      <c r="BH25" s="98">
        <f t="shared" si="5"/>
        <v>3.4452721547321584E-4</v>
      </c>
      <c r="BI25" s="39">
        <f t="shared" si="35"/>
        <v>3.4452721547321571E-10</v>
      </c>
      <c r="BJ25" s="39">
        <f t="shared" si="36"/>
        <v>0.96731890731471193</v>
      </c>
      <c r="BK25" s="44">
        <f t="shared" si="37"/>
        <v>1.9861064947215777E-4</v>
      </c>
      <c r="BL25" s="45">
        <f t="shared" si="6"/>
        <v>2012.468707779205</v>
      </c>
      <c r="BM25" s="45"/>
      <c r="BN25" s="46">
        <f t="shared" si="38"/>
        <v>3959.1677391932353</v>
      </c>
      <c r="BO25" s="46">
        <f t="shared" si="20"/>
        <v>0.9673189073147116</v>
      </c>
      <c r="BP25" s="40">
        <f t="shared" si="7"/>
        <v>6.0538246258091295E-3</v>
      </c>
      <c r="BQ25" s="41">
        <v>66.024000000000001</v>
      </c>
      <c r="BR25" s="70">
        <f t="shared" si="8"/>
        <v>3.4023189027080507</v>
      </c>
      <c r="BS25" s="41">
        <f t="shared" si="39"/>
        <v>129.89026353654654</v>
      </c>
      <c r="BT25" s="48">
        <f t="shared" si="21"/>
        <v>0.96731890731471193</v>
      </c>
      <c r="BW25"/>
      <c r="BX25"/>
      <c r="BY25" s="8">
        <f t="shared" si="32"/>
        <v>2.8369914793196441E-9</v>
      </c>
      <c r="BZ25" s="8"/>
    </row>
    <row r="26" spans="1:78" x14ac:dyDescent="0.25">
      <c r="A26" s="4" t="s">
        <v>40</v>
      </c>
      <c r="B26" s="31"/>
      <c r="C26" s="11">
        <v>4</v>
      </c>
      <c r="D26" s="25">
        <v>23.315000000000001</v>
      </c>
      <c r="E26" s="25">
        <v>22.74</v>
      </c>
      <c r="F26" s="22">
        <f t="shared" si="0"/>
        <v>3.8997179598500003E-26</v>
      </c>
      <c r="G26" s="22">
        <f t="shared" si="1"/>
        <v>2.0714742854399996E-29</v>
      </c>
      <c r="H26" s="24">
        <f t="shared" si="10"/>
        <v>1930.1835567339556</v>
      </c>
      <c r="I26" s="24">
        <f t="shared" si="11"/>
        <v>1.0252858399296396</v>
      </c>
      <c r="J26" s="26">
        <f t="shared" si="12"/>
        <v>3.8976464855645601E-26</v>
      </c>
      <c r="K26" s="4">
        <v>66.133683500000004</v>
      </c>
      <c r="L26" s="11">
        <f>0.062*EXP(38800/(8.3144598*N26))/1000</f>
        <v>3.0468148860508516E-2</v>
      </c>
      <c r="M26" s="27">
        <f t="shared" si="13"/>
        <v>1.3280212483399733E-3</v>
      </c>
      <c r="N26" s="4">
        <v>753</v>
      </c>
      <c r="O26" s="4">
        <v>1.9202817056926548E-5</v>
      </c>
      <c r="P26" s="4">
        <v>1.6787041064891779E-4</v>
      </c>
      <c r="T26" s="22">
        <f>0.675*T2+0.2*T10+0.005*T20+0.12*T21</f>
        <v>2.0225E-10</v>
      </c>
      <c r="U26" s="22"/>
      <c r="V26" s="22"/>
      <c r="W26" s="22"/>
      <c r="X26" s="8">
        <v>2609440.5150000001</v>
      </c>
      <c r="Y26" s="4">
        <v>1781.433208193873</v>
      </c>
      <c r="AC26" s="4">
        <v>4</v>
      </c>
      <c r="AD26" s="4">
        <v>11</v>
      </c>
      <c r="AE26" s="11">
        <f t="shared" si="16"/>
        <v>15</v>
      </c>
      <c r="AF26" s="62">
        <f t="shared" si="2"/>
        <v>5.1681594759710646E-7</v>
      </c>
      <c r="AG26" s="62"/>
      <c r="AH26" s="62">
        <v>1.1599999999999999</v>
      </c>
      <c r="AI26" s="37"/>
      <c r="AJ26" s="62"/>
      <c r="AK26" s="62"/>
      <c r="AL26" s="62"/>
      <c r="AM26" s="62"/>
      <c r="AN26" s="62"/>
      <c r="AO26" s="235"/>
      <c r="AP26" s="62"/>
      <c r="AQ26" s="235"/>
      <c r="AR26" s="62"/>
      <c r="AS26" s="62"/>
      <c r="AT26" s="238"/>
      <c r="AU26" s="239"/>
      <c r="AV26" s="238"/>
      <c r="AW26" s="37">
        <v>0.43510012746839721</v>
      </c>
      <c r="AX26" s="43" t="e">
        <f t="shared" si="33"/>
        <v>#DIV/0!</v>
      </c>
      <c r="AY26" s="63"/>
      <c r="AZ26" s="63"/>
      <c r="BA26" s="63"/>
      <c r="BB26" s="38">
        <v>2555332250.1711068</v>
      </c>
      <c r="BC26" s="39">
        <f t="shared" si="34"/>
        <v>1.7027145000000005E-10</v>
      </c>
      <c r="BD26" s="39"/>
      <c r="BE26" s="39"/>
      <c r="BF26" s="39"/>
      <c r="BG26" s="39"/>
      <c r="BH26" s="98">
        <f t="shared" si="5"/>
        <v>0</v>
      </c>
      <c r="BI26" s="39">
        <f t="shared" si="35"/>
        <v>0</v>
      </c>
      <c r="BJ26" s="39">
        <f t="shared" si="36"/>
        <v>-1</v>
      </c>
      <c r="BK26" s="44">
        <f t="shared" si="37"/>
        <v>2.4424161706827535E-4</v>
      </c>
      <c r="BL26" s="45">
        <f t="shared" si="6"/>
        <v>1781.433208193873</v>
      </c>
      <c r="BM26" s="45"/>
      <c r="BN26" s="46">
        <f t="shared" si="38"/>
        <v>0</v>
      </c>
      <c r="BO26" s="46">
        <f t="shared" si="20"/>
        <v>-1</v>
      </c>
      <c r="BP26" s="40">
        <f t="shared" si="7"/>
        <v>5.265324952724598E-3</v>
      </c>
      <c r="BQ26" s="41">
        <v>82.635000000000005</v>
      </c>
      <c r="BR26" s="70">
        <f t="shared" si="8"/>
        <v>4.3032748661318507</v>
      </c>
      <c r="BS26" s="41">
        <f t="shared" si="39"/>
        <v>0</v>
      </c>
      <c r="BT26" s="48">
        <f t="shared" si="21"/>
        <v>-1</v>
      </c>
      <c r="BW26"/>
      <c r="BX26"/>
      <c r="BY26" s="8">
        <f t="shared" si="32"/>
        <v>6.5543423785317211E-9</v>
      </c>
      <c r="BZ26" s="8"/>
    </row>
    <row r="27" spans="1:78" x14ac:dyDescent="0.25">
      <c r="A27" s="4" t="s">
        <v>47</v>
      </c>
      <c r="B27" s="31"/>
      <c r="C27" s="11">
        <v>4</v>
      </c>
      <c r="D27" s="25">
        <v>14.792</v>
      </c>
      <c r="E27" s="25">
        <v>14.388</v>
      </c>
      <c r="F27" s="22">
        <f t="shared" si="0"/>
        <v>2.4741423144799998E-26</v>
      </c>
      <c r="G27" s="22">
        <f t="shared" si="1"/>
        <v>1.3106584001279998E-29</v>
      </c>
      <c r="H27" s="24">
        <f t="shared" si="10"/>
        <v>1940.7144105304449</v>
      </c>
      <c r="I27" s="24">
        <f t="shared" si="11"/>
        <v>1.0280789546844593</v>
      </c>
      <c r="J27" s="26">
        <f t="shared" si="12"/>
        <v>2.4728316560798717E-26</v>
      </c>
      <c r="K27" s="4">
        <v>40.153548000000008</v>
      </c>
      <c r="L27" s="11"/>
      <c r="M27" s="27">
        <f t="shared" si="13"/>
        <v>1.4084507042253522E-3</v>
      </c>
      <c r="N27" s="4">
        <v>710</v>
      </c>
      <c r="O27" s="4">
        <v>1.69198810550489E-5</v>
      </c>
      <c r="P27" s="4">
        <v>1.8512201652073131E-4</v>
      </c>
      <c r="T27" s="22">
        <f>0.712*T2+0.23*T10+0.05*T19+0.008*T21</f>
        <v>1.9924399999999998E-10</v>
      </c>
      <c r="U27" s="22"/>
      <c r="V27" s="22"/>
      <c r="W27" s="22"/>
      <c r="X27" s="8">
        <v>2163027.5660000001</v>
      </c>
      <c r="Y27" s="4">
        <v>2319.1206460873409</v>
      </c>
      <c r="AC27" s="4">
        <v>4</v>
      </c>
      <c r="AD27" s="4">
        <v>11</v>
      </c>
      <c r="AE27" s="11">
        <f t="shared" si="16"/>
        <v>15</v>
      </c>
      <c r="AF27" s="62">
        <f t="shared" si="2"/>
        <v>6.6880040429891448E-7</v>
      </c>
      <c r="AG27" s="62"/>
      <c r="AH27" s="62">
        <v>1.24</v>
      </c>
      <c r="AI27" s="37"/>
      <c r="AJ27" s="62"/>
      <c r="AK27" s="62"/>
      <c r="AL27" s="62"/>
      <c r="AM27" s="62"/>
      <c r="AN27" s="62"/>
      <c r="AO27" s="235"/>
      <c r="AP27" s="62"/>
      <c r="AQ27" s="235"/>
      <c r="AR27" s="62"/>
      <c r="AS27" s="62"/>
      <c r="AT27" s="238"/>
      <c r="AU27" s="239"/>
      <c r="AV27" s="238"/>
      <c r="AW27" s="37">
        <v>0.58242618348722919</v>
      </c>
      <c r="AX27" s="43" t="e">
        <f t="shared" si="33"/>
        <v>#DIV/0!</v>
      </c>
      <c r="AY27" s="63"/>
      <c r="AZ27" s="63"/>
      <c r="BA27" s="63"/>
      <c r="BB27" s="38">
        <v>3356690310.8696609</v>
      </c>
      <c r="BC27" s="39">
        <f t="shared" si="34"/>
        <v>1.7351204000000004E-10</v>
      </c>
      <c r="BD27" s="39"/>
      <c r="BE27" s="39"/>
      <c r="BF27" s="39"/>
      <c r="BG27" s="39"/>
      <c r="BH27" s="98">
        <f t="shared" si="5"/>
        <v>0</v>
      </c>
      <c r="BI27" s="39">
        <f t="shared" si="35"/>
        <v>0</v>
      </c>
      <c r="BJ27" s="39">
        <f t="shared" si="36"/>
        <v>-1</v>
      </c>
      <c r="BK27" s="44">
        <f t="shared" si="37"/>
        <v>2.5114095916909632E-4</v>
      </c>
      <c r="BL27" s="45">
        <f t="shared" si="6"/>
        <v>2319.1206460873409</v>
      </c>
      <c r="BM27" s="45"/>
      <c r="BN27" s="46">
        <f t="shared" si="38"/>
        <v>0</v>
      </c>
      <c r="BO27" s="46">
        <f t="shared" si="20"/>
        <v>-1</v>
      </c>
      <c r="BP27" s="40">
        <f t="shared" si="7"/>
        <v>7.9274661762207006E-3</v>
      </c>
      <c r="BQ27" s="41">
        <v>73.469400000000007</v>
      </c>
      <c r="BR27" s="70">
        <f t="shared" si="8"/>
        <v>4.3421936455089147</v>
      </c>
      <c r="BS27" s="41">
        <f t="shared" si="39"/>
        <v>0</v>
      </c>
      <c r="BT27" s="48">
        <f t="shared" si="21"/>
        <v>-1</v>
      </c>
      <c r="BW27"/>
      <c r="BX27"/>
      <c r="BY27" s="8"/>
      <c r="BZ27" s="8"/>
    </row>
    <row r="28" spans="1:78" x14ac:dyDescent="0.25">
      <c r="A28" s="4" t="s">
        <v>41</v>
      </c>
      <c r="B28" s="31"/>
      <c r="C28" s="11">
        <v>2</v>
      </c>
      <c r="D28" s="25">
        <v>12.27</v>
      </c>
      <c r="E28" s="25">
        <v>11.73</v>
      </c>
      <c r="F28" s="22">
        <f t="shared" si="0"/>
        <v>2.0523070712999998E-26</v>
      </c>
      <c r="G28" s="22">
        <f t="shared" si="1"/>
        <v>1.0685309308799999E-29</v>
      </c>
      <c r="H28" s="24">
        <f t="shared" si="10"/>
        <v>2009.1011113290388</v>
      </c>
      <c r="I28" s="24">
        <f t="shared" si="11"/>
        <v>1.0460358056265984</v>
      </c>
      <c r="J28" s="26">
        <f t="shared" si="12"/>
        <v>2.0512385403691198E-26</v>
      </c>
      <c r="K28" s="4">
        <v>31.62816999999999</v>
      </c>
      <c r="L28" s="11">
        <f>0.118*EXP(30100/(8.3144598*N28))/1000</f>
        <v>1.6585959930776259E-2</v>
      </c>
      <c r="M28" s="27">
        <f t="shared" si="13"/>
        <v>1.366120218579235E-3</v>
      </c>
      <c r="N28" s="4">
        <v>732</v>
      </c>
      <c r="O28" s="4">
        <v>1.59424661503112E-5</v>
      </c>
      <c r="P28" s="4">
        <v>1.6222658639521151E-4</v>
      </c>
      <c r="T28" s="22">
        <f>0.73*T2+0.27*T10</f>
        <v>1.9765999999999999E-10</v>
      </c>
      <c r="U28" s="22"/>
      <c r="V28" s="22"/>
      <c r="W28" s="22"/>
      <c r="X28" s="8">
        <v>1989043.9480000001</v>
      </c>
      <c r="Y28" s="4">
        <v>2547.687552638462</v>
      </c>
      <c r="AC28" s="4">
        <v>2</v>
      </c>
      <c r="AD28" s="4">
        <v>3</v>
      </c>
      <c r="AE28" s="11">
        <f t="shared" si="16"/>
        <v>5</v>
      </c>
      <c r="AF28" s="62">
        <f t="shared" si="2"/>
        <v>7.4333870635594575E-7</v>
      </c>
      <c r="AG28" s="62"/>
      <c r="AH28" s="62">
        <v>0.98602842355479869</v>
      </c>
      <c r="AI28" s="37"/>
      <c r="AJ28" s="62"/>
      <c r="AK28" s="62"/>
      <c r="AL28" s="62"/>
      <c r="AM28" s="62"/>
      <c r="AN28" s="62"/>
      <c r="AO28" s="235"/>
      <c r="AP28" s="62"/>
      <c r="AQ28" s="235"/>
      <c r="AR28" s="62"/>
      <c r="AS28" s="62"/>
      <c r="AT28" s="238"/>
      <c r="AU28" s="239"/>
      <c r="AV28" s="238"/>
      <c r="AW28" s="37">
        <v>0.66180310738547476</v>
      </c>
      <c r="AX28" s="43" t="e">
        <f t="shared" si="33"/>
        <v>#DIV/0!</v>
      </c>
      <c r="AY28" s="63"/>
      <c r="AZ28" s="63"/>
      <c r="BA28" s="63"/>
      <c r="BB28" s="38">
        <v>3760693647.4549508</v>
      </c>
      <c r="BC28" s="39">
        <f t="shared" si="34"/>
        <v>1.7597899999999999E-10</v>
      </c>
      <c r="BD28" s="39"/>
      <c r="BE28" s="39"/>
      <c r="BF28" s="39"/>
      <c r="BG28" s="39"/>
      <c r="BH28" s="98">
        <f t="shared" si="5"/>
        <v>0</v>
      </c>
      <c r="BI28" s="39">
        <f t="shared" si="35"/>
        <v>0</v>
      </c>
      <c r="BJ28" s="39">
        <f t="shared" si="36"/>
        <v>-1</v>
      </c>
      <c r="BK28" s="44">
        <f t="shared" si="37"/>
        <v>2.5976619727175398E-4</v>
      </c>
      <c r="BL28" s="45">
        <f t="shared" si="6"/>
        <v>2547.687552638462</v>
      </c>
      <c r="BM28" s="45"/>
      <c r="BN28" s="46">
        <f t="shared" si="38"/>
        <v>0</v>
      </c>
      <c r="BO28" s="46">
        <f t="shared" si="20"/>
        <v>-1</v>
      </c>
      <c r="BP28" s="40">
        <f t="shared" si="7"/>
        <v>9.3741144688377284E-3</v>
      </c>
      <c r="BQ28" s="41">
        <v>70.599000000000004</v>
      </c>
      <c r="BR28" s="70">
        <f t="shared" si="8"/>
        <v>4.4283612920590647</v>
      </c>
      <c r="BS28" s="41">
        <f t="shared" si="39"/>
        <v>0</v>
      </c>
      <c r="BT28" s="48">
        <f t="shared" si="21"/>
        <v>-1</v>
      </c>
      <c r="BW28"/>
      <c r="BX28"/>
      <c r="BY28" s="8">
        <f>L28/(X28/1000*(Y28+Z28*N28))</f>
        <v>3.2730306153599925E-9</v>
      </c>
      <c r="BZ28" s="8"/>
    </row>
    <row r="29" spans="1:78" x14ac:dyDescent="0.25">
      <c r="A29" s="4" t="s">
        <v>42</v>
      </c>
      <c r="B29" s="31"/>
      <c r="C29" s="11">
        <v>3</v>
      </c>
      <c r="D29" s="25">
        <v>13.154999999999999</v>
      </c>
      <c r="E29" s="25">
        <v>12.86</v>
      </c>
      <c r="F29" s="22">
        <f t="shared" si="0"/>
        <v>2.2003341094499998E-26</v>
      </c>
      <c r="G29" s="22">
        <f t="shared" si="1"/>
        <v>1.1714669881599998E-29</v>
      </c>
      <c r="H29" s="24">
        <f t="shared" si="10"/>
        <v>1921.3587403123072</v>
      </c>
      <c r="I29" s="24">
        <f t="shared" si="11"/>
        <v>1.0229393468118195</v>
      </c>
      <c r="J29" s="26">
        <f t="shared" si="12"/>
        <v>2.1991626424618399E-26</v>
      </c>
      <c r="K29" s="4">
        <v>34.403649999999985</v>
      </c>
      <c r="L29" s="11">
        <f>0.123*EXP(29800/(8.3144598*N29))/1000</f>
        <v>1.6457220475546555E-2</v>
      </c>
      <c r="M29" s="27">
        <f t="shared" si="13"/>
        <v>1.366120218579235E-3</v>
      </c>
      <c r="N29" s="4">
        <v>732</v>
      </c>
      <c r="O29" s="4">
        <v>1.6204764243863241E-5</v>
      </c>
      <c r="P29" s="4">
        <v>1.625831359942148E-4</v>
      </c>
      <c r="T29" s="22">
        <f>0.725*T2+0.265*T10+0.01*T21</f>
        <v>1.9799999999999999E-10</v>
      </c>
      <c r="U29" s="22"/>
      <c r="V29" s="22"/>
      <c r="W29" s="22"/>
      <c r="X29" s="8">
        <v>2039490.53</v>
      </c>
      <c r="Y29" s="4">
        <v>2441.8705732183512</v>
      </c>
      <c r="AC29" s="4">
        <v>3</v>
      </c>
      <c r="AD29" s="4">
        <v>7</v>
      </c>
      <c r="AE29" s="11">
        <f t="shared" si="16"/>
        <v>10</v>
      </c>
      <c r="AF29" s="62">
        <f t="shared" si="2"/>
        <v>7.1187944439400742E-7</v>
      </c>
      <c r="AG29" s="62"/>
      <c r="AH29" s="62">
        <v>0.89056771657477962</v>
      </c>
      <c r="AI29" s="37"/>
      <c r="AJ29" s="62"/>
      <c r="AK29" s="62"/>
      <c r="AL29" s="62"/>
      <c r="AM29" s="62"/>
      <c r="AN29" s="62"/>
      <c r="AO29" s="235"/>
      <c r="AP29" s="62"/>
      <c r="AQ29" s="235"/>
      <c r="AR29" s="62"/>
      <c r="AS29" s="62"/>
      <c r="AT29" s="238"/>
      <c r="AU29" s="239"/>
      <c r="AV29" s="238"/>
      <c r="AW29" s="37">
        <v>0.63042335803936922</v>
      </c>
      <c r="AX29" s="43" t="e">
        <f t="shared" si="33"/>
        <v>#DIV/0!</v>
      </c>
      <c r="AY29" s="63"/>
      <c r="AZ29" s="63"/>
      <c r="BA29" s="63"/>
      <c r="BB29" s="38">
        <v>3595350729.2626648</v>
      </c>
      <c r="BC29" s="39">
        <f t="shared" si="34"/>
        <v>1.7534405000000001E-10</v>
      </c>
      <c r="BD29" s="39"/>
      <c r="BE29" s="39"/>
      <c r="BF29" s="39"/>
      <c r="BG29" s="39"/>
      <c r="BH29" s="98">
        <f t="shared" si="5"/>
        <v>0</v>
      </c>
      <c r="BI29" s="39">
        <f t="shared" si="35"/>
        <v>0</v>
      </c>
      <c r="BJ29" s="39">
        <f t="shared" si="36"/>
        <v>-1</v>
      </c>
      <c r="BK29" s="44">
        <f t="shared" si="37"/>
        <v>2.5817230649062621E-4</v>
      </c>
      <c r="BL29" s="45">
        <f t="shared" si="6"/>
        <v>2441.8705732183512</v>
      </c>
      <c r="BM29" s="45"/>
      <c r="BN29" s="46">
        <f t="shared" si="38"/>
        <v>0</v>
      </c>
      <c r="BO29" s="46">
        <f t="shared" si="20"/>
        <v>-1</v>
      </c>
      <c r="BP29" s="40">
        <f t="shared" si="7"/>
        <v>8.8074401955806451E-3</v>
      </c>
      <c r="BQ29" s="41">
        <v>71.578500000000005</v>
      </c>
      <c r="BR29" s="70">
        <f t="shared" si="8"/>
        <v>4.4171268969313671</v>
      </c>
      <c r="BS29" s="41">
        <f t="shared" si="39"/>
        <v>0</v>
      </c>
      <c r="BT29" s="48">
        <f t="shared" si="21"/>
        <v>-1</v>
      </c>
      <c r="BW29"/>
      <c r="BX29"/>
      <c r="BY29" s="8">
        <f>L29/(X29/1000*(Y29+Z29*N29))</f>
        <v>3.304548673097048E-9</v>
      </c>
      <c r="BZ29" s="8"/>
    </row>
    <row r="30" spans="1:78" x14ac:dyDescent="0.25">
      <c r="A30" s="4" t="s">
        <v>43</v>
      </c>
      <c r="B30" s="31"/>
      <c r="C30" s="11">
        <v>3</v>
      </c>
      <c r="D30" s="25">
        <v>14.04</v>
      </c>
      <c r="E30" s="25">
        <v>13.72</v>
      </c>
      <c r="F30" s="22">
        <f t="shared" si="0"/>
        <v>2.3483611476E-26</v>
      </c>
      <c r="G30" s="22">
        <f t="shared" si="1"/>
        <v>1.2498077043199999E-29</v>
      </c>
      <c r="H30" s="24">
        <f t="shared" si="10"/>
        <v>1922.802532707738</v>
      </c>
      <c r="I30" s="24">
        <f t="shared" si="11"/>
        <v>1.0233236151603498</v>
      </c>
      <c r="J30" s="26">
        <f t="shared" si="12"/>
        <v>2.3471113398956799E-26</v>
      </c>
      <c r="K30" s="4">
        <v>37.179130000000008</v>
      </c>
      <c r="L30" s="11">
        <f>0.123*EXP(29800/(8.3144598*N30))/1000</f>
        <v>1.6457220475546555E-2</v>
      </c>
      <c r="M30" s="27">
        <f t="shared" si="13"/>
        <v>1.366120218579235E-3</v>
      </c>
      <c r="N30" s="4">
        <v>732</v>
      </c>
      <c r="O30" s="4">
        <v>1.6467062337415279E-5</v>
      </c>
      <c r="P30" s="4">
        <v>1.629283268847662E-4</v>
      </c>
      <c r="T30" s="22">
        <f>0.72*T2+0.26*T10+0.02*T21</f>
        <v>1.9834000000000001E-10</v>
      </c>
      <c r="U30" s="22"/>
      <c r="V30" s="22"/>
      <c r="W30" s="22"/>
      <c r="X30" s="8">
        <v>2089937.112</v>
      </c>
      <c r="Y30" s="4">
        <v>2348.7520215904742</v>
      </c>
      <c r="AC30" s="4">
        <v>3</v>
      </c>
      <c r="AD30" s="4">
        <v>7</v>
      </c>
      <c r="AE30" s="11">
        <f t="shared" si="16"/>
        <v>10</v>
      </c>
      <c r="AF30" s="62">
        <f t="shared" si="2"/>
        <v>6.8421941732878672E-7</v>
      </c>
      <c r="AG30" s="62"/>
      <c r="AH30" s="62">
        <v>0.80397278022492213</v>
      </c>
      <c r="AI30" s="37"/>
      <c r="AJ30" s="62"/>
      <c r="AK30" s="62"/>
      <c r="AL30" s="62"/>
      <c r="AM30" s="62"/>
      <c r="AN30" s="62"/>
      <c r="AO30" s="235"/>
      <c r="AP30" s="62"/>
      <c r="AQ30" s="235"/>
      <c r="AR30" s="62"/>
      <c r="AS30" s="62"/>
      <c r="AT30" s="238"/>
      <c r="AU30" s="239"/>
      <c r="AV30" s="238"/>
      <c r="AW30" s="37">
        <v>0.60277957505526136</v>
      </c>
      <c r="AX30" s="43" t="e">
        <f t="shared" si="33"/>
        <v>#DIV/0!</v>
      </c>
      <c r="AY30" s="63"/>
      <c r="AZ30" s="63"/>
      <c r="BA30" s="63"/>
      <c r="BB30" s="38">
        <v>3449729844.352057</v>
      </c>
      <c r="BC30" s="39">
        <f t="shared" si="34"/>
        <v>1.7473239999999999E-10</v>
      </c>
      <c r="BD30" s="39"/>
      <c r="BE30" s="39"/>
      <c r="BF30" s="39"/>
      <c r="BG30" s="39"/>
      <c r="BH30" s="98">
        <f t="shared" si="5"/>
        <v>0</v>
      </c>
      <c r="BI30" s="39">
        <f t="shared" si="35"/>
        <v>0</v>
      </c>
      <c r="BJ30" s="39">
        <f t="shared" si="36"/>
        <v>-1</v>
      </c>
      <c r="BK30" s="44">
        <f t="shared" si="37"/>
        <v>2.5663823575853054E-4</v>
      </c>
      <c r="BL30" s="45">
        <f t="shared" si="6"/>
        <v>2348.7520215904742</v>
      </c>
      <c r="BM30" s="45"/>
      <c r="BN30" s="46">
        <f t="shared" si="38"/>
        <v>0</v>
      </c>
      <c r="BO30" s="46">
        <f t="shared" si="20"/>
        <v>-1</v>
      </c>
      <c r="BP30" s="40">
        <f t="shared" si="7"/>
        <v>8.3075549912519815E-3</v>
      </c>
      <c r="BQ30" s="41">
        <v>72.558000000000007</v>
      </c>
      <c r="BR30" s="70">
        <f t="shared" si="8"/>
        <v>4.4062503993282949</v>
      </c>
      <c r="BS30" s="41">
        <f t="shared" si="39"/>
        <v>0</v>
      </c>
      <c r="BT30" s="48">
        <f t="shared" si="21"/>
        <v>-1</v>
      </c>
      <c r="BW30"/>
      <c r="BX30"/>
      <c r="BY30" s="8">
        <f>L30/(X30/1000*(Y30+Z30*N30))</f>
        <v>3.352633671505172E-9</v>
      </c>
      <c r="BZ30" s="8"/>
    </row>
    <row r="31" spans="1:78" x14ac:dyDescent="0.25">
      <c r="A31" s="4" t="s">
        <v>44</v>
      </c>
      <c r="B31" s="31"/>
      <c r="C31" s="11">
        <v>2</v>
      </c>
      <c r="D31" s="25">
        <v>31.24</v>
      </c>
      <c r="E31" s="25">
        <v>30.56</v>
      </c>
      <c r="F31" s="22">
        <f t="shared" si="0"/>
        <v>5.2252708155999992E-26</v>
      </c>
      <c r="G31" s="22">
        <f t="shared" si="1"/>
        <v>2.7838282393599999E-29</v>
      </c>
      <c r="H31" s="24">
        <f t="shared" si="10"/>
        <v>1918.7749643041277</v>
      </c>
      <c r="I31" s="24">
        <f t="shared" si="11"/>
        <v>1.0222513089005236</v>
      </c>
      <c r="J31" s="26">
        <f t="shared" si="12"/>
        <v>5.2224869873606396E-26</v>
      </c>
      <c r="K31" s="4">
        <v>88.599896000000015</v>
      </c>
      <c r="L31" s="11"/>
      <c r="M31" s="27">
        <f t="shared" si="13"/>
        <v>1.4335889900365566E-3</v>
      </c>
      <c r="N31" s="4">
        <v>697.55</v>
      </c>
      <c r="O31" s="4">
        <v>5.0411903343394867E-5</v>
      </c>
      <c r="P31" s="4">
        <v>2.3528262366250769E-4</v>
      </c>
      <c r="T31" s="22">
        <f>0.32*T9+0.68*T14</f>
        <v>2.7411999999999998E-10</v>
      </c>
      <c r="U31" s="22"/>
      <c r="V31" s="22"/>
      <c r="W31" s="22"/>
      <c r="X31" s="8">
        <v>1755710.5584</v>
      </c>
      <c r="Y31" s="4">
        <v>2039.5014589190009</v>
      </c>
      <c r="AC31" s="4">
        <v>2</v>
      </c>
      <c r="AD31" s="4">
        <v>3</v>
      </c>
      <c r="AE31" s="11">
        <f t="shared" si="16"/>
        <v>5</v>
      </c>
      <c r="AF31" s="62">
        <f t="shared" si="2"/>
        <v>3.1844809429710101E-7</v>
      </c>
      <c r="AG31" s="62"/>
      <c r="AH31" s="62">
        <v>0.45966666666666672</v>
      </c>
      <c r="AI31" s="37"/>
      <c r="AJ31" s="62"/>
      <c r="AK31" s="62"/>
      <c r="AL31" s="62"/>
      <c r="AM31" s="62"/>
      <c r="AN31" s="62"/>
      <c r="AO31" s="235"/>
      <c r="AP31" s="62"/>
      <c r="AQ31" s="235"/>
      <c r="AR31" s="62"/>
      <c r="AS31" s="62"/>
      <c r="AT31" s="238"/>
      <c r="AU31" s="239"/>
      <c r="AV31" s="238"/>
      <c r="AW31" s="37">
        <v>0.26536256928250768</v>
      </c>
      <c r="AX31" s="43" t="e">
        <f t="shared" si="33"/>
        <v>#DIV/0!</v>
      </c>
      <c r="AY31" s="63"/>
      <c r="AZ31" s="63"/>
      <c r="BA31" s="63"/>
      <c r="BB31" s="38">
        <v>1161710543.9117939</v>
      </c>
      <c r="BC31" s="39">
        <f t="shared" si="34"/>
        <v>2.2842400000000006E-10</v>
      </c>
      <c r="BD31" s="39"/>
      <c r="BE31" s="39"/>
      <c r="BF31" s="39"/>
      <c r="BG31" s="39"/>
      <c r="BH31" s="98">
        <f t="shared" si="5"/>
        <v>0</v>
      </c>
      <c r="BI31" s="39">
        <f t="shared" si="35"/>
        <v>0</v>
      </c>
      <c r="BJ31" s="39">
        <f t="shared" si="36"/>
        <v>-1</v>
      </c>
      <c r="BK31" s="44">
        <f t="shared" si="37"/>
        <v>1.3011148784524923E-4</v>
      </c>
      <c r="BL31" s="45">
        <f t="shared" si="6"/>
        <v>2039.5014589190009</v>
      </c>
      <c r="BM31" s="45"/>
      <c r="BN31" s="46">
        <f t="shared" si="38"/>
        <v>0</v>
      </c>
      <c r="BO31" s="46">
        <f t="shared" si="20"/>
        <v>-1</v>
      </c>
      <c r="BP31" s="40">
        <f t="shared" si="7"/>
        <v>3.0804304165936228E-3</v>
      </c>
      <c r="BQ31" s="41">
        <v>86.14464000000001</v>
      </c>
      <c r="BR31" s="70">
        <f t="shared" si="8"/>
        <v>1.7088154639431397</v>
      </c>
      <c r="BS31" s="41">
        <f t="shared" si="39"/>
        <v>0</v>
      </c>
      <c r="BT31" s="48">
        <f t="shared" si="21"/>
        <v>-1</v>
      </c>
      <c r="BW31"/>
      <c r="BX31"/>
      <c r="BY31" s="8"/>
      <c r="BZ31" s="8"/>
    </row>
    <row r="32" spans="1:78" x14ac:dyDescent="0.25">
      <c r="A32" s="4" t="s">
        <v>48</v>
      </c>
      <c r="B32" s="31"/>
      <c r="C32" s="11">
        <v>3</v>
      </c>
      <c r="D32" s="25">
        <v>31.2639</v>
      </c>
      <c r="E32" s="25">
        <v>31.1128</v>
      </c>
      <c r="F32" s="22">
        <f t="shared" si="0"/>
        <v>5.2292683819409995E-26</v>
      </c>
      <c r="G32" s="22">
        <f t="shared" si="1"/>
        <v>2.8341849229567998E-29</v>
      </c>
      <c r="H32" s="24">
        <f t="shared" si="10"/>
        <v>1854.0301999029296</v>
      </c>
      <c r="I32" s="24">
        <f t="shared" si="11"/>
        <v>1.004856522074516</v>
      </c>
      <c r="J32" s="26">
        <f t="shared" si="12"/>
        <v>5.2264341970180427E-26</v>
      </c>
      <c r="K32" s="4">
        <v>70.265004930000003</v>
      </c>
      <c r="L32" s="11"/>
      <c r="M32" s="27">
        <f t="shared" si="13"/>
        <v>1.4824697946779336E-3</v>
      </c>
      <c r="N32" s="4">
        <v>674.55</v>
      </c>
      <c r="O32" s="4">
        <v>3.9907749542334093E-5</v>
      </c>
      <c r="P32" s="4">
        <v>3.2881887812902358E-4</v>
      </c>
      <c r="T32" s="22">
        <f>0.4598*T8+0.3891*T9+0.1511*T14</f>
        <v>2.9247459999999999E-10</v>
      </c>
      <c r="U32" s="22"/>
      <c r="V32" s="22"/>
      <c r="W32" s="22"/>
      <c r="X32" s="8">
        <v>1761444.9958345001</v>
      </c>
      <c r="Y32" s="4">
        <v>2024.776905844504</v>
      </c>
      <c r="AC32" s="4">
        <v>3</v>
      </c>
      <c r="AD32" s="4">
        <v>4</v>
      </c>
      <c r="AE32" s="11">
        <f t="shared" si="16"/>
        <v>7</v>
      </c>
      <c r="AF32" s="62">
        <f t="shared" si="2"/>
        <v>3.6878913157884631E-7</v>
      </c>
      <c r="AG32" s="62"/>
      <c r="AH32" s="62">
        <v>0.46554761904761921</v>
      </c>
      <c r="AI32" s="37"/>
      <c r="AJ32" s="62"/>
      <c r="AK32" s="62"/>
      <c r="AL32" s="62"/>
      <c r="AM32" s="62"/>
      <c r="AN32" s="62"/>
      <c r="AO32" s="235"/>
      <c r="AP32" s="62"/>
      <c r="AQ32" s="235"/>
      <c r="AR32" s="62"/>
      <c r="AS32" s="62"/>
      <c r="AT32" s="238"/>
      <c r="AU32" s="239"/>
      <c r="AV32" s="238"/>
      <c r="AW32" s="37">
        <v>0.28383633978433381</v>
      </c>
      <c r="AX32" s="43" t="e">
        <f t="shared" si="33"/>
        <v>#DIV/0!</v>
      </c>
      <c r="AY32" s="63"/>
      <c r="AZ32" s="63"/>
      <c r="BA32" s="63"/>
      <c r="BB32" s="38">
        <v>1260927039.745832</v>
      </c>
      <c r="BC32" s="39">
        <f t="shared" si="34"/>
        <v>2.2510131898000011E-10</v>
      </c>
      <c r="BD32" s="39"/>
      <c r="BE32" s="39"/>
      <c r="BF32" s="39"/>
      <c r="BG32" s="39"/>
      <c r="BH32" s="98">
        <f t="shared" si="5"/>
        <v>0</v>
      </c>
      <c r="BI32" s="39">
        <f t="shared" si="35"/>
        <v>0</v>
      </c>
      <c r="BJ32" s="39">
        <f t="shared" si="36"/>
        <v>-1</v>
      </c>
      <c r="BK32" s="44">
        <f t="shared" si="37"/>
        <v>1.4018153751410453E-4</v>
      </c>
      <c r="BL32" s="45">
        <f t="shared" si="6"/>
        <v>2024.776905844504</v>
      </c>
      <c r="BM32" s="45"/>
      <c r="BN32" s="46">
        <f t="shared" si="38"/>
        <v>0</v>
      </c>
      <c r="BO32" s="46">
        <f t="shared" si="20"/>
        <v>-1</v>
      </c>
      <c r="BP32" s="40">
        <f t="shared" si="7"/>
        <v>3.8069460808386811E-3</v>
      </c>
      <c r="BQ32" s="41">
        <v>74.557488799999987</v>
      </c>
      <c r="BR32" s="70">
        <f t="shared" si="8"/>
        <v>1.8682458834445048</v>
      </c>
      <c r="BS32" s="41">
        <f t="shared" si="39"/>
        <v>0</v>
      </c>
      <c r="BT32" s="48">
        <f t="shared" si="21"/>
        <v>-1</v>
      </c>
      <c r="BU32" t="s">
        <v>128</v>
      </c>
      <c r="BV32" t="s">
        <v>222</v>
      </c>
      <c r="BW32"/>
      <c r="BX32"/>
      <c r="BY32" s="8"/>
      <c r="BZ32" s="8"/>
    </row>
    <row r="33" spans="1:78" x14ac:dyDescent="0.25">
      <c r="A33" s="4" t="s">
        <v>49</v>
      </c>
      <c r="B33" s="31"/>
      <c r="C33" s="11">
        <v>3</v>
      </c>
      <c r="D33" s="25">
        <v>24.785</v>
      </c>
      <c r="E33" s="25">
        <v>24.72</v>
      </c>
      <c r="F33" s="22">
        <f t="shared" si="0"/>
        <v>4.1455933791499998E-26</v>
      </c>
      <c r="G33" s="22">
        <f t="shared" si="1"/>
        <v>2.2518401203199998E-29</v>
      </c>
      <c r="H33" s="24">
        <f t="shared" si="10"/>
        <v>1845.8211004781881</v>
      </c>
      <c r="I33" s="24">
        <f t="shared" si="11"/>
        <v>1.0026294498381878</v>
      </c>
      <c r="J33" s="26">
        <f t="shared" si="12"/>
        <v>4.1433415390296795E-26</v>
      </c>
      <c r="K33" s="4">
        <v>52.812707000000003</v>
      </c>
      <c r="L33" s="11"/>
      <c r="M33" s="27">
        <f t="shared" si="13"/>
        <v>1.0416666666666667E-3</v>
      </c>
      <c r="N33" s="4">
        <v>960</v>
      </c>
      <c r="O33" s="4">
        <v>2.5195547395480521E-5</v>
      </c>
      <c r="P33" s="4">
        <v>3.1944977764052052E-4</v>
      </c>
      <c r="T33" s="22">
        <f>0.345*T3+0.59*T4+0.065*T11</f>
        <v>2.5429000000000001E-10</v>
      </c>
      <c r="U33" s="22"/>
      <c r="V33" s="22"/>
      <c r="W33" s="22"/>
      <c r="X33" s="8">
        <v>2110100.6</v>
      </c>
      <c r="Y33" s="4">
        <v>1885.1934295243609</v>
      </c>
      <c r="AC33" s="4">
        <v>3</v>
      </c>
      <c r="AD33" s="4">
        <v>4</v>
      </c>
      <c r="AE33" s="11">
        <f t="shared" si="16"/>
        <v>7</v>
      </c>
      <c r="AF33" s="62">
        <f t="shared" si="2"/>
        <v>4.4305679600100984E-7</v>
      </c>
      <c r="AG33" s="62"/>
      <c r="AH33" s="62">
        <v>0.71</v>
      </c>
      <c r="AI33" s="37">
        <v>0.766984</v>
      </c>
      <c r="AJ33" s="62" t="s">
        <v>264</v>
      </c>
      <c r="AK33" s="62">
        <f t="shared" si="17"/>
        <v>0.88203159999999992</v>
      </c>
      <c r="AL33" s="62">
        <f t="shared" si="18"/>
        <v>0.65193639999999997</v>
      </c>
      <c r="AM33" s="235">
        <v>2.56459E-10</v>
      </c>
      <c r="AN33" s="62">
        <v>0.497568288937763</v>
      </c>
      <c r="AO33" s="235">
        <f>ABS(AI33-AN33)/AI33</f>
        <v>0.35126640329164233</v>
      </c>
      <c r="AP33" s="62">
        <v>0.59758620590054001</v>
      </c>
      <c r="AQ33" s="235">
        <f>ABS(AI33-AP33)/AI33</f>
        <v>0.22086222672110498</v>
      </c>
      <c r="AR33" s="62">
        <v>2.5852465501681299E-2</v>
      </c>
      <c r="AS33" s="62">
        <v>0.52021967045531803</v>
      </c>
      <c r="AT33" s="238">
        <f t="shared" si="19"/>
        <v>0.32173334716849633</v>
      </c>
      <c r="AU33" s="239">
        <v>0.52021967045531803</v>
      </c>
      <c r="AV33" s="238">
        <f t="shared" si="19"/>
        <v>0.32173334716849633</v>
      </c>
      <c r="AW33" s="37">
        <v>0.33711022330844781</v>
      </c>
      <c r="AX33" s="43">
        <f t="shared" si="33"/>
        <v>0.56047293905942264</v>
      </c>
      <c r="AY33" s="63"/>
      <c r="AZ33" s="63"/>
      <c r="BA33" s="63"/>
      <c r="BB33" s="38">
        <v>1742328821.428329</v>
      </c>
      <c r="BC33" s="39">
        <f t="shared" si="34"/>
        <v>1.9348255000000005E-10</v>
      </c>
      <c r="BD33" s="39"/>
      <c r="BE33" s="39"/>
      <c r="BF33" s="39">
        <v>2.7673725426276617E-10</v>
      </c>
      <c r="BG33" s="39"/>
      <c r="BH33" s="98">
        <f t="shared" si="5"/>
        <v>4.4020622890875481E-4</v>
      </c>
      <c r="BI33" s="39">
        <f t="shared" si="35"/>
        <v>4.4020622890875483E-10</v>
      </c>
      <c r="BJ33" s="39">
        <f t="shared" si="36"/>
        <v>1.275172768338823</v>
      </c>
      <c r="BK33" s="44">
        <f t="shared" si="37"/>
        <v>1.7881996511811605E-4</v>
      </c>
      <c r="BL33" s="45">
        <f t="shared" si="6"/>
        <v>1885.1934295243609</v>
      </c>
      <c r="BM33" s="45"/>
      <c r="BN33" s="46">
        <f t="shared" si="38"/>
        <v>4289.1407539051006</v>
      </c>
      <c r="BO33" s="46">
        <f t="shared" si="20"/>
        <v>1.2751727683388232</v>
      </c>
      <c r="BP33" s="40">
        <f t="shared" si="7"/>
        <v>4.8256149689507762E-3</v>
      </c>
      <c r="BQ33" s="41">
        <v>69.858500000000006</v>
      </c>
      <c r="BR33" s="70">
        <f t="shared" si="8"/>
        <v>2.7726526002182013</v>
      </c>
      <c r="BS33" s="41">
        <f t="shared" si="39"/>
        <v>158.94015683699766</v>
      </c>
      <c r="BT33" s="48">
        <f t="shared" si="21"/>
        <v>1.2751727683388228</v>
      </c>
      <c r="BU33">
        <f>2.08*100^3/1000</f>
        <v>2080</v>
      </c>
      <c r="BV33">
        <f>1.35*1000</f>
        <v>1350</v>
      </c>
      <c r="BW33">
        <f>BV33*BU33</f>
        <v>2808000</v>
      </c>
      <c r="BX33" s="70">
        <f>BQ33/O33</f>
        <v>2772652.6002182015</v>
      </c>
      <c r="BY33" s="8"/>
      <c r="BZ33" s="8"/>
    </row>
    <row r="34" spans="1:78" x14ac:dyDescent="0.25">
      <c r="A34" s="4" t="s">
        <v>50</v>
      </c>
      <c r="B34" s="31"/>
      <c r="C34" s="11">
        <v>2</v>
      </c>
      <c r="D34" s="25">
        <v>26.687999999999999</v>
      </c>
      <c r="E34" s="25">
        <v>26.687999999999999</v>
      </c>
      <c r="F34" s="22">
        <f t="shared" si="0"/>
        <v>4.46389332672E-26</v>
      </c>
      <c r="G34" s="22">
        <f t="shared" si="1"/>
        <v>2.4311128289279996E-29</v>
      </c>
      <c r="H34" s="24">
        <f t="shared" si="10"/>
        <v>1836.1522647586687</v>
      </c>
      <c r="I34" s="24">
        <f t="shared" si="11"/>
        <v>1</v>
      </c>
      <c r="J34" s="26">
        <f t="shared" si="12"/>
        <v>4.4614622138910719E-26</v>
      </c>
      <c r="K34" s="4">
        <v>55.835751400000007</v>
      </c>
      <c r="L34" s="11">
        <f>0.087*EXP(20900/(8.3144598*N34))/1000</f>
        <v>4.643717802745531E-3</v>
      </c>
      <c r="M34" s="27">
        <f t="shared" si="13"/>
        <v>1.5822784810126582E-3</v>
      </c>
      <c r="N34" s="4">
        <v>632</v>
      </c>
      <c r="O34" s="4">
        <v>3.2950648962882389E-5</v>
      </c>
      <c r="P34" s="4">
        <v>3.3829968336054601E-4</v>
      </c>
      <c r="T34" s="22">
        <f>0.582*T7+0.418*T9</f>
        <v>2.8291599999999996E-10</v>
      </c>
      <c r="U34" s="22"/>
      <c r="V34" s="22"/>
      <c r="W34" s="22"/>
      <c r="X34" s="8">
        <v>1676175.3472</v>
      </c>
      <c r="Y34" s="4">
        <v>2084.8843456983841</v>
      </c>
      <c r="AC34" s="4">
        <v>2</v>
      </c>
      <c r="AD34" s="4">
        <v>2</v>
      </c>
      <c r="AE34" s="11">
        <f t="shared" si="16"/>
        <v>4</v>
      </c>
      <c r="AF34" s="62">
        <f t="shared" si="2"/>
        <v>4.0937294269104431E-7</v>
      </c>
      <c r="AG34" s="62"/>
      <c r="AH34" s="62">
        <v>0.58438111223711209</v>
      </c>
      <c r="AI34" s="37"/>
      <c r="AJ34" s="62"/>
      <c r="AK34" s="62"/>
      <c r="AL34" s="62"/>
      <c r="AM34" s="62"/>
      <c r="AN34" s="62"/>
      <c r="AO34" s="235"/>
      <c r="AP34" s="62"/>
      <c r="AQ34" s="235"/>
      <c r="AR34" s="62"/>
      <c r="AS34" s="62"/>
      <c r="AT34" s="238"/>
      <c r="AU34" s="239"/>
      <c r="AV34" s="238"/>
      <c r="AW34" s="37">
        <v>0.33404178089988812</v>
      </c>
      <c r="AX34" s="43" t="e">
        <f t="shared" si="33"/>
        <v>#DIV/0!</v>
      </c>
      <c r="AY34" s="63"/>
      <c r="AZ34" s="63"/>
      <c r="BA34" s="63"/>
      <c r="BB34" s="38">
        <v>1446976992.079078</v>
      </c>
      <c r="BC34" s="39">
        <f t="shared" si="34"/>
        <v>2.3085493600000004E-10</v>
      </c>
      <c r="BD34" s="39"/>
      <c r="BE34" s="39"/>
      <c r="BF34" s="39"/>
      <c r="BG34" s="39"/>
      <c r="BH34" s="98">
        <f t="shared" si="5"/>
        <v>0</v>
      </c>
      <c r="BI34" s="39">
        <f t="shared" si="35"/>
        <v>0</v>
      </c>
      <c r="BJ34" s="39">
        <f t="shared" si="36"/>
        <v>-1</v>
      </c>
      <c r="BK34" s="44">
        <f t="shared" si="37"/>
        <v>1.6022077272012539E-4</v>
      </c>
      <c r="BL34" s="45">
        <f t="shared" si="6"/>
        <v>2084.8843456983841</v>
      </c>
      <c r="BM34" s="45"/>
      <c r="BN34" s="46">
        <f t="shared" si="38"/>
        <v>0</v>
      </c>
      <c r="BO34" s="46">
        <f t="shared" si="20"/>
        <v>-1</v>
      </c>
      <c r="BP34" s="40">
        <f t="shared" si="7"/>
        <v>4.8689566300173584E-3</v>
      </c>
      <c r="BQ34" s="41">
        <v>68.606440000000006</v>
      </c>
      <c r="BR34" s="70">
        <f t="shared" si="8"/>
        <v>2.0820967768277479</v>
      </c>
      <c r="BS34" s="41">
        <f t="shared" si="39"/>
        <v>0</v>
      </c>
      <c r="BT34" s="48">
        <f t="shared" si="21"/>
        <v>-1</v>
      </c>
      <c r="BU34" s="240"/>
      <c r="BW34" s="240">
        <f>BW33-BR33</f>
        <v>2807997.2273473996</v>
      </c>
      <c r="BX34"/>
      <c r="BY34" s="8">
        <f t="shared" ref="BY34:BY41" si="40">L34/(X34/1000*(Y34+Z34*N34))</f>
        <v>1.3288146350028744E-9</v>
      </c>
      <c r="BZ34" s="8"/>
    </row>
    <row r="35" spans="1:78" x14ac:dyDescent="0.25">
      <c r="A35" s="4" t="s">
        <v>45</v>
      </c>
      <c r="B35" s="31"/>
      <c r="C35" s="11">
        <v>2</v>
      </c>
      <c r="D35" s="25">
        <v>15.2</v>
      </c>
      <c r="E35" s="25">
        <v>15.2</v>
      </c>
      <c r="F35" s="22">
        <f t="shared" si="0"/>
        <v>2.5423852879999997E-26</v>
      </c>
      <c r="G35" s="22">
        <f t="shared" si="1"/>
        <v>1.3846266111999999E-29</v>
      </c>
      <c r="H35" s="24">
        <f t="shared" si="10"/>
        <v>1836.152264758668</v>
      </c>
      <c r="I35" s="24">
        <f t="shared" si="11"/>
        <v>1</v>
      </c>
      <c r="J35" s="26">
        <f t="shared" si="12"/>
        <v>2.5410006613887998E-26</v>
      </c>
      <c r="K35" s="4">
        <v>32.358600000000003</v>
      </c>
      <c r="L35" s="11">
        <f>0.116*EXP(26800/(8.3144598*N35))/1000</f>
        <v>3.9071251973790879E-3</v>
      </c>
      <c r="M35" s="27">
        <f t="shared" si="13"/>
        <v>1.0911074740861974E-3</v>
      </c>
      <c r="N35" s="4">
        <v>916.5</v>
      </c>
      <c r="O35" s="4">
        <v>1.5885583505580338E-5</v>
      </c>
      <c r="P35" s="4">
        <v>2.7773488865206569E-4</v>
      </c>
      <c r="T35" s="22">
        <f>0.6*T2+0.4*T3</f>
        <v>2.1940000000000001E-10</v>
      </c>
      <c r="U35" s="22"/>
      <c r="V35" s="22"/>
      <c r="W35" s="22"/>
      <c r="X35" s="8">
        <v>2014141.42</v>
      </c>
      <c r="Y35" s="4">
        <v>2298.228366828082</v>
      </c>
      <c r="AC35" s="4">
        <v>2</v>
      </c>
      <c r="AD35" s="4">
        <v>2</v>
      </c>
      <c r="AE35" s="11">
        <f t="shared" si="16"/>
        <v>4</v>
      </c>
      <c r="AF35" s="62">
        <f t="shared" si="2"/>
        <v>7.0465997914461001E-7</v>
      </c>
      <c r="AG35" s="62">
        <f>1/3*BR35*BL35*BE35</f>
        <v>6.1490801049838495E-7</v>
      </c>
      <c r="AH35" s="62">
        <v>0.86544945017475028</v>
      </c>
      <c r="AI35" s="37">
        <v>0.86544945017474995</v>
      </c>
      <c r="AJ35" s="62" t="s">
        <v>265</v>
      </c>
      <c r="AK35" s="62">
        <f t="shared" si="17"/>
        <v>0.9952668677009624</v>
      </c>
      <c r="AL35" s="62">
        <f t="shared" si="18"/>
        <v>0.73563203264853738</v>
      </c>
      <c r="AM35" s="235">
        <v>2.2863800000000001E-10</v>
      </c>
      <c r="AN35" s="62">
        <v>0.77860022830973397</v>
      </c>
      <c r="AO35" s="235">
        <f>ABS(AI35-AN35)/AI35</f>
        <v>0.10035158246097395</v>
      </c>
      <c r="AP35" s="62">
        <v>1.0757818270761199</v>
      </c>
      <c r="AQ35" s="235">
        <f>ABS(AI35-AP35)/AI35</f>
        <v>0.24303253859471521</v>
      </c>
      <c r="AR35" s="62">
        <v>0.32010611298697</v>
      </c>
      <c r="AS35" s="62">
        <v>0.77665760879141199</v>
      </c>
      <c r="AT35" s="238">
        <f t="shared" si="19"/>
        <v>0.10259621906907361</v>
      </c>
      <c r="AU35" s="239">
        <v>0.77665760879141199</v>
      </c>
      <c r="AV35" s="238">
        <f t="shared" si="19"/>
        <v>0.10259621906907361</v>
      </c>
      <c r="AW35" s="37">
        <v>0.56745362404407373</v>
      </c>
      <c r="AX35" s="43">
        <f t="shared" si="33"/>
        <v>0.3443249355239702</v>
      </c>
      <c r="AY35" s="63">
        <f>AI35/(1/3*BL35*BG35)</f>
        <v>4955239.6653887555</v>
      </c>
      <c r="AZ35" s="63">
        <v>1.8525013963514E-7</v>
      </c>
      <c r="BA35" s="63">
        <f>AI35/(AZ35)*0.000001</f>
        <v>4.6717883823423758</v>
      </c>
      <c r="BB35" s="38">
        <v>3211759248.6080689</v>
      </c>
      <c r="BC35" s="39">
        <f t="shared" si="34"/>
        <v>1.7668000000000003E-10</v>
      </c>
      <c r="BD35" s="39"/>
      <c r="BE35" s="39">
        <v>1.9145520037495888E-10</v>
      </c>
      <c r="BF35" s="39">
        <v>2.1702517764419702E-10</v>
      </c>
      <c r="BG35" s="39">
        <v>2.2798439198399093E-10</v>
      </c>
      <c r="BH35" s="98">
        <f t="shared" si="5"/>
        <v>2.6946274087941797E-4</v>
      </c>
      <c r="BI35" s="39">
        <f t="shared" si="35"/>
        <v>2.6946274087941787E-10</v>
      </c>
      <c r="BJ35" s="39">
        <f t="shared" si="36"/>
        <v>0.5251456920954144</v>
      </c>
      <c r="BK35" s="44">
        <f t="shared" si="37"/>
        <v>2.4690915499718129E-4</v>
      </c>
      <c r="BL35" s="45">
        <f t="shared" si="6"/>
        <v>2298.228366828082</v>
      </c>
      <c r="BM35" s="45"/>
      <c r="BN35" s="46">
        <f t="shared" si="38"/>
        <v>3505.1330931193293</v>
      </c>
      <c r="BO35" s="46">
        <f t="shared" si="20"/>
        <v>0.52514569209541451</v>
      </c>
      <c r="BP35" s="40">
        <f t="shared" si="7"/>
        <v>8.5203246853464507E-3</v>
      </c>
      <c r="BQ35" s="41">
        <v>66.600000000000009</v>
      </c>
      <c r="BR35" s="70">
        <f t="shared" si="8"/>
        <v>4.1924805580232256</v>
      </c>
      <c r="BS35" s="41">
        <f t="shared" si="39"/>
        <v>101.57470309355462</v>
      </c>
      <c r="BT35" s="48">
        <f t="shared" si="21"/>
        <v>0.52514569209541451</v>
      </c>
      <c r="BW35"/>
      <c r="BX35"/>
      <c r="BY35" s="8">
        <f t="shared" si="40"/>
        <v>8.4406168446792717E-10</v>
      </c>
      <c r="BZ35" s="8"/>
    </row>
    <row r="36" spans="1:78" x14ac:dyDescent="0.25">
      <c r="A36" s="4" t="s">
        <v>75</v>
      </c>
      <c r="B36" s="31"/>
      <c r="C36" s="11">
        <v>2</v>
      </c>
      <c r="D36" s="25">
        <v>57.97</v>
      </c>
      <c r="E36" s="25">
        <v>57.23</v>
      </c>
      <c r="F36" s="22">
        <f t="shared" si="0"/>
        <v>9.6961891543000003E-26</v>
      </c>
      <c r="G36" s="22">
        <f t="shared" si="1"/>
        <v>5.2133013788799995E-29</v>
      </c>
      <c r="H36" s="24">
        <f t="shared" si="10"/>
        <v>1883.9431857125064</v>
      </c>
      <c r="I36" s="24">
        <f t="shared" si="11"/>
        <v>1.0129302813209855</v>
      </c>
      <c r="J36" s="26">
        <f t="shared" si="12"/>
        <v>9.6909758529211207E-26</v>
      </c>
      <c r="K36" s="4">
        <v>164.240723</v>
      </c>
      <c r="L36" s="11">
        <f>10^(-1.2675+1704/N36+0/N36^2)/1000</f>
        <v>8.0532167424896099E-3</v>
      </c>
      <c r="M36" s="27">
        <f t="shared" si="13"/>
        <v>1.2755102040816326E-3</v>
      </c>
      <c r="N36" s="4">
        <v>784</v>
      </c>
      <c r="O36" s="4">
        <v>4.607843109406244E-5</v>
      </c>
      <c r="P36" s="4">
        <v>3.4092675768507421E-4</v>
      </c>
      <c r="T36" s="22">
        <f>0.63*T8+0.37*T22</f>
        <v>2.8818000000000003E-10</v>
      </c>
      <c r="U36" s="22"/>
      <c r="V36" s="22"/>
      <c r="W36" s="22"/>
      <c r="X36" s="8">
        <v>2996639.6639999989</v>
      </c>
      <c r="Y36" s="4">
        <v>1451.7494609289899</v>
      </c>
      <c r="AC36" s="4">
        <v>2</v>
      </c>
      <c r="AD36" s="4">
        <v>4</v>
      </c>
      <c r="AE36" s="11">
        <f t="shared" si="16"/>
        <v>6</v>
      </c>
      <c r="AF36" s="62">
        <f t="shared" si="2"/>
        <v>3.0071201279338976E-7</v>
      </c>
      <c r="AG36" s="62">
        <f>1/3*BR36*BL36*BE36</f>
        <v>2.8418197786335016E-7</v>
      </c>
      <c r="AH36" s="62">
        <v>0.23926257714495269</v>
      </c>
      <c r="AI36" s="37">
        <v>0.239262577144952</v>
      </c>
      <c r="AJ36" s="62" t="s">
        <v>267</v>
      </c>
      <c r="AK36" s="62">
        <f t="shared" si="17"/>
        <v>0.27515196371669476</v>
      </c>
      <c r="AL36" s="62">
        <f t="shared" si="18"/>
        <v>0.20337319057320918</v>
      </c>
      <c r="AM36" s="62" t="s">
        <v>249</v>
      </c>
      <c r="AN36" s="62">
        <v>0.30100332748313402</v>
      </c>
      <c r="AO36" s="235">
        <f>ABS(AI36-AN36)/AI36</f>
        <v>0.25804599730938171</v>
      </c>
      <c r="AP36" s="62">
        <v>0.114791473222003</v>
      </c>
      <c r="AQ36" s="235">
        <f>ABS(AI36-AP36)/AI36</f>
        <v>0.52022804990326965</v>
      </c>
      <c r="AR36" s="62">
        <v>0.11435208587877101</v>
      </c>
      <c r="AS36" s="62">
        <v>0.31391915321698299</v>
      </c>
      <c r="AT36" s="238">
        <f t="shared" si="19"/>
        <v>0.31202780210296716</v>
      </c>
      <c r="AU36" s="239">
        <v>0.31391915321698299</v>
      </c>
      <c r="AV36" s="238">
        <f t="shared" si="19"/>
        <v>0.31202780210296716</v>
      </c>
      <c r="AW36" s="37">
        <v>0.24768639859495001</v>
      </c>
      <c r="AX36" s="43">
        <f t="shared" si="33"/>
        <v>-3.5207434236130548E-2</v>
      </c>
      <c r="AY36" s="63">
        <f>AI36/(1/3*BL36*BG36)</f>
        <v>1760763.3990940622</v>
      </c>
      <c r="AZ36" s="63">
        <v>1.5836551070475701E-7</v>
      </c>
      <c r="BA36" s="63">
        <f>AI36/(AZ36)*0.000001</f>
        <v>1.5108250280012829</v>
      </c>
      <c r="BB36" s="38">
        <v>1043486754.089075</v>
      </c>
      <c r="BC36" s="39">
        <f t="shared" si="34"/>
        <v>2.3736419999999999E-10</v>
      </c>
      <c r="BD36" s="39"/>
      <c r="BE36" s="39">
        <v>2.7233884546184811E-10</v>
      </c>
      <c r="BF36" s="39">
        <v>3.0068514499498884E-10</v>
      </c>
      <c r="BG36" s="39">
        <v>2.8080404244794684E-10</v>
      </c>
      <c r="BH36" s="98">
        <f t="shared" si="5"/>
        <v>2.2929143681734535E-4</v>
      </c>
      <c r="BI36" s="39">
        <f t="shared" si="35"/>
        <v>2.2929143681734543E-10</v>
      </c>
      <c r="BJ36" s="39">
        <f t="shared" si="36"/>
        <v>-3.4010028397941067E-2</v>
      </c>
      <c r="BK36" s="44">
        <f t="shared" si="37"/>
        <v>1.7061235789021947E-4</v>
      </c>
      <c r="BL36" s="45">
        <f t="shared" si="6"/>
        <v>1451.7494609289899</v>
      </c>
      <c r="BM36" s="45"/>
      <c r="BN36" s="46">
        <f t="shared" si="38"/>
        <v>1402.3754205360992</v>
      </c>
      <c r="BO36" s="46">
        <f t="shared" si="20"/>
        <v>-3.4010028397941164E-2</v>
      </c>
      <c r="BP36" s="40">
        <f t="shared" si="7"/>
        <v>2.4928029681277083E-3</v>
      </c>
      <c r="BQ36" s="41">
        <v>99.360600000000005</v>
      </c>
      <c r="BR36" s="70">
        <f t="shared" si="8"/>
        <v>2.156336438564276</v>
      </c>
      <c r="BS36" s="41">
        <f t="shared" si="39"/>
        <v>95.981343172363552</v>
      </c>
      <c r="BT36" s="48">
        <f t="shared" si="21"/>
        <v>-3.401002839794097E-2</v>
      </c>
      <c r="BW36"/>
      <c r="BX36"/>
      <c r="BY36" s="8">
        <f t="shared" si="40"/>
        <v>1.8511567318115176E-9</v>
      </c>
      <c r="BZ36" s="8"/>
    </row>
    <row r="37" spans="1:78" x14ac:dyDescent="0.25">
      <c r="A37" s="4" t="s">
        <v>76</v>
      </c>
      <c r="B37" s="31"/>
      <c r="C37" s="11">
        <v>2</v>
      </c>
      <c r="D37" s="25">
        <v>55.701999999999998</v>
      </c>
      <c r="E37" s="25">
        <v>55.018000000000001</v>
      </c>
      <c r="F37" s="22">
        <f t="shared" si="0"/>
        <v>9.3168385073799999E-26</v>
      </c>
      <c r="G37" s="22">
        <f t="shared" si="1"/>
        <v>5.0118017694079994E-29</v>
      </c>
      <c r="H37" s="24">
        <f t="shared" si="10"/>
        <v>1882.0912368640552</v>
      </c>
      <c r="I37" s="24">
        <f t="shared" si="11"/>
        <v>1.0124322948853102</v>
      </c>
      <c r="J37" s="26">
        <f t="shared" si="12"/>
        <v>9.3118267056105916E-26</v>
      </c>
      <c r="K37" s="4">
        <v>156.23418179999999</v>
      </c>
      <c r="L37" s="11">
        <f>10^(-1.2179+1557/N37+0/N37^2)/1000</f>
        <v>5.8623181999963962E-3</v>
      </c>
      <c r="M37" s="27">
        <f>N37^-1</f>
        <v>1.2755102040816326E-3</v>
      </c>
      <c r="N37" s="4">
        <v>784</v>
      </c>
      <c r="O37" s="4">
        <v>4.5172248870240592E-5</v>
      </c>
      <c r="P37" s="4">
        <v>3.4144514086291769E-4</v>
      </c>
      <c r="T37" s="22">
        <f>0.658*T8+0.342*T22</f>
        <v>2.8778800000000003E-10</v>
      </c>
      <c r="U37" s="22"/>
      <c r="V37" s="22"/>
      <c r="W37" s="22"/>
      <c r="X37" s="8">
        <v>2899543.8624</v>
      </c>
      <c r="Y37" s="4">
        <v>1470.4555590061771</v>
      </c>
      <c r="AC37" s="4">
        <v>2</v>
      </c>
      <c r="AD37" s="4">
        <v>4</v>
      </c>
      <c r="AE37" s="11">
        <f t="shared" si="16"/>
        <v>6</v>
      </c>
      <c r="AF37" s="62">
        <f t="shared" si="2"/>
        <v>3.0324621782896998E-7</v>
      </c>
      <c r="AG37" s="62">
        <f>1/3*BR37*BL37*BE37</f>
        <v>2.8696722884280714E-7</v>
      </c>
      <c r="AH37" s="62">
        <v>0.27567442291687039</v>
      </c>
      <c r="AI37" s="37">
        <v>0.27567442291687</v>
      </c>
      <c r="AJ37" s="62" t="s">
        <v>266</v>
      </c>
      <c r="AK37" s="62">
        <f t="shared" si="17"/>
        <v>0.31702558635440048</v>
      </c>
      <c r="AL37" s="62">
        <f t="shared" si="18"/>
        <v>0.23432325947933949</v>
      </c>
      <c r="AM37" s="62" t="s">
        <v>249</v>
      </c>
      <c r="AN37" s="62">
        <v>0.292318880223921</v>
      </c>
      <c r="AO37" s="235">
        <f>ABS(AI37-AN37)/AI37</f>
        <v>6.0377227350069236E-2</v>
      </c>
      <c r="AP37" s="62">
        <v>0.111262755604788</v>
      </c>
      <c r="AQ37" s="235">
        <f>ABS(AI37-AP37)/AI37</f>
        <v>0.59639797400305272</v>
      </c>
      <c r="AR37" s="62">
        <v>0.10674697433861099</v>
      </c>
      <c r="AS37" s="62">
        <v>0.33909843992678401</v>
      </c>
      <c r="AT37" s="238">
        <f t="shared" si="19"/>
        <v>0.23006855818843816</v>
      </c>
      <c r="AU37" s="239">
        <v>0.33909843992678401</v>
      </c>
      <c r="AV37" s="238">
        <f t="shared" si="19"/>
        <v>0.23006855818843816</v>
      </c>
      <c r="AW37" s="37">
        <v>0.25155328115048259</v>
      </c>
      <c r="AX37" s="43">
        <f t="shared" si="33"/>
        <v>8.7498656970658367E-2</v>
      </c>
      <c r="AY37" s="63">
        <f>AI37/(1/3*BL37*BG37)</f>
        <v>1872363.9188224885</v>
      </c>
      <c r="AZ37" s="63">
        <v>1.5836551070475701E-7</v>
      </c>
      <c r="BA37" s="63">
        <f>AI37/(AZ37)*0.000001</f>
        <v>1.7407478540628305</v>
      </c>
      <c r="BB37" s="38">
        <v>1053713906.865366</v>
      </c>
      <c r="BC37" s="39">
        <f t="shared" si="34"/>
        <v>2.3873015199999994E-10</v>
      </c>
      <c r="BD37" s="39"/>
      <c r="BE37" s="39">
        <v>2.7233884546184811E-10</v>
      </c>
      <c r="BF37" s="39">
        <v>3.0068514499498884E-10</v>
      </c>
      <c r="BG37" s="39">
        <v>3.0038314622028315E-10</v>
      </c>
      <c r="BH37" s="98">
        <f t="shared" si="5"/>
        <v>2.6162169932534939E-4</v>
      </c>
      <c r="BI37" s="39">
        <f t="shared" si="35"/>
        <v>2.6162169932534942E-10</v>
      </c>
      <c r="BJ37" s="39">
        <f t="shared" si="36"/>
        <v>9.5888798015549712E-2</v>
      </c>
      <c r="BK37" s="44">
        <f t="shared" si="37"/>
        <v>1.7107166524671954E-4</v>
      </c>
      <c r="BL37" s="45">
        <f t="shared" si="6"/>
        <v>1470.4555590061771</v>
      </c>
      <c r="BM37" s="45"/>
      <c r="BN37" s="46">
        <f t="shared" si="38"/>
        <v>1611.4557750945626</v>
      </c>
      <c r="BO37" s="46">
        <f t="shared" si="20"/>
        <v>9.5888798015549684E-2</v>
      </c>
      <c r="BP37" s="40">
        <f t="shared" si="7"/>
        <v>2.5903963007551708E-3</v>
      </c>
      <c r="BQ37" s="41">
        <v>97.109960000000001</v>
      </c>
      <c r="BR37" s="70">
        <f t="shared" si="8"/>
        <v>2.1497703220167965</v>
      </c>
      <c r="BS37" s="41">
        <f t="shared" si="39"/>
        <v>106.42171733973811</v>
      </c>
      <c r="BT37" s="48">
        <f t="shared" si="21"/>
        <v>9.588879801554967E-2</v>
      </c>
      <c r="BW37"/>
      <c r="BX37"/>
      <c r="BY37" s="8">
        <f t="shared" si="40"/>
        <v>1.3749528367298905E-9</v>
      </c>
      <c r="BZ37" s="8"/>
    </row>
    <row r="38" spans="1:78" s="32" customFormat="1" ht="18" x14ac:dyDescent="0.35">
      <c r="A38" s="32" t="s">
        <v>79</v>
      </c>
      <c r="K38" s="32">
        <v>128.10887</v>
      </c>
      <c r="L38" s="11">
        <f>0.0767*EXP(39300/(8.3144598*N38))/1000</f>
        <v>9.0410766995504526E-3</v>
      </c>
      <c r="N38" s="32">
        <v>991</v>
      </c>
      <c r="O38" s="32">
        <v>3.02434243367421E-5</v>
      </c>
      <c r="P38" s="32">
        <v>2.3876282234647119E-4</v>
      </c>
      <c r="R38" s="33"/>
      <c r="S38" s="33"/>
      <c r="T38" s="236">
        <f>0.582*T3+0.388*T4+0.3*T21</f>
        <v>3.0851800000000002E-10</v>
      </c>
      <c r="U38" s="236"/>
      <c r="V38" s="236"/>
      <c r="W38" s="236"/>
      <c r="X38" s="32">
        <v>3498633.56</v>
      </c>
      <c r="Y38" s="32">
        <f>BL38</f>
        <v>1348.6175138087231</v>
      </c>
      <c r="AC38" s="32">
        <v>3</v>
      </c>
      <c r="AD38" s="32">
        <v>6</v>
      </c>
      <c r="AE38" s="11">
        <f t="shared" si="16"/>
        <v>9</v>
      </c>
      <c r="AF38" s="62">
        <f t="shared" si="2"/>
        <v>4.6048978694812208E-7</v>
      </c>
      <c r="AG38" s="62"/>
      <c r="AH38" s="62">
        <v>0.49395061728395051</v>
      </c>
      <c r="AI38" s="51"/>
      <c r="AJ38" s="246"/>
      <c r="AK38" s="246"/>
      <c r="AL38" s="246"/>
      <c r="AM38" s="62"/>
      <c r="AN38" s="62"/>
      <c r="AO38" s="62"/>
      <c r="AP38" s="62"/>
      <c r="AQ38" s="62"/>
      <c r="AR38" s="62"/>
      <c r="AS38" s="62"/>
      <c r="AT38" s="238"/>
      <c r="AU38" s="62"/>
      <c r="AV38" s="62"/>
      <c r="AW38" s="51">
        <v>0.25347401642401401</v>
      </c>
      <c r="AX38" s="43" t="e">
        <f t="shared" si="33"/>
        <v>#DIV/0!</v>
      </c>
      <c r="AY38" s="63"/>
      <c r="AZ38" s="63"/>
      <c r="BA38" s="63"/>
      <c r="BB38" s="52">
        <v>1492586451.837889</v>
      </c>
      <c r="BC38" s="39">
        <f t="shared" si="34"/>
        <v>1.6982200000000003E-10</v>
      </c>
      <c r="BD38" s="39"/>
      <c r="BE38" s="39"/>
      <c r="BF38" s="39"/>
      <c r="BG38" s="39"/>
      <c r="BH38" s="98">
        <f t="shared" si="5"/>
        <v>0</v>
      </c>
      <c r="BI38" s="39">
        <f t="shared" si="35"/>
        <v>0</v>
      </c>
      <c r="BJ38" s="39">
        <f t="shared" si="36"/>
        <v>-1</v>
      </c>
      <c r="BK38" s="44">
        <f t="shared" si="37"/>
        <v>1.8795100451288126E-4</v>
      </c>
      <c r="BL38" s="53">
        <v>1348.6175138087231</v>
      </c>
      <c r="BM38" s="53"/>
      <c r="BN38" s="46">
        <f t="shared" si="38"/>
        <v>0</v>
      </c>
      <c r="BO38" s="46">
        <f t="shared" si="20"/>
        <v>-1</v>
      </c>
      <c r="BP38" s="40">
        <f t="shared" si="7"/>
        <v>2.5242393286330268E-3</v>
      </c>
      <c r="BQ38" s="42">
        <v>100.416</v>
      </c>
      <c r="BR38" s="70">
        <f t="shared" si="8"/>
        <v>3.32025893899874</v>
      </c>
      <c r="BS38" s="41">
        <f t="shared" si="39"/>
        <v>0</v>
      </c>
      <c r="BT38" s="48">
        <f t="shared" si="21"/>
        <v>-1</v>
      </c>
      <c r="BY38" s="8">
        <f t="shared" si="40"/>
        <v>1.9161649880499741E-9</v>
      </c>
      <c r="BZ38" s="8"/>
    </row>
    <row r="39" spans="1:78" s="32" customFormat="1" ht="18" x14ac:dyDescent="0.35">
      <c r="A39" s="32" t="s">
        <v>78</v>
      </c>
      <c r="G39" s="33"/>
      <c r="H39" s="33"/>
      <c r="K39" s="32">
        <v>154.66795999999999</v>
      </c>
      <c r="L39" s="11">
        <f>0.0767*EXP(39300/(8.3144598*N39))/1000</f>
        <v>8.1514268008243823E-3</v>
      </c>
      <c r="N39" s="32">
        <v>1013</v>
      </c>
      <c r="O39" s="32">
        <v>3.2645143022437789E-5</v>
      </c>
      <c r="P39" s="32">
        <v>2.2077562764566649E-4</v>
      </c>
      <c r="T39" s="236">
        <f>0.576*T3+0.384*T4+0.4*T21</f>
        <v>3.2822400000000001E-10</v>
      </c>
      <c r="U39" s="236"/>
      <c r="V39" s="236"/>
      <c r="W39" s="236"/>
      <c r="X39" s="32">
        <v>3957693.64</v>
      </c>
      <c r="Y39" s="32">
        <f>BL39</f>
        <v>1272.126022947567</v>
      </c>
      <c r="AC39" s="32">
        <v>3</v>
      </c>
      <c r="AD39" s="32">
        <v>6</v>
      </c>
      <c r="AE39" s="11">
        <f t="shared" si="16"/>
        <v>9</v>
      </c>
      <c r="AF39" s="62">
        <f t="shared" si="2"/>
        <v>4.7293540020198696E-7</v>
      </c>
      <c r="AG39" s="62"/>
      <c r="AH39" s="62">
        <v>0.45693693693693682</v>
      </c>
      <c r="AI39" s="51"/>
      <c r="AJ39" s="246"/>
      <c r="AK39" s="246"/>
      <c r="AL39" s="246"/>
      <c r="AM39" s="62"/>
      <c r="AN39" s="62"/>
      <c r="AO39" s="62"/>
      <c r="AP39" s="62"/>
      <c r="AQ39" s="62"/>
      <c r="AR39" s="62"/>
      <c r="AS39" s="62"/>
      <c r="AT39" s="62"/>
      <c r="AU39" s="62"/>
      <c r="AV39" s="62"/>
      <c r="AW39" s="51">
        <v>0.24265777297582219</v>
      </c>
      <c r="AX39" s="43" t="e">
        <f t="shared" si="33"/>
        <v>#DIV/0!</v>
      </c>
      <c r="AY39" s="63"/>
      <c r="AZ39" s="63"/>
      <c r="BA39" s="63"/>
      <c r="BB39" s="52">
        <v>1440892196.1891489</v>
      </c>
      <c r="BC39" s="39">
        <f t="shared" si="34"/>
        <v>1.68408E-10</v>
      </c>
      <c r="BD39" s="39"/>
      <c r="BE39" s="39"/>
      <c r="BF39" s="39"/>
      <c r="BG39" s="39"/>
      <c r="BH39" s="98">
        <f t="shared" si="5"/>
        <v>0</v>
      </c>
      <c r="BI39" s="39">
        <f t="shared" si="35"/>
        <v>0</v>
      </c>
      <c r="BJ39" s="39">
        <f t="shared" si="36"/>
        <v>-1</v>
      </c>
      <c r="BK39" s="44">
        <f t="shared" si="37"/>
        <v>1.9074979097870697E-4</v>
      </c>
      <c r="BL39" s="53">
        <v>1272.126022947567</v>
      </c>
      <c r="BM39" s="53"/>
      <c r="BN39" s="46">
        <f t="shared" si="38"/>
        <v>0</v>
      </c>
      <c r="BO39" s="46">
        <f t="shared" si="20"/>
        <v>-1</v>
      </c>
      <c r="BP39" s="40">
        <f t="shared" si="7"/>
        <v>2.1875249979790693E-3</v>
      </c>
      <c r="BQ39" s="42">
        <v>110.928</v>
      </c>
      <c r="BR39" s="70">
        <f t="shared" si="8"/>
        <v>3.3979939963429326</v>
      </c>
      <c r="BS39" s="41">
        <f t="shared" si="39"/>
        <v>0</v>
      </c>
      <c r="BT39" s="48">
        <f t="shared" si="21"/>
        <v>-1</v>
      </c>
      <c r="BY39" s="8">
        <f t="shared" si="40"/>
        <v>1.619053960080521E-9</v>
      </c>
      <c r="BZ39" s="8"/>
    </row>
    <row r="40" spans="1:78" s="32" customFormat="1" ht="18" x14ac:dyDescent="0.35">
      <c r="A40" s="32" t="s">
        <v>77</v>
      </c>
      <c r="G40" s="33"/>
      <c r="H40" s="33"/>
      <c r="K40" s="32">
        <v>181.22704999999999</v>
      </c>
      <c r="L40" s="11">
        <f>0.0767*EXP(39300/(8.3144598*N40))/1000</f>
        <v>7.8587878713746243E-3</v>
      </c>
      <c r="N40" s="32">
        <v>1021</v>
      </c>
      <c r="O40" s="32">
        <v>3.4949140082044292E-5</v>
      </c>
      <c r="P40" s="32">
        <v>2.050117820240356E-4</v>
      </c>
      <c r="T40" s="236">
        <f>0.57*T3+0.38*T4+0.5*T21</f>
        <v>3.4792999999999996E-10</v>
      </c>
      <c r="U40" s="236"/>
      <c r="V40" s="236"/>
      <c r="W40" s="236"/>
      <c r="X40" s="32">
        <v>4426131.4000000004</v>
      </c>
      <c r="Y40" s="32">
        <f>BL40</f>
        <v>1215.1718333840431</v>
      </c>
      <c r="AC40" s="32">
        <v>3</v>
      </c>
      <c r="AD40" s="32">
        <v>6</v>
      </c>
      <c r="AE40" s="11">
        <f t="shared" si="16"/>
        <v>9</v>
      </c>
      <c r="AF40" s="62">
        <f t="shared" si="2"/>
        <v>4.8970392040175681E-7</v>
      </c>
      <c r="AG40" s="62"/>
      <c r="AH40" s="62">
        <v>0.43928571428571439</v>
      </c>
      <c r="AI40" s="51"/>
      <c r="AJ40" s="246"/>
      <c r="AK40" s="246"/>
      <c r="AL40" s="246"/>
      <c r="AM40" s="62"/>
      <c r="AN40" s="62"/>
      <c r="AO40" s="62"/>
      <c r="AP40" s="62"/>
      <c r="AQ40" s="62"/>
      <c r="AR40" s="62"/>
      <c r="AS40" s="62"/>
      <c r="AT40" s="62"/>
      <c r="AU40" s="62"/>
      <c r="AV40" s="62"/>
      <c r="AW40" s="51">
        <v>0.23920093487850599</v>
      </c>
      <c r="AX40" s="43" t="e">
        <f t="shared" si="33"/>
        <v>#DIV/0!</v>
      </c>
      <c r="AY40" s="63"/>
      <c r="AZ40" s="63"/>
      <c r="BA40" s="63"/>
      <c r="BB40" s="52">
        <v>1407478287.0168049</v>
      </c>
      <c r="BC40" s="39">
        <f t="shared" si="34"/>
        <v>1.6994999999999999E-10</v>
      </c>
      <c r="BD40" s="39"/>
      <c r="BE40" s="39"/>
      <c r="BF40" s="39"/>
      <c r="BG40" s="39"/>
      <c r="BH40" s="98">
        <f t="shared" si="5"/>
        <v>0</v>
      </c>
      <c r="BI40" s="39">
        <f t="shared" si="35"/>
        <v>0</v>
      </c>
      <c r="BJ40" s="39">
        <f t="shared" si="36"/>
        <v>-1</v>
      </c>
      <c r="BK40" s="44">
        <f t="shared" si="37"/>
        <v>1.9684535825058817E-4</v>
      </c>
      <c r="BL40" s="53">
        <v>1215.1718333840431</v>
      </c>
      <c r="BM40" s="53"/>
      <c r="BN40" s="46">
        <f t="shared" si="38"/>
        <v>0</v>
      </c>
      <c r="BO40" s="46">
        <f t="shared" si="20"/>
        <v>-1</v>
      </c>
      <c r="BP40" s="40">
        <f t="shared" si="7"/>
        <v>1.9697046679718875E-3</v>
      </c>
      <c r="BQ40" s="42">
        <v>121.44</v>
      </c>
      <c r="BR40" s="70">
        <f t="shared" si="8"/>
        <v>3.4747636054825803</v>
      </c>
      <c r="BS40" s="41">
        <f t="shared" si="39"/>
        <v>0</v>
      </c>
      <c r="BT40" s="48">
        <f t="shared" si="21"/>
        <v>-1</v>
      </c>
      <c r="BY40" s="8">
        <f t="shared" si="40"/>
        <v>1.4611458502924743E-9</v>
      </c>
      <c r="BZ40" s="8"/>
    </row>
    <row r="41" spans="1:78" x14ac:dyDescent="0.25">
      <c r="A41" s="19" t="s">
        <v>54</v>
      </c>
      <c r="B41" s="31">
        <v>0.01</v>
      </c>
      <c r="C41" s="23">
        <v>1</v>
      </c>
      <c r="D41" s="23">
        <v>10</v>
      </c>
      <c r="E41" s="23">
        <v>10</v>
      </c>
      <c r="F41" s="22">
        <f>D41*1.6726219E-27</f>
        <v>1.6726219000000001E-26</v>
      </c>
      <c r="G41" s="22">
        <f t="shared" si="1"/>
        <v>9.1093856E-30</v>
      </c>
      <c r="H41" s="24">
        <f t="shared" si="10"/>
        <v>1836.1522647586683</v>
      </c>
      <c r="I41" s="24">
        <f t="shared" si="11"/>
        <v>1</v>
      </c>
      <c r="J41" s="26">
        <f t="shared" si="12"/>
        <v>1.6717109614400002E-26</v>
      </c>
      <c r="K41" s="9">
        <v>18.015000000000001</v>
      </c>
      <c r="L41" s="21">
        <v>1.7930000000000001E-3</v>
      </c>
      <c r="M41" s="27">
        <f t="shared" si="13"/>
        <v>3.6609921288669233E-3</v>
      </c>
      <c r="N41" s="4">
        <v>273.14999999999998</v>
      </c>
      <c r="O41" s="18">
        <v>1.802E-5</v>
      </c>
      <c r="P41" s="18">
        <v>5.1E-5</v>
      </c>
      <c r="T41" s="22">
        <v>3.1000000000000002E-10</v>
      </c>
      <c r="U41" s="22"/>
      <c r="V41" s="22"/>
      <c r="W41" s="22"/>
      <c r="X41" s="8">
        <v>999840</v>
      </c>
      <c r="Y41" s="4">
        <v>1403</v>
      </c>
      <c r="Z41" s="4">
        <v>0</v>
      </c>
      <c r="AA41" s="18">
        <v>999840</v>
      </c>
      <c r="AB41" s="4">
        <v>0</v>
      </c>
      <c r="AF41" s="62">
        <f t="shared" si="2"/>
        <v>6.0645622271550117E-7</v>
      </c>
      <c r="AG41" s="62"/>
      <c r="AH41" s="62">
        <v>0.56100000000000005</v>
      </c>
      <c r="AI41" s="54"/>
      <c r="AJ41" s="247"/>
      <c r="AK41" s="247"/>
      <c r="AL41" s="247"/>
      <c r="AM41" s="62"/>
      <c r="AN41" s="62">
        <v>0.64505869517877501</v>
      </c>
      <c r="AO41" s="62"/>
      <c r="AP41" s="62">
        <v>0.20005523777946899</v>
      </c>
      <c r="AQ41" s="62"/>
      <c r="AR41" s="62">
        <v>5.93259359279684E-2</v>
      </c>
      <c r="AS41" s="62"/>
      <c r="AT41" s="62"/>
      <c r="AU41" s="62"/>
      <c r="AV41" s="62"/>
      <c r="AW41" s="54">
        <f>BB41*T41</f>
        <v>0.60645622271550126</v>
      </c>
      <c r="AX41" s="43" t="e">
        <f t="shared" si="33"/>
        <v>#DIV/0!</v>
      </c>
      <c r="AY41" s="63" t="e">
        <f>AI41/(1/3*BL41*BH41)</f>
        <v>#DIV/0!</v>
      </c>
      <c r="AZ41" s="63"/>
      <c r="BA41" s="63" t="e">
        <f>AI41/(1/3*BL41*BH41)*0.000001</f>
        <v>#DIV/0!</v>
      </c>
      <c r="BB41" s="38">
        <f>1/3*BQ41/O41*Y41</f>
        <v>1956310395.8564556</v>
      </c>
      <c r="BC41" s="55">
        <f>T41</f>
        <v>3.1000000000000002E-10</v>
      </c>
      <c r="BD41" s="55"/>
      <c r="BE41" s="55"/>
      <c r="BF41" s="55"/>
      <c r="BG41" s="55"/>
      <c r="BH41" s="98">
        <f t="shared" si="5"/>
        <v>0</v>
      </c>
      <c r="BI41" s="39">
        <f>AI41/(1/3*BQ41/O41*Y41)</f>
        <v>0</v>
      </c>
      <c r="BJ41" s="39">
        <f t="shared" si="36"/>
        <v>-1</v>
      </c>
      <c r="BK41" s="44">
        <f t="shared" si="37"/>
        <v>4.3225675175730669E-4</v>
      </c>
      <c r="BL41" s="45">
        <f>Y41+Z41*N41</f>
        <v>1403</v>
      </c>
      <c r="BM41" s="45"/>
      <c r="BN41" s="46">
        <f t="shared" si="38"/>
        <v>0</v>
      </c>
      <c r="BO41" s="46">
        <f t="shared" si="20"/>
        <v>-1</v>
      </c>
      <c r="BP41" s="40">
        <f t="shared" si="7"/>
        <v>8.0453200147983725E-3</v>
      </c>
      <c r="BQ41" s="56">
        <v>75.38</v>
      </c>
      <c r="BR41" s="70">
        <f t="shared" si="8"/>
        <v>4.1831298557158707</v>
      </c>
      <c r="BS41" s="41">
        <f t="shared" si="39"/>
        <v>0</v>
      </c>
      <c r="BT41" s="48">
        <f t="shared" si="21"/>
        <v>-1</v>
      </c>
      <c r="BW41"/>
      <c r="BX41"/>
      <c r="BY41" s="8">
        <f t="shared" si="40"/>
        <v>1.2781802750592626E-9</v>
      </c>
      <c r="BZ41" s="8"/>
    </row>
    <row r="42" spans="1:78" s="11" customFormat="1" x14ac:dyDescent="0.25">
      <c r="A42" s="23" t="s">
        <v>268</v>
      </c>
      <c r="B42" s="31"/>
      <c r="C42" s="23"/>
      <c r="D42" s="23"/>
      <c r="E42" s="23"/>
      <c r="F42" s="22"/>
      <c r="G42" s="22"/>
      <c r="H42" s="24"/>
      <c r="I42" s="24"/>
      <c r="J42" s="26"/>
      <c r="K42" s="20"/>
      <c r="L42" s="21"/>
      <c r="M42" s="27"/>
      <c r="O42" s="13"/>
      <c r="P42" s="13"/>
      <c r="Q42" s="32"/>
      <c r="R42" s="13"/>
      <c r="S42" s="13"/>
      <c r="T42" s="22"/>
      <c r="U42" s="22"/>
      <c r="V42" s="22"/>
      <c r="W42" s="22"/>
      <c r="X42" s="22"/>
      <c r="AA42" s="13"/>
      <c r="AF42" s="62"/>
      <c r="AG42" s="62"/>
      <c r="AH42" s="62"/>
      <c r="AI42" s="54"/>
      <c r="AJ42" s="247"/>
      <c r="AK42" s="247"/>
      <c r="AL42" s="247"/>
      <c r="AM42" s="62"/>
      <c r="AN42" s="62"/>
      <c r="AO42" s="62"/>
      <c r="AP42" s="62"/>
      <c r="AQ42" s="62"/>
      <c r="AR42" s="62"/>
      <c r="AS42" s="62"/>
      <c r="AT42" s="62"/>
      <c r="AU42" s="62"/>
      <c r="AV42" s="62"/>
      <c r="AW42" s="54"/>
      <c r="AX42" s="43"/>
      <c r="AY42" s="63"/>
      <c r="AZ42" s="63"/>
      <c r="BA42" s="63"/>
      <c r="BB42" s="38"/>
      <c r="BC42" s="55"/>
      <c r="BD42" s="55"/>
      <c r="BE42" s="55"/>
      <c r="BF42" s="55"/>
      <c r="BG42" s="55"/>
      <c r="BH42" s="98"/>
      <c r="BI42" s="39"/>
      <c r="BJ42" s="39"/>
      <c r="BK42" s="44"/>
      <c r="BL42" s="45"/>
      <c r="BM42" s="45"/>
      <c r="BN42" s="46"/>
      <c r="BO42" s="46"/>
      <c r="BP42" s="40"/>
      <c r="BQ42" s="56"/>
      <c r="BR42" s="70"/>
      <c r="BS42" s="248"/>
      <c r="BT42" s="249"/>
      <c r="BU42" s="32"/>
      <c r="BV42" s="32"/>
      <c r="BW42" s="32"/>
      <c r="BX42" s="32"/>
      <c r="BY42" s="22"/>
      <c r="BZ42" s="22"/>
    </row>
    <row r="43" spans="1:78" s="11" customFormat="1" x14ac:dyDescent="0.25">
      <c r="A43" s="23"/>
      <c r="B43" s="31"/>
      <c r="C43" s="23"/>
      <c r="D43" s="23"/>
      <c r="E43" s="23"/>
      <c r="F43" s="22"/>
      <c r="G43" s="22"/>
      <c r="H43" s="24"/>
      <c r="I43" s="24"/>
      <c r="J43" s="26"/>
      <c r="K43" s="20"/>
      <c r="L43" s="21"/>
      <c r="M43" s="27"/>
      <c r="O43" s="13"/>
      <c r="P43" s="13"/>
      <c r="Q43" s="32"/>
      <c r="R43" s="13"/>
      <c r="S43" s="13"/>
      <c r="T43" s="22"/>
      <c r="U43" s="22"/>
      <c r="V43" s="22"/>
      <c r="W43" s="22"/>
      <c r="X43" s="22"/>
      <c r="AA43" s="13"/>
      <c r="AF43" s="62"/>
      <c r="AG43" s="62"/>
      <c r="AH43" s="62"/>
      <c r="AI43" s="54"/>
      <c r="AJ43" s="247"/>
      <c r="AK43" s="247"/>
      <c r="AL43" s="247"/>
      <c r="AM43" s="62"/>
      <c r="AN43" s="62"/>
      <c r="AO43" s="62"/>
      <c r="AP43" s="62"/>
      <c r="AQ43" s="62"/>
      <c r="AR43" s="62"/>
      <c r="AS43" s="62"/>
      <c r="AT43" s="62"/>
      <c r="AU43" s="62"/>
      <c r="AV43" s="62"/>
      <c r="AW43" s="54"/>
      <c r="AX43" s="43"/>
      <c r="AY43" s="63"/>
      <c r="AZ43" s="63"/>
      <c r="BA43" s="63"/>
      <c r="BB43" s="38"/>
      <c r="BC43" s="55"/>
      <c r="BD43" s="55"/>
      <c r="BE43" s="55"/>
      <c r="BF43" s="55"/>
      <c r="BG43" s="55"/>
      <c r="BH43" s="98"/>
      <c r="BI43" s="39"/>
      <c r="BJ43" s="39"/>
      <c r="BK43" s="44"/>
      <c r="BL43" s="45"/>
      <c r="BM43" s="45"/>
      <c r="BN43" s="46"/>
      <c r="BO43" s="46"/>
      <c r="BP43" s="40"/>
      <c r="BQ43" s="56"/>
      <c r="BR43" s="70"/>
      <c r="BS43" s="248"/>
      <c r="BT43" s="249"/>
      <c r="BU43" s="32"/>
      <c r="BV43" s="32"/>
      <c r="BW43" s="32"/>
      <c r="BX43" s="32"/>
      <c r="BY43" s="22"/>
      <c r="BZ43" s="22"/>
    </row>
    <row r="44" spans="1:78" s="11" customFormat="1" x14ac:dyDescent="0.25">
      <c r="A44" s="23"/>
      <c r="B44" s="31"/>
      <c r="C44" s="23"/>
      <c r="D44" s="23"/>
      <c r="E44" s="23"/>
      <c r="F44" s="22"/>
      <c r="G44" s="22"/>
      <c r="H44" s="24"/>
      <c r="I44" s="24"/>
      <c r="J44" s="26"/>
      <c r="K44" s="20"/>
      <c r="L44" s="21"/>
      <c r="M44" s="27"/>
      <c r="O44" s="13"/>
      <c r="P44" s="13"/>
      <c r="Q44" s="32"/>
      <c r="R44" s="13"/>
      <c r="S44" s="13"/>
      <c r="T44" s="22"/>
      <c r="U44" s="22"/>
      <c r="V44" s="22"/>
      <c r="W44" s="22"/>
      <c r="X44" s="22"/>
      <c r="AA44" s="13"/>
      <c r="AF44" s="62"/>
      <c r="AG44" s="62"/>
      <c r="AH44" s="62"/>
      <c r="AI44" s="54"/>
      <c r="AJ44" s="247"/>
      <c r="AK44" s="247"/>
      <c r="AL44" s="247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54"/>
      <c r="AX44" s="43"/>
      <c r="AY44" s="63"/>
      <c r="AZ44" s="63"/>
      <c r="BA44" s="63"/>
      <c r="BB44" s="38"/>
      <c r="BC44" s="55"/>
      <c r="BD44" s="55"/>
      <c r="BE44" s="55"/>
      <c r="BF44" s="55"/>
      <c r="BG44" s="55"/>
      <c r="BH44" s="98"/>
      <c r="BI44" s="39"/>
      <c r="BJ44" s="39"/>
      <c r="BK44" s="44"/>
      <c r="BL44" s="45"/>
      <c r="BM44" s="45"/>
      <c r="BN44" s="46"/>
      <c r="BO44" s="46"/>
      <c r="BP44" s="40"/>
      <c r="BQ44" s="56"/>
      <c r="BR44" s="70"/>
      <c r="BS44" s="248"/>
      <c r="BT44" s="249"/>
      <c r="BU44" s="32"/>
      <c r="BV44" s="32"/>
      <c r="BW44" s="32"/>
      <c r="BX44" s="32"/>
      <c r="BY44" s="22"/>
      <c r="BZ44" s="22"/>
    </row>
    <row r="45" spans="1:78" x14ac:dyDescent="0.25">
      <c r="M45" s="4"/>
      <c r="N45" s="4"/>
      <c r="AO45" s="58">
        <f>SUM(AO2:AO44)</f>
        <v>1.9110395684450583</v>
      </c>
      <c r="AQ45" s="58">
        <f>SUM(AQ2:AQ44)</f>
        <v>3.1427632394259213</v>
      </c>
      <c r="AS45" s="57" t="s">
        <v>227</v>
      </c>
      <c r="AT45" s="241">
        <f>AVERAGE(AT23:AT38)</f>
        <v>0.18466768320309598</v>
      </c>
      <c r="AV45" s="241">
        <f>AVERAGE(AV24:AV38)</f>
        <v>0.18466768320309598</v>
      </c>
    </row>
    <row r="46" spans="1:78" x14ac:dyDescent="0.25">
      <c r="M46" s="4"/>
      <c r="N46" s="4"/>
      <c r="AS46" s="57" t="s">
        <v>225</v>
      </c>
      <c r="AT46" s="241" t="e">
        <f>AVERAGE(AT2:AT21)</f>
        <v>#DIV/0!</v>
      </c>
      <c r="AV46" s="241" t="e">
        <f>AVERAGE(AV2:AV20)</f>
        <v>#DIV/0!</v>
      </c>
    </row>
    <row r="47" spans="1:78" x14ac:dyDescent="0.25">
      <c r="M47" s="4"/>
      <c r="N47" s="4"/>
      <c r="AS47" s="57" t="s">
        <v>226</v>
      </c>
      <c r="AT47" s="241" t="e">
        <f>AVERAGE(AT2:AT39)</f>
        <v>#DIV/0!</v>
      </c>
      <c r="AV47" s="241" t="e">
        <f>AVERAGE(AV2:AV38)</f>
        <v>#DIV/0!</v>
      </c>
      <c r="BB47" s="57">
        <v>0</v>
      </c>
    </row>
    <row r="48" spans="1:78" x14ac:dyDescent="0.25">
      <c r="M48" s="4"/>
      <c r="N48" s="4"/>
      <c r="AX48" s="57" t="e">
        <f>AVER</f>
        <v>#NAME?</v>
      </c>
      <c r="BB48" s="57">
        <v>250</v>
      </c>
    </row>
    <row r="49" spans="7:32" x14ac:dyDescent="0.25">
      <c r="M49" s="4"/>
      <c r="N49" s="4"/>
      <c r="AF49" s="57" t="s">
        <v>198</v>
      </c>
    </row>
    <row r="50" spans="7:32" x14ac:dyDescent="0.25">
      <c r="M50" s="4"/>
      <c r="N50" s="4"/>
      <c r="AF50" s="57" t="s">
        <v>194</v>
      </c>
    </row>
    <row r="51" spans="7:32" x14ac:dyDescent="0.25">
      <c r="K51" s="11"/>
      <c r="M51" s="4"/>
      <c r="N51" s="4"/>
      <c r="AF51" s="57" t="s">
        <v>207</v>
      </c>
    </row>
    <row r="52" spans="7:32" x14ac:dyDescent="0.25">
      <c r="M52" s="4"/>
      <c r="N52" s="4"/>
      <c r="AF52" s="57" t="s">
        <v>199</v>
      </c>
    </row>
    <row r="53" spans="7:32" x14ac:dyDescent="0.25">
      <c r="M53" s="4"/>
      <c r="N53" s="4"/>
      <c r="AF53" s="57" t="s">
        <v>206</v>
      </c>
    </row>
    <row r="54" spans="7:32" x14ac:dyDescent="0.25">
      <c r="G54" s="23" t="s">
        <v>21</v>
      </c>
      <c r="H54" s="23">
        <v>5.6672851556149997</v>
      </c>
      <c r="M54" s="4"/>
      <c r="N54" s="4"/>
      <c r="AF54" s="57" t="s">
        <v>195</v>
      </c>
    </row>
    <row r="55" spans="7:32" x14ac:dyDescent="0.25">
      <c r="G55" s="23" t="s">
        <v>22</v>
      </c>
      <c r="H55" s="23">
        <v>3.6125286079999999</v>
      </c>
      <c r="M55" s="4"/>
      <c r="N55" s="4"/>
      <c r="AF55" s="57" t="s">
        <v>196</v>
      </c>
    </row>
    <row r="56" spans="7:32" x14ac:dyDescent="0.25">
      <c r="G56" s="23" t="s">
        <v>23</v>
      </c>
      <c r="H56" s="23">
        <v>2.1603079999999997</v>
      </c>
      <c r="M56" s="4"/>
      <c r="N56" s="4"/>
      <c r="AF56" s="57" t="s">
        <v>205</v>
      </c>
    </row>
    <row r="57" spans="7:32" x14ac:dyDescent="0.25">
      <c r="M57" s="4"/>
      <c r="N57" s="4"/>
      <c r="AF57" s="57" t="s">
        <v>200</v>
      </c>
    </row>
    <row r="58" spans="7:32" x14ac:dyDescent="0.25">
      <c r="M58" s="4"/>
      <c r="N58" s="4"/>
      <c r="AF58" s="57" t="s">
        <v>197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4A10C-BA62-4745-BF71-DB0E2D8B7327}">
  <sheetPr codeName="Sheet1">
    <outlinePr summaryBelow="0"/>
  </sheetPr>
  <dimension ref="A1:BH55"/>
  <sheetViews>
    <sheetView zoomScale="60" zoomScaleNormal="60" workbookViewId="0">
      <pane xSplit="3" topLeftCell="D1" activePane="topRight" state="frozen"/>
      <selection pane="topRight" activeCell="BN34" sqref="BN34"/>
    </sheetView>
  </sheetViews>
  <sheetFormatPr defaultRowHeight="15" x14ac:dyDescent="0.25"/>
  <cols>
    <col min="1" max="1" width="40.140625" style="19" customWidth="1"/>
    <col min="2" max="2" width="7.85546875" style="23" hidden="1" customWidth="1"/>
    <col min="3" max="3" width="6.42578125" style="23" hidden="1" customWidth="1"/>
    <col min="4" max="4" width="8.42578125" style="23" customWidth="1"/>
    <col min="5" max="5" width="9" style="23" customWidth="1"/>
    <col min="6" max="6" width="10.42578125" style="23" customWidth="1"/>
    <col min="7" max="7" width="11.140625" style="23" customWidth="1"/>
    <col min="8" max="8" width="12.7109375" style="23" customWidth="1"/>
    <col min="9" max="9" width="13" style="23" customWidth="1"/>
    <col min="10" max="10" width="10.5703125" style="23" customWidth="1"/>
    <col min="11" max="11" width="12.140625" style="9" customWidth="1"/>
    <col min="12" max="12" width="3.85546875" style="20" customWidth="1"/>
    <col min="13" max="13" width="2.42578125" style="18" customWidth="1"/>
    <col min="14" max="14" width="14.5703125" style="18" customWidth="1"/>
    <col min="15" max="15" width="13.140625" style="18" customWidth="1"/>
    <col min="16" max="16" width="2.28515625" style="18" customWidth="1"/>
    <col min="17" max="17" width="2.28515625" customWidth="1"/>
    <col min="18" max="19" width="2.28515625" style="18" customWidth="1"/>
    <col min="20" max="20" width="12" style="13" customWidth="1"/>
    <col min="21" max="21" width="12.140625" style="8" customWidth="1"/>
    <col min="22" max="22" width="10.140625" style="4" customWidth="1"/>
    <col min="23" max="23" width="7.5703125" style="4" customWidth="1"/>
    <col min="24" max="24" width="6.28515625" style="4" customWidth="1"/>
    <col min="25" max="25" width="8.42578125" style="4" customWidth="1"/>
    <col min="26" max="26" width="7.85546875" style="4" customWidth="1"/>
    <col min="27" max="27" width="6.140625" style="4" customWidth="1"/>
    <col min="28" max="28" width="8.85546875" style="11" customWidth="1"/>
    <col min="29" max="29" width="14.85546875" style="57" customWidth="1"/>
    <col min="30" max="33" width="14.85546875" style="57" hidden="1" customWidth="1"/>
    <col min="34" max="34" width="19" style="57" hidden="1" customWidth="1"/>
    <col min="35" max="35" width="8.7109375" style="57" hidden="1" customWidth="1"/>
    <col min="36" max="36" width="15.28515625" style="57" hidden="1" customWidth="1"/>
    <col min="37" max="37" width="14.85546875" style="57" hidden="1" customWidth="1"/>
    <col min="38" max="38" width="15.5703125" style="57" hidden="1" customWidth="1"/>
    <col min="39" max="39" width="10.140625" style="57" hidden="1" customWidth="1"/>
    <col min="40" max="40" width="13.7109375" style="57" hidden="1" customWidth="1"/>
    <col min="41" max="42" width="14.42578125" style="57" hidden="1" customWidth="1"/>
    <col min="43" max="43" width="15.42578125" style="57" hidden="1" customWidth="1"/>
    <col min="44" max="44" width="11.140625" style="58" hidden="1" customWidth="1"/>
    <col min="45" max="45" width="10.5703125" style="57" hidden="1" customWidth="1"/>
    <col min="46" max="46" width="10.5703125" style="57" customWidth="1"/>
    <col min="47" max="47" width="10.5703125" style="57" hidden="1" customWidth="1"/>
    <col min="48" max="48" width="18" style="57" hidden="1" customWidth="1"/>
    <col min="49" max="49" width="11" style="59" hidden="1" customWidth="1"/>
    <col min="50" max="50" width="15.28515625" style="59" hidden="1" customWidth="1"/>
    <col min="51" max="51" width="14.28515625" style="57" hidden="1" customWidth="1"/>
    <col min="52" max="52" width="13.7109375" style="60" customWidth="1"/>
    <col min="53" max="54" width="9.140625" hidden="1" customWidth="1"/>
    <col min="55" max="55" width="15.140625" customWidth="1"/>
    <col min="56" max="56" width="13.7109375" customWidth="1"/>
    <col min="57" max="57" width="11.85546875" style="4" customWidth="1"/>
    <col min="58" max="16384" width="9.140625" style="4"/>
  </cols>
  <sheetData>
    <row r="1" spans="1:60" s="80" customFormat="1" ht="20.25" customHeight="1" thickBot="1" x14ac:dyDescent="0.3">
      <c r="A1" s="73" t="s">
        <v>0</v>
      </c>
      <c r="B1" s="74" t="s">
        <v>72</v>
      </c>
      <c r="C1" s="73" t="s">
        <v>56</v>
      </c>
      <c r="D1" s="73" t="s">
        <v>57</v>
      </c>
      <c r="E1" s="73" t="s">
        <v>58</v>
      </c>
      <c r="F1" s="75" t="s">
        <v>60</v>
      </c>
      <c r="G1" s="75" t="s">
        <v>61</v>
      </c>
      <c r="H1" s="73" t="s">
        <v>64</v>
      </c>
      <c r="I1" s="73" t="s">
        <v>59</v>
      </c>
      <c r="J1" s="73" t="s">
        <v>62</v>
      </c>
      <c r="K1" s="76" t="s">
        <v>1</v>
      </c>
      <c r="L1" s="76" t="s">
        <v>52</v>
      </c>
      <c r="M1" s="77" t="s">
        <v>74</v>
      </c>
      <c r="N1" s="77" t="s">
        <v>2</v>
      </c>
      <c r="O1" s="77" t="s">
        <v>3</v>
      </c>
      <c r="P1" s="78" t="s">
        <v>4</v>
      </c>
      <c r="Q1" s="74"/>
      <c r="R1" s="77" t="s">
        <v>6</v>
      </c>
      <c r="S1" s="77" t="s">
        <v>7</v>
      </c>
      <c r="T1" s="77" t="s">
        <v>55</v>
      </c>
      <c r="U1" s="79" t="s">
        <v>8</v>
      </c>
      <c r="V1" s="80" t="s">
        <v>9</v>
      </c>
      <c r="W1" s="80" t="s">
        <v>10</v>
      </c>
      <c r="X1" s="80" t="s">
        <v>11</v>
      </c>
      <c r="Y1" s="80" t="s">
        <v>12</v>
      </c>
      <c r="Z1" s="80" t="s">
        <v>13</v>
      </c>
      <c r="AA1" s="80" t="s">
        <v>14</v>
      </c>
      <c r="AB1" s="80" t="s">
        <v>51</v>
      </c>
      <c r="AC1" s="81" t="s">
        <v>15</v>
      </c>
      <c r="AD1" s="81" t="s">
        <v>208</v>
      </c>
      <c r="AE1" s="81" t="s">
        <v>218</v>
      </c>
      <c r="AF1" s="81" t="s">
        <v>209</v>
      </c>
      <c r="AG1" s="81" t="s">
        <v>211</v>
      </c>
      <c r="AH1" s="81" t="s">
        <v>65</v>
      </c>
      <c r="AI1" s="81" t="s">
        <v>73</v>
      </c>
      <c r="AJ1" s="81" t="s">
        <v>214</v>
      </c>
      <c r="AK1" s="81" t="s">
        <v>213</v>
      </c>
      <c r="AL1" s="82" t="s">
        <v>67</v>
      </c>
      <c r="AM1" s="83" t="s">
        <v>66</v>
      </c>
      <c r="AN1" s="83" t="s">
        <v>210</v>
      </c>
      <c r="AO1" s="83" t="s">
        <v>212</v>
      </c>
      <c r="AP1" s="237" t="s">
        <v>215</v>
      </c>
      <c r="AQ1" s="83" t="s">
        <v>46</v>
      </c>
      <c r="AR1" s="83" t="s">
        <v>91</v>
      </c>
      <c r="AS1" s="84" t="s">
        <v>70</v>
      </c>
      <c r="AT1" s="85" t="s">
        <v>63</v>
      </c>
      <c r="AU1" s="85" t="s">
        <v>105</v>
      </c>
      <c r="AV1" s="86" t="s">
        <v>71</v>
      </c>
      <c r="AW1" s="86" t="s">
        <v>90</v>
      </c>
      <c r="AX1" s="87" t="s">
        <v>68</v>
      </c>
      <c r="AY1" s="88" t="s">
        <v>5</v>
      </c>
      <c r="AZ1" s="88" t="s">
        <v>204</v>
      </c>
      <c r="BA1" s="89" t="s">
        <v>69</v>
      </c>
      <c r="BB1" s="90" t="s">
        <v>92</v>
      </c>
      <c r="BC1" s="74" t="s">
        <v>271</v>
      </c>
      <c r="BD1" s="74" t="s">
        <v>272</v>
      </c>
      <c r="BE1" s="74"/>
      <c r="BF1" s="74"/>
      <c r="BG1" s="80" t="s">
        <v>53</v>
      </c>
    </row>
    <row r="2" spans="1:60" s="11" customFormat="1" ht="20.25" customHeight="1" x14ac:dyDescent="0.25">
      <c r="A2" s="2" t="s">
        <v>16</v>
      </c>
      <c r="B2" s="61">
        <v>9.9499999999999993</v>
      </c>
      <c r="C2" s="2">
        <v>1</v>
      </c>
      <c r="D2" s="2">
        <v>12</v>
      </c>
      <c r="E2" s="2">
        <v>12</v>
      </c>
      <c r="F2" s="22">
        <f t="shared" ref="F2:F37" si="0">D2*1.6726219E-27</f>
        <v>2.0071462799999999E-26</v>
      </c>
      <c r="G2" s="22">
        <f t="shared" ref="G2:G41" si="1">E2*9.1093856E-31</f>
        <v>1.0931262719999999E-29</v>
      </c>
      <c r="H2" s="24">
        <f>((F2*D2)/(G2*E2))</f>
        <v>1836.1522647586683</v>
      </c>
      <c r="I2" s="24">
        <f>D2/E2</f>
        <v>1</v>
      </c>
      <c r="J2" s="26">
        <f>(F2)-(G2)</f>
        <v>2.0060531537279999E-26</v>
      </c>
      <c r="K2" s="3">
        <v>25.939</v>
      </c>
      <c r="L2" s="11">
        <f>0.115*EXP(27000/(8.3144598*N2))/1000</f>
        <v>2.0988673196732184E-3</v>
      </c>
      <c r="M2" s="27">
        <f>N2^-1</f>
        <v>8.9433439162902998E-4</v>
      </c>
      <c r="N2" s="3">
        <v>1118.1500000000001</v>
      </c>
      <c r="O2" s="5">
        <v>1.42E-5</v>
      </c>
      <c r="P2" s="5">
        <v>2.6800000000000001E-4</v>
      </c>
      <c r="Q2" s="32"/>
      <c r="R2" s="6">
        <v>7.5999999999999996E-11</v>
      </c>
      <c r="S2" s="6">
        <v>1.3300000000000001E-10</v>
      </c>
      <c r="T2" s="6">
        <f>S2+R2</f>
        <v>2.09E-10</v>
      </c>
      <c r="U2" s="6">
        <v>1810000</v>
      </c>
      <c r="V2" s="28">
        <v>2547.8000000000002</v>
      </c>
      <c r="W2" s="11">
        <v>0</v>
      </c>
      <c r="X2" s="22">
        <v>2.3580999999999999</v>
      </c>
      <c r="Y2" s="22">
        <v>-4.9019999999999999E-4</v>
      </c>
      <c r="Z2" s="11">
        <v>1</v>
      </c>
      <c r="AA2" s="11">
        <v>1</v>
      </c>
      <c r="AB2" s="11">
        <f>Z2+AA2</f>
        <v>2</v>
      </c>
      <c r="AC2" s="62">
        <v>1.33125</v>
      </c>
      <c r="AD2" s="62">
        <f t="shared" ref="AD2:AD41" si="2">1/3*AZ2*AT2*T2</f>
        <v>0.80248523098591562</v>
      </c>
      <c r="AE2" s="62">
        <f>ABS((AC2-AD2)/AC2)</f>
        <v>0.39719419268663619</v>
      </c>
      <c r="AF2" s="62">
        <f>1/3*AZ2*AT2*AN2</f>
        <v>0.72246877793114617</v>
      </c>
      <c r="AG2" s="62">
        <f>1/3*AZ2*AT2*AO2</f>
        <v>0.90368250947301099</v>
      </c>
      <c r="AH2" s="62">
        <v>0.79448872327487496</v>
      </c>
      <c r="AI2" s="63">
        <f>(AC2-AH2)/AC2</f>
        <v>0.40320095904234748</v>
      </c>
      <c r="AJ2" s="63">
        <f t="shared" ref="AJ2:AJ41" si="3">AC2/(1/3*AT2*T2)</f>
        <v>7500138.0307092983</v>
      </c>
      <c r="AK2" s="63">
        <f t="shared" ref="AK2:AK41" si="4">AC2/(1/3*AT2*AP2)</f>
        <v>4521126.760563381</v>
      </c>
      <c r="AL2" s="64">
        <v>3801381451.0759559</v>
      </c>
      <c r="AM2" s="65">
        <f>AH2/AL2</f>
        <v>2.0900000000000005E-10</v>
      </c>
      <c r="AN2" s="65">
        <v>1.8816044053807599E-10</v>
      </c>
      <c r="AO2" s="65">
        <v>2.3535591333913802E-10</v>
      </c>
      <c r="AP2" s="98">
        <f t="shared" ref="AP2:AP41" si="5">AC2/(1/3*AZ2*AT2)</f>
        <v>3.4671198827942447E-10</v>
      </c>
      <c r="AQ2" s="65">
        <f>AC2/AL2</f>
        <v>3.5020163515113658E-10</v>
      </c>
      <c r="AR2" s="65">
        <f>(AQ2-AM2)/AM2</f>
        <v>0.67560590981405022</v>
      </c>
      <c r="AS2" s="66">
        <f>AH2/AT2</f>
        <v>3.1183323780315365E-4</v>
      </c>
      <c r="AT2" s="67">
        <f t="shared" ref="AT2:AT37" si="6">V2+W2*N2</f>
        <v>2547.8000000000002</v>
      </c>
      <c r="AU2" s="67">
        <v>3500</v>
      </c>
      <c r="AV2" s="68">
        <f>AC2/AS2</f>
        <v>4269.1087370242376</v>
      </c>
      <c r="AW2" s="68">
        <f>(AV2-AT2)/AT2</f>
        <v>0.67560590981405033</v>
      </c>
      <c r="AX2" s="69">
        <f t="shared" ref="AX2:AX41" si="7">AH2/AY2</f>
        <v>1.2375213758175622E-2</v>
      </c>
      <c r="AY2" s="70">
        <v>64.2</v>
      </c>
      <c r="AZ2" s="70">
        <f t="shared" ref="AZ2:AZ41" si="8">AY2/O2</f>
        <v>4521126.760563381</v>
      </c>
      <c r="BA2" s="71">
        <f>AC2/(AX2)</f>
        <v>107.57389941006203</v>
      </c>
      <c r="BB2" s="72">
        <f>(BA2-AY2)/AY2</f>
        <v>0.67560590981405022</v>
      </c>
      <c r="BC2" s="236">
        <f>AT2*AZ2</f>
        <v>11518926760.563383</v>
      </c>
      <c r="BD2" s="236">
        <f>1/3*BC2*T2</f>
        <v>0.80248523098591573</v>
      </c>
      <c r="BE2" s="32"/>
      <c r="BF2" s="32"/>
      <c r="BG2" s="22">
        <f t="shared" ref="BG2:BG9" si="9">L2/(U2/1000*(V2+W2*N2))</f>
        <v>4.5513588360128237E-10</v>
      </c>
      <c r="BH2" s="22"/>
    </row>
    <row r="3" spans="1:60" ht="20.25" customHeight="1" x14ac:dyDescent="0.25">
      <c r="A3" s="2" t="s">
        <v>17</v>
      </c>
      <c r="B3" s="29">
        <v>6.9</v>
      </c>
      <c r="C3" s="2">
        <v>1</v>
      </c>
      <c r="D3" s="2">
        <v>20</v>
      </c>
      <c r="E3" s="2">
        <v>20</v>
      </c>
      <c r="F3" s="22">
        <f t="shared" si="0"/>
        <v>3.3452438000000001E-26</v>
      </c>
      <c r="G3" s="22">
        <f t="shared" si="1"/>
        <v>1.82187712E-29</v>
      </c>
      <c r="H3" s="24">
        <f t="shared" ref="H3:H41" si="10">((F3*D3)/(G3*E3))</f>
        <v>1836.1522647586683</v>
      </c>
      <c r="I3" s="24">
        <f t="shared" ref="I3:I41" si="11">D3/E3</f>
        <v>1</v>
      </c>
      <c r="J3" s="26">
        <f t="shared" ref="J3:J41" si="12">(F3)-(G3)</f>
        <v>3.3434219228800004E-26</v>
      </c>
      <c r="K3" s="3">
        <v>41.988</v>
      </c>
      <c r="L3" s="11">
        <f>0.12*EXP(26500/(8.3144598*N3))/1000</f>
        <v>1.4814456494713717E-3</v>
      </c>
      <c r="M3" s="27">
        <f t="shared" ref="M3:M41" si="13">N3^-1</f>
        <v>7.885502503647044E-4</v>
      </c>
      <c r="N3" s="3">
        <v>1268.1500000000001</v>
      </c>
      <c r="O3" s="5">
        <v>2.16E-5</v>
      </c>
      <c r="P3" s="5">
        <v>2.8800000000000001E-4</v>
      </c>
      <c r="R3" s="6">
        <v>1.02E-10</v>
      </c>
      <c r="S3" s="6">
        <v>1.3300000000000001E-10</v>
      </c>
      <c r="T3" s="6">
        <f t="shared" ref="T3:T22" si="14">S3+R3</f>
        <v>2.3500000000000002E-10</v>
      </c>
      <c r="U3" s="6">
        <v>1950000</v>
      </c>
      <c r="V3" s="7">
        <v>2085.5</v>
      </c>
      <c r="W3" s="4">
        <v>0</v>
      </c>
      <c r="X3" s="8">
        <v>2.7549999999999999</v>
      </c>
      <c r="Y3" s="4">
        <v>-6.3599999999999996E-4</v>
      </c>
      <c r="Z3" s="4">
        <v>1</v>
      </c>
      <c r="AA3" s="4">
        <v>1</v>
      </c>
      <c r="AB3" s="11">
        <f t="shared" ref="AB3:AB40" si="15">Z3+AA3</f>
        <v>2</v>
      </c>
      <c r="AC3" s="37">
        <v>0.82789999999999997</v>
      </c>
      <c r="AD3" s="62">
        <f t="shared" si="2"/>
        <v>0.53093354166666662</v>
      </c>
      <c r="AE3" s="62">
        <f t="shared" ref="AE3:AE41" si="16">ABS((AC3-AD3)/AC3)</f>
        <v>0.3586984639851834</v>
      </c>
      <c r="AF3" s="62">
        <f>1/3*AZ3*AT3*AN3</f>
        <v>0.49109756053584946</v>
      </c>
      <c r="AG3" s="62">
        <f>1/3*AZ3*AT3*AO3</f>
        <v>0.59812175800891498</v>
      </c>
      <c r="AH3" s="37">
        <v>0.53220717521206062</v>
      </c>
      <c r="AI3" s="43">
        <f>(AC3-AH3)/AC3</f>
        <v>0.35716007342425338</v>
      </c>
      <c r="AJ3" s="63">
        <f t="shared" si="3"/>
        <v>5067818.8301188033</v>
      </c>
      <c r="AK3" s="63">
        <f t="shared" si="4"/>
        <v>3250000</v>
      </c>
      <c r="AL3" s="38">
        <v>2264711383.8811092</v>
      </c>
      <c r="AM3" s="39">
        <f>AH3/AL3</f>
        <v>2.3499999999999996E-10</v>
      </c>
      <c r="AN3" s="39">
        <v>2.1736793340206901E-10</v>
      </c>
      <c r="AO3" s="39">
        <v>2.6473861999915091E-10</v>
      </c>
      <c r="AP3" s="98">
        <f t="shared" si="5"/>
        <v>3.6644228463935967E-10</v>
      </c>
      <c r="AQ3" s="39">
        <f>AC3/AL3</f>
        <v>3.6556534571800534E-10</v>
      </c>
      <c r="AR3" s="39">
        <f>(AQ3-AM3)/AM3</f>
        <v>0.55559721582129951</v>
      </c>
      <c r="AS3" s="44">
        <f>AH3/AT3</f>
        <v>2.5519404229779941E-4</v>
      </c>
      <c r="AT3" s="45">
        <f t="shared" si="6"/>
        <v>2085.5</v>
      </c>
      <c r="AU3" s="45">
        <v>2720</v>
      </c>
      <c r="AV3" s="46">
        <f>AC3/AS3</f>
        <v>3244.1979935953195</v>
      </c>
      <c r="AW3" s="46">
        <f t="shared" ref="AW3:AW41" si="17">(AV3-AT3)/AT3</f>
        <v>0.55559721582129917</v>
      </c>
      <c r="AX3" s="40">
        <f t="shared" si="7"/>
        <v>7.5812987921945957E-3</v>
      </c>
      <c r="AY3" s="47">
        <v>70.2</v>
      </c>
      <c r="AZ3" s="70">
        <f t="shared" si="8"/>
        <v>3250000</v>
      </c>
      <c r="BA3" s="41">
        <f>AC3/(AX3)</f>
        <v>109.20292455065521</v>
      </c>
      <c r="BB3" s="48">
        <f t="shared" ref="BB3:BB41" si="18">(BA3-AY3)/AY3</f>
        <v>0.55559721582129928</v>
      </c>
      <c r="BC3" s="236">
        <f t="shared" ref="BC3:BC41" si="19">AT3*AZ3</f>
        <v>6777875000</v>
      </c>
      <c r="BD3" s="236">
        <f t="shared" ref="BD3:BD41" si="20">1/3*BC3*T3</f>
        <v>0.53093354166666662</v>
      </c>
      <c r="BE3"/>
      <c r="BF3"/>
      <c r="BG3" s="8">
        <f t="shared" si="9"/>
        <v>3.6428468840931505E-10</v>
      </c>
      <c r="BH3" s="8"/>
    </row>
    <row r="4" spans="1:60" ht="20.25" customHeight="1" x14ac:dyDescent="0.25">
      <c r="A4" s="2" t="s">
        <v>18</v>
      </c>
      <c r="B4" s="30">
        <v>5.0999999999999996</v>
      </c>
      <c r="C4" s="2">
        <v>1</v>
      </c>
      <c r="D4" s="2">
        <v>28</v>
      </c>
      <c r="E4" s="2">
        <v>28</v>
      </c>
      <c r="F4" s="22">
        <f t="shared" si="0"/>
        <v>4.6833413199999998E-26</v>
      </c>
      <c r="G4" s="22">
        <f t="shared" si="1"/>
        <v>2.5506279679999997E-29</v>
      </c>
      <c r="H4" s="24">
        <f t="shared" si="10"/>
        <v>1836.1522647586683</v>
      </c>
      <c r="I4" s="24">
        <f t="shared" si="11"/>
        <v>1</v>
      </c>
      <c r="J4" s="26">
        <f t="shared" si="12"/>
        <v>4.680790692032E-26</v>
      </c>
      <c r="K4" s="3">
        <v>58.097000000000001</v>
      </c>
      <c r="L4" s="11">
        <f>0.107*EXP(23800/(8.3144598*N4))/1000</f>
        <v>1.3500630387524655E-3</v>
      </c>
      <c r="M4" s="27">
        <f t="shared" si="13"/>
        <v>8.856219279989372E-4</v>
      </c>
      <c r="N4" s="3">
        <v>1129.1500000000001</v>
      </c>
      <c r="O4" s="5">
        <v>3.04E-5</v>
      </c>
      <c r="P4" s="5">
        <v>3.4099999999999999E-4</v>
      </c>
      <c r="R4" s="6">
        <v>1.3799999999999999E-10</v>
      </c>
      <c r="S4" s="6">
        <v>1.3300000000000001E-10</v>
      </c>
      <c r="T4" s="6">
        <f t="shared" si="14"/>
        <v>2.7099999999999999E-10</v>
      </c>
      <c r="U4" s="6">
        <v>1910000</v>
      </c>
      <c r="V4" s="7">
        <v>1816.4</v>
      </c>
      <c r="W4" s="4">
        <v>0</v>
      </c>
      <c r="X4" s="4">
        <v>2.6463999999999999</v>
      </c>
      <c r="Y4" s="4">
        <v>-6.5149999999999995E-4</v>
      </c>
      <c r="Z4" s="4">
        <v>1</v>
      </c>
      <c r="AA4" s="4">
        <v>1</v>
      </c>
      <c r="AB4" s="11">
        <f t="shared" si="15"/>
        <v>2</v>
      </c>
      <c r="AC4" s="37">
        <v>0.56999999999999995</v>
      </c>
      <c r="AD4" s="62">
        <f t="shared" si="2"/>
        <v>0.36108717500000004</v>
      </c>
      <c r="AE4" s="62">
        <f t="shared" si="16"/>
        <v>0.36651372807017529</v>
      </c>
      <c r="AF4" s="62">
        <f>1/3*AZ4*AT4*AN4</f>
        <v>0.32961603483108115</v>
      </c>
      <c r="AG4" s="62">
        <f>1/3*AZ4*AT4*AO4</f>
        <v>0.40376310518547792</v>
      </c>
      <c r="AH4" s="37">
        <v>0.3607730892591835</v>
      </c>
      <c r="AI4" s="43">
        <f>(AC4-AH4)/AC4</f>
        <v>0.36706475568564295</v>
      </c>
      <c r="AJ4" s="63">
        <f t="shared" si="3"/>
        <v>3473884.1112260493</v>
      </c>
      <c r="AK4" s="63">
        <f t="shared" si="4"/>
        <v>2200657.8947368423</v>
      </c>
      <c r="AL4" s="38">
        <v>1331266012.0265069</v>
      </c>
      <c r="AM4" s="39">
        <f>AH4/AL4</f>
        <v>2.710000000000001E-10</v>
      </c>
      <c r="AN4" s="39">
        <v>2.4738055412580903E-10</v>
      </c>
      <c r="AO4" s="39">
        <v>3.0302876723678847E-10</v>
      </c>
      <c r="AP4" s="98">
        <f t="shared" si="5"/>
        <v>4.277914329136723E-10</v>
      </c>
      <c r="AQ4" s="39">
        <f>AC4/AL4</f>
        <v>4.2816386420947E-10</v>
      </c>
      <c r="AR4" s="39">
        <f>(AQ4-AM4)/AM4</f>
        <v>0.57994045833752716</v>
      </c>
      <c r="AS4" s="44">
        <f>AH4/AT4</f>
        <v>1.9861984654216225E-4</v>
      </c>
      <c r="AT4" s="45">
        <f t="shared" si="6"/>
        <v>1816.4</v>
      </c>
      <c r="AU4" s="45">
        <v>2360</v>
      </c>
      <c r="AV4" s="46">
        <f>AC4/AS4</f>
        <v>2869.8038485242841</v>
      </c>
      <c r="AW4" s="46">
        <f t="shared" si="17"/>
        <v>0.57994045833752694</v>
      </c>
      <c r="AX4" s="40">
        <f t="shared" si="7"/>
        <v>5.3927218125438487E-3</v>
      </c>
      <c r="AY4" s="47">
        <v>66.900000000000006</v>
      </c>
      <c r="AZ4" s="70">
        <f t="shared" si="8"/>
        <v>2200657.8947368423</v>
      </c>
      <c r="BA4" s="41">
        <f>AC4/(AX4)</f>
        <v>105.69801666278057</v>
      </c>
      <c r="BB4" s="48">
        <f t="shared" si="18"/>
        <v>0.57994045833752716</v>
      </c>
      <c r="BC4" s="236">
        <f t="shared" si="19"/>
        <v>3997275000.0000005</v>
      </c>
      <c r="BD4" s="236">
        <f t="shared" si="20"/>
        <v>0.36108717499999998</v>
      </c>
      <c r="BE4"/>
      <c r="BF4"/>
      <c r="BG4" s="8">
        <f t="shared" si="9"/>
        <v>3.8914296812648964E-10</v>
      </c>
      <c r="BH4" s="8"/>
    </row>
    <row r="5" spans="1:60" ht="20.25" customHeight="1" x14ac:dyDescent="0.25">
      <c r="A5" s="2" t="s">
        <v>19</v>
      </c>
      <c r="B5" s="30"/>
      <c r="C5" s="2">
        <v>1</v>
      </c>
      <c r="D5" s="2">
        <v>46</v>
      </c>
      <c r="E5" s="2">
        <v>46</v>
      </c>
      <c r="F5" s="22">
        <f t="shared" si="0"/>
        <v>7.6940607399999996E-26</v>
      </c>
      <c r="G5" s="22">
        <f t="shared" si="1"/>
        <v>4.1903173759999999E-29</v>
      </c>
      <c r="H5" s="24">
        <f t="shared" si="10"/>
        <v>1836.1522647586683</v>
      </c>
      <c r="I5" s="24">
        <f t="shared" si="11"/>
        <v>1</v>
      </c>
      <c r="J5" s="26">
        <f t="shared" si="12"/>
        <v>7.689870422624E-26</v>
      </c>
      <c r="K5" s="9">
        <v>104.4662</v>
      </c>
      <c r="L5" s="11">
        <f>0.115*EXP(27000/(8.3144598*N5))/1000</f>
        <v>2.5481160758264749E-3</v>
      </c>
      <c r="M5" s="27">
        <f t="shared" si="13"/>
        <v>9.5406191861851825E-4</v>
      </c>
      <c r="N5" s="4">
        <v>1048.1500000000001</v>
      </c>
      <c r="O5" s="5">
        <v>3.57E-5</v>
      </c>
      <c r="P5" s="5">
        <v>3.4900000000000003E-4</v>
      </c>
      <c r="R5" s="6">
        <v>1.5199999999999999E-10</v>
      </c>
      <c r="S5" s="6">
        <v>1.3300000000000001E-10</v>
      </c>
      <c r="T5" s="6">
        <f t="shared" si="14"/>
        <v>2.85E-10</v>
      </c>
      <c r="U5" s="6">
        <f>K5/O5</f>
        <v>2926224.0896358541</v>
      </c>
      <c r="V5" s="7">
        <v>1760.4</v>
      </c>
      <c r="W5" s="4">
        <v>0</v>
      </c>
      <c r="X5" s="6">
        <f>U5*100^3/1000</f>
        <v>2926224089.6358538</v>
      </c>
      <c r="Y5" s="4">
        <v>0</v>
      </c>
      <c r="AC5" s="37">
        <v>0.48965000000000003</v>
      </c>
      <c r="AD5" s="62">
        <f t="shared" si="2"/>
        <v>0.32557537815126053</v>
      </c>
      <c r="AE5" s="62">
        <f t="shared" si="16"/>
        <v>0.33508551383383944</v>
      </c>
      <c r="AF5" s="62">
        <f t="shared" ref="AF5:AF6" si="21">1/3*AZ5*AT5*AN5</f>
        <v>0.29579640687862813</v>
      </c>
      <c r="AG5" s="62"/>
      <c r="AH5" s="37"/>
      <c r="AI5" s="43"/>
      <c r="AJ5" s="63">
        <f t="shared" si="3"/>
        <v>2927863.2846601852</v>
      </c>
      <c r="AK5" s="63">
        <f t="shared" si="4"/>
        <v>1946778.7114845938</v>
      </c>
      <c r="AL5" s="38"/>
      <c r="AM5" s="39"/>
      <c r="AN5" s="39">
        <v>2.5893228302185304E-10</v>
      </c>
      <c r="AO5" s="39"/>
      <c r="AP5" s="98">
        <f t="shared" si="5"/>
        <v>4.2862654661546839E-10</v>
      </c>
      <c r="AQ5" s="39">
        <v>2.5893228302185304E-10</v>
      </c>
      <c r="AR5" s="39"/>
      <c r="AS5" s="44"/>
      <c r="AT5" s="45">
        <f t="shared" si="6"/>
        <v>1760.4</v>
      </c>
      <c r="AU5" s="45"/>
      <c r="AV5" s="46"/>
      <c r="AW5" s="46"/>
      <c r="AX5" s="40">
        <f t="shared" si="7"/>
        <v>0</v>
      </c>
      <c r="AY5" s="47">
        <v>69.5</v>
      </c>
      <c r="AZ5" s="70">
        <f t="shared" si="8"/>
        <v>1946778.7114845938</v>
      </c>
      <c r="BA5" s="41"/>
      <c r="BB5" s="48"/>
      <c r="BC5" s="236">
        <f t="shared" si="19"/>
        <v>3427109243.6974792</v>
      </c>
      <c r="BD5" s="236">
        <f t="shared" si="20"/>
        <v>0.32557537815126053</v>
      </c>
      <c r="BE5"/>
      <c r="BF5"/>
      <c r="BG5" s="8">
        <f t="shared" si="9"/>
        <v>4.94652566383765E-10</v>
      </c>
      <c r="BH5" s="8"/>
    </row>
    <row r="6" spans="1:60" ht="20.25" customHeight="1" x14ac:dyDescent="0.25">
      <c r="A6" s="2" t="s">
        <v>20</v>
      </c>
      <c r="B6" s="30"/>
      <c r="C6" s="2">
        <v>1</v>
      </c>
      <c r="D6" s="2">
        <v>64</v>
      </c>
      <c r="E6" s="2">
        <v>64</v>
      </c>
      <c r="F6" s="22">
        <f t="shared" si="0"/>
        <v>1.070478016E-25</v>
      </c>
      <c r="G6" s="22">
        <f t="shared" si="1"/>
        <v>5.8300067839999996E-29</v>
      </c>
      <c r="H6" s="24">
        <f t="shared" si="10"/>
        <v>1836.1522647586685</v>
      </c>
      <c r="I6" s="24">
        <f t="shared" si="11"/>
        <v>1</v>
      </c>
      <c r="J6" s="26">
        <f t="shared" si="12"/>
        <v>1.0698950153215999E-25</v>
      </c>
      <c r="K6" s="3">
        <v>58.44</v>
      </c>
      <c r="L6" s="11">
        <f>0.115*EXP(27000/(8.3144598*N6))/1000</f>
        <v>3.4453112314492135E-3</v>
      </c>
      <c r="M6" s="27">
        <f t="shared" si="13"/>
        <v>1.0469559755012302E-3</v>
      </c>
      <c r="N6" s="3">
        <v>955.15</v>
      </c>
      <c r="O6" s="5">
        <v>4.57E-5</v>
      </c>
      <c r="P6" s="5">
        <v>3.8499999999999998E-4</v>
      </c>
      <c r="R6" s="6">
        <v>1.6699999999999999E-10</v>
      </c>
      <c r="S6" s="6">
        <v>1.3300000000000001E-10</v>
      </c>
      <c r="T6" s="6">
        <f t="shared" si="14"/>
        <v>3E-10</v>
      </c>
      <c r="U6" s="6">
        <v>2196977.25</v>
      </c>
      <c r="V6" s="4">
        <v>2732.9322499999998</v>
      </c>
      <c r="W6" s="4">
        <v>-0.91500000000000004</v>
      </c>
      <c r="X6" s="4">
        <v>4.8985000000000003</v>
      </c>
      <c r="Y6" s="4">
        <v>-5.4299999999999997E-4</v>
      </c>
      <c r="AC6" s="37">
        <v>0.36715000000000003</v>
      </c>
      <c r="AD6" s="62">
        <f t="shared" si="2"/>
        <v>0.301421612691466</v>
      </c>
      <c r="AE6" s="62">
        <f t="shared" si="16"/>
        <v>0.17902325291715654</v>
      </c>
      <c r="AF6" s="62">
        <f t="shared" si="21"/>
        <v>0.28095436645910149</v>
      </c>
      <c r="AG6" s="62"/>
      <c r="AH6" s="37"/>
      <c r="AI6" s="43"/>
      <c r="AJ6" s="63">
        <f t="shared" si="3"/>
        <v>1975018.424181133</v>
      </c>
      <c r="AK6" s="63">
        <f t="shared" si="4"/>
        <v>1621444.2013129101</v>
      </c>
      <c r="AL6" s="38"/>
      <c r="AM6" s="39"/>
      <c r="AN6" s="39">
        <v>2.7962928465917803E-10</v>
      </c>
      <c r="AO6" s="39"/>
      <c r="AP6" s="98">
        <f t="shared" si="5"/>
        <v>3.6541838860355382E-10</v>
      </c>
      <c r="AQ6" s="39">
        <v>2.7962928465917803E-10</v>
      </c>
      <c r="AR6" s="39"/>
      <c r="AS6" s="44"/>
      <c r="AT6" s="45">
        <f t="shared" si="6"/>
        <v>1858.9699999999998</v>
      </c>
      <c r="AU6" s="45"/>
      <c r="AV6" s="46"/>
      <c r="AW6" s="46"/>
      <c r="AX6" s="40">
        <f t="shared" si="7"/>
        <v>0</v>
      </c>
      <c r="AY6" s="47">
        <v>74.099999999999994</v>
      </c>
      <c r="AZ6" s="70">
        <f t="shared" si="8"/>
        <v>1621444.2013129101</v>
      </c>
      <c r="BA6" s="41"/>
      <c r="BB6" s="48"/>
      <c r="BC6" s="236">
        <f t="shared" si="19"/>
        <v>3014216126.91466</v>
      </c>
      <c r="BD6" s="236">
        <f t="shared" si="20"/>
        <v>0.301421612691466</v>
      </c>
      <c r="BE6"/>
      <c r="BF6"/>
      <c r="BG6" s="8">
        <f t="shared" si="9"/>
        <v>8.4358824408450485E-10</v>
      </c>
      <c r="BH6" s="8"/>
    </row>
    <row r="7" spans="1:60" ht="20.25" customHeight="1" x14ac:dyDescent="0.25">
      <c r="A7" s="2" t="s">
        <v>21</v>
      </c>
      <c r="B7" s="30">
        <v>3.67</v>
      </c>
      <c r="C7" s="2">
        <v>1</v>
      </c>
      <c r="D7" s="2">
        <v>20</v>
      </c>
      <c r="E7" s="2">
        <v>20</v>
      </c>
      <c r="F7" s="22">
        <f t="shared" si="0"/>
        <v>3.3452438000000001E-26</v>
      </c>
      <c r="G7" s="22">
        <f t="shared" si="1"/>
        <v>1.82187712E-29</v>
      </c>
      <c r="H7" s="24">
        <f t="shared" si="10"/>
        <v>1836.1522647586683</v>
      </c>
      <c r="I7" s="24">
        <f t="shared" si="11"/>
        <v>1</v>
      </c>
      <c r="J7" s="26">
        <f t="shared" si="12"/>
        <v>3.3434219228800004E-26</v>
      </c>
      <c r="K7" s="3">
        <v>42.393999999999998</v>
      </c>
      <c r="L7" s="11">
        <f>0.0726*EXP(22400/(8.3144598*N7))/1000</f>
        <v>1.5609788980515524E-3</v>
      </c>
      <c r="M7" s="27">
        <f t="shared" si="13"/>
        <v>1.1388224575788635E-3</v>
      </c>
      <c r="N7" s="3">
        <v>878.1</v>
      </c>
      <c r="O7" s="5">
        <f>K7/U7</f>
        <v>2.828152101400934E-5</v>
      </c>
      <c r="P7" s="5">
        <v>2.8800000000000001E-4</v>
      </c>
      <c r="R7" s="6">
        <v>7.5999999999999996E-11</v>
      </c>
      <c r="S7" s="6">
        <v>1.81E-10</v>
      </c>
      <c r="T7" s="6">
        <f t="shared" si="14"/>
        <v>2.5699999999999999E-10</v>
      </c>
      <c r="U7" s="6">
        <v>1499000</v>
      </c>
      <c r="V7" s="4">
        <v>2787.9043499999998</v>
      </c>
      <c r="W7" s="4">
        <v>-0.84899999999999998</v>
      </c>
      <c r="X7" s="4">
        <v>1.8842000000000001</v>
      </c>
      <c r="Y7" s="4">
        <v>-4.328E-4</v>
      </c>
      <c r="Z7" s="4">
        <v>1</v>
      </c>
      <c r="AA7" s="4">
        <v>1</v>
      </c>
      <c r="AB7" s="11">
        <f t="shared" si="15"/>
        <v>2</v>
      </c>
      <c r="AC7" s="37">
        <v>0.61260000000000003</v>
      </c>
      <c r="AD7" s="62">
        <f t="shared" si="2"/>
        <v>0.40225025742942672</v>
      </c>
      <c r="AE7" s="62">
        <f t="shared" si="16"/>
        <v>0.34337209038617911</v>
      </c>
      <c r="AF7" s="62">
        <f>1/3*AZ7*AT7*AN7</f>
        <v>0.37226977205251366</v>
      </c>
      <c r="AG7" s="235">
        <f>1/3*AZ7*AT7*AO7</f>
        <v>0.467412663978306</v>
      </c>
      <c r="AH7" s="37">
        <v>0.40224439226966308</v>
      </c>
      <c r="AI7" s="43">
        <f t="shared" ref="AI7:AI14" si="22">(AC7-AH7)/AC7</f>
        <v>0.34338166459408576</v>
      </c>
      <c r="AJ7" s="63">
        <f t="shared" si="3"/>
        <v>3501264.0476249694</v>
      </c>
      <c r="AK7" s="63">
        <f t="shared" si="4"/>
        <v>2299027.692598009</v>
      </c>
      <c r="AL7" s="38">
        <v>1565153277.313864</v>
      </c>
      <c r="AM7" s="39">
        <f t="shared" ref="AM7:AM14" si="23">AH7/AL7</f>
        <v>2.5700000000000004E-10</v>
      </c>
      <c r="AN7" s="39">
        <v>2.3784529568456903E-10</v>
      </c>
      <c r="AO7" s="39">
        <v>2.9863263583740558E-10</v>
      </c>
      <c r="AP7" s="98">
        <f t="shared" si="5"/>
        <v>3.9139365877875649E-10</v>
      </c>
      <c r="AQ7" s="39">
        <f t="shared" ref="AQ7:AQ14" si="24">AC7/AL7</f>
        <v>3.9139936572305044E-10</v>
      </c>
      <c r="AR7" s="39">
        <f t="shared" ref="AR7:AR14" si="25">(AQ7-AM7)/AM7</f>
        <v>0.52295473043988472</v>
      </c>
      <c r="AS7" s="44">
        <f t="shared" ref="AS7:AS14" si="26">AH7/AT7</f>
        <v>1.969471672957989E-4</v>
      </c>
      <c r="AT7" s="45">
        <f t="shared" si="6"/>
        <v>2042.3974499999999</v>
      </c>
      <c r="AU7" s="45">
        <v>3500</v>
      </c>
      <c r="AV7" s="46">
        <f t="shared" ref="AV7:AV14" si="27">AC7/AS7</f>
        <v>3110.478857915858</v>
      </c>
      <c r="AW7" s="46">
        <f t="shared" si="17"/>
        <v>0.52295473043988483</v>
      </c>
      <c r="AX7" s="40">
        <f t="shared" si="7"/>
        <v>6.1864717359222257E-3</v>
      </c>
      <c r="AY7" s="47">
        <v>65.02</v>
      </c>
      <c r="AZ7" s="70">
        <f t="shared" si="8"/>
        <v>2299027.692598009</v>
      </c>
      <c r="BA7" s="41">
        <f t="shared" ref="BA7:BA14" si="28">AC7/(AX7)</f>
        <v>99.022516573201301</v>
      </c>
      <c r="BB7" s="48">
        <f t="shared" si="18"/>
        <v>0.52295473043988472</v>
      </c>
      <c r="BC7" s="236">
        <f t="shared" si="19"/>
        <v>4695528296.8415575</v>
      </c>
      <c r="BD7" s="236">
        <f t="shared" si="20"/>
        <v>0.40225025742942672</v>
      </c>
      <c r="BE7"/>
      <c r="BF7"/>
      <c r="BG7" s="8">
        <f t="shared" si="9"/>
        <v>5.0986492855295244E-10</v>
      </c>
      <c r="BH7" s="8"/>
    </row>
    <row r="8" spans="1:60" ht="20.25" customHeight="1" x14ac:dyDescent="0.25">
      <c r="A8" s="2" t="s">
        <v>22</v>
      </c>
      <c r="B8" s="30">
        <v>3.94</v>
      </c>
      <c r="C8" s="2">
        <v>1</v>
      </c>
      <c r="D8" s="2">
        <v>28</v>
      </c>
      <c r="E8" s="2">
        <v>28</v>
      </c>
      <c r="F8" s="22">
        <f t="shared" si="0"/>
        <v>4.6833413199999998E-26</v>
      </c>
      <c r="G8" s="22">
        <f t="shared" si="1"/>
        <v>2.5506279679999997E-29</v>
      </c>
      <c r="H8" s="24">
        <f t="shared" si="10"/>
        <v>1836.1522647586683</v>
      </c>
      <c r="I8" s="24">
        <f t="shared" si="11"/>
        <v>1</v>
      </c>
      <c r="J8" s="26">
        <f t="shared" si="12"/>
        <v>4.680790692032E-26</v>
      </c>
      <c r="K8" s="3">
        <v>58.44</v>
      </c>
      <c r="L8" s="11">
        <f>0.0893*EXP(22000/(8.3144598*N8))/1000</f>
        <v>1.0321390978018604E-3</v>
      </c>
      <c r="M8" s="27">
        <f t="shared" si="13"/>
        <v>9.2494103500901812E-4</v>
      </c>
      <c r="N8" s="3">
        <v>1081.1500000000001</v>
      </c>
      <c r="O8" s="5">
        <v>3.765E-5</v>
      </c>
      <c r="P8" s="5">
        <v>3.5E-4</v>
      </c>
      <c r="R8" s="6">
        <v>1.02E-10</v>
      </c>
      <c r="S8" s="6">
        <v>1.81E-10</v>
      </c>
      <c r="T8" s="6">
        <f t="shared" si="14"/>
        <v>2.8300000000000001E-10</v>
      </c>
      <c r="U8" s="6">
        <v>1560000</v>
      </c>
      <c r="V8" s="4">
        <v>2732.9322499999998</v>
      </c>
      <c r="W8" s="4">
        <v>-0.91500000000000004</v>
      </c>
      <c r="X8" s="4">
        <v>2.1393</v>
      </c>
      <c r="Y8" s="4">
        <v>-5.4299999999999997E-4</v>
      </c>
      <c r="Z8" s="4">
        <v>1</v>
      </c>
      <c r="AA8" s="4">
        <v>1</v>
      </c>
      <c r="AB8" s="11">
        <f t="shared" si="15"/>
        <v>2</v>
      </c>
      <c r="AC8" s="37">
        <v>0.46649999999999997</v>
      </c>
      <c r="AD8" s="62">
        <f t="shared" si="2"/>
        <v>0.30415923375652942</v>
      </c>
      <c r="AE8" s="62">
        <f t="shared" si="16"/>
        <v>0.34799735529146958</v>
      </c>
      <c r="AF8" s="62">
        <f>1/3*AZ8*AT8*AN8</f>
        <v>0.28617343538334455</v>
      </c>
      <c r="AG8" s="62">
        <f>1/3*AZ8*AT8*AO8</f>
        <v>0.346144472817148</v>
      </c>
      <c r="AH8" s="37">
        <v>0.30612615309310248</v>
      </c>
      <c r="AI8" s="43">
        <f t="shared" si="22"/>
        <v>0.34378102230846197</v>
      </c>
      <c r="AJ8" s="63">
        <f t="shared" si="3"/>
        <v>2836087.8612926682</v>
      </c>
      <c r="AK8" s="63">
        <f t="shared" si="4"/>
        <v>1849136.7861885792</v>
      </c>
      <c r="AL8" s="38">
        <v>1081717855.4526589</v>
      </c>
      <c r="AM8" s="39">
        <f t="shared" si="23"/>
        <v>2.8300000000000001E-10</v>
      </c>
      <c r="AN8" s="39">
        <v>2.66265407146292E-10</v>
      </c>
      <c r="AO8" s="39">
        <v>3.220644811515606E-10</v>
      </c>
      <c r="AP8" s="98">
        <f t="shared" si="5"/>
        <v>4.3404731912784125E-10</v>
      </c>
      <c r="AQ8" s="39">
        <f t="shared" si="24"/>
        <v>4.3125848172746209E-10</v>
      </c>
      <c r="AR8" s="39">
        <f t="shared" si="25"/>
        <v>0.52388156087442428</v>
      </c>
      <c r="AS8" s="44">
        <f t="shared" si="26"/>
        <v>1.7556326452852731E-4</v>
      </c>
      <c r="AT8" s="45">
        <f t="shared" si="6"/>
        <v>1743.6799999999998</v>
      </c>
      <c r="AU8" s="45">
        <v>2720</v>
      </c>
      <c r="AV8" s="46">
        <f t="shared" si="27"/>
        <v>2657.1618000655158</v>
      </c>
      <c r="AW8" s="46">
        <f t="shared" si="17"/>
        <v>0.52388156087442417</v>
      </c>
      <c r="AX8" s="40">
        <f t="shared" si="7"/>
        <v>4.3971007338854135E-3</v>
      </c>
      <c r="AY8" s="47">
        <v>69.62</v>
      </c>
      <c r="AZ8" s="70">
        <f t="shared" si="8"/>
        <v>1849136.7861885792</v>
      </c>
      <c r="BA8" s="41">
        <f t="shared" si="28"/>
        <v>106.09263426807742</v>
      </c>
      <c r="BB8" s="48">
        <f t="shared" si="18"/>
        <v>0.52388156087442417</v>
      </c>
      <c r="BC8" s="236">
        <f t="shared" si="19"/>
        <v>3224302831.3413014</v>
      </c>
      <c r="BD8" s="236">
        <f t="shared" si="20"/>
        <v>0.30415923375652942</v>
      </c>
      <c r="BE8"/>
      <c r="BF8"/>
      <c r="BG8" s="8">
        <f t="shared" si="9"/>
        <v>3.7944326183477726E-10</v>
      </c>
      <c r="BH8" s="8"/>
    </row>
    <row r="9" spans="1:60" ht="20.25" customHeight="1" x14ac:dyDescent="0.25">
      <c r="A9" s="2" t="s">
        <v>23</v>
      </c>
      <c r="B9" s="30">
        <v>3.34</v>
      </c>
      <c r="C9" s="2">
        <v>1</v>
      </c>
      <c r="D9" s="2">
        <v>36</v>
      </c>
      <c r="E9" s="2">
        <v>36</v>
      </c>
      <c r="F9" s="22">
        <f t="shared" si="0"/>
        <v>6.0214388399999996E-26</v>
      </c>
      <c r="G9" s="22">
        <f t="shared" si="1"/>
        <v>3.2793788159999999E-29</v>
      </c>
      <c r="H9" s="24">
        <f t="shared" si="10"/>
        <v>1836.1522647586683</v>
      </c>
      <c r="I9" s="24">
        <f t="shared" si="11"/>
        <v>1</v>
      </c>
      <c r="J9" s="26">
        <f t="shared" si="12"/>
        <v>6.0181594611840001E-26</v>
      </c>
      <c r="K9" s="3">
        <v>74.551299999999998</v>
      </c>
      <c r="L9" s="11">
        <f>0.0708*EXP(23900/(8.3144598*N9))/1000</f>
        <v>1.1078669041234444E-3</v>
      </c>
      <c r="M9" s="27">
        <f t="shared" si="13"/>
        <v>9.5680045926422035E-4</v>
      </c>
      <c r="N9" s="3">
        <v>1045.1500000000001</v>
      </c>
      <c r="O9" s="5">
        <v>4.884E-5</v>
      </c>
      <c r="P9" s="5">
        <v>3.8200000000000002E-4</v>
      </c>
      <c r="R9" s="6">
        <v>1.3799999999999999E-10</v>
      </c>
      <c r="S9" s="6">
        <v>1.81E-10</v>
      </c>
      <c r="T9" s="6">
        <f>S9+R9</f>
        <v>3.1899999999999998E-10</v>
      </c>
      <c r="U9" s="6">
        <v>1530000</v>
      </c>
      <c r="V9" s="4">
        <v>2514.8256999999999</v>
      </c>
      <c r="W9" s="4">
        <v>-0.878</v>
      </c>
      <c r="X9" s="4">
        <v>2.1358999999999999</v>
      </c>
      <c r="Y9" s="4">
        <v>-5.8310000000000002E-4</v>
      </c>
      <c r="Z9" s="4">
        <v>1</v>
      </c>
      <c r="AA9" s="4">
        <v>1</v>
      </c>
      <c r="AB9" s="11">
        <f t="shared" si="15"/>
        <v>2</v>
      </c>
      <c r="AC9" s="37">
        <v>0.35505000000000003</v>
      </c>
      <c r="AD9" s="62">
        <f t="shared" si="2"/>
        <v>0.25593314786786775</v>
      </c>
      <c r="AE9" s="62">
        <f t="shared" si="16"/>
        <v>0.27916308162831227</v>
      </c>
      <c r="AF9" s="62">
        <f>1/3*AZ9*AT9*AN9</f>
        <v>0.2397757949166118</v>
      </c>
      <c r="AG9" s="62">
        <f>1/3*AZ9*AT9*AO9</f>
        <v>0.28781059971565698</v>
      </c>
      <c r="AH9" s="37">
        <v>0.25652333922633108</v>
      </c>
      <c r="AI9" s="43">
        <f t="shared" si="22"/>
        <v>0.27750080488288675</v>
      </c>
      <c r="AJ9" s="63">
        <f t="shared" si="3"/>
        <v>2090572.0400192747</v>
      </c>
      <c r="AK9" s="63">
        <f t="shared" si="4"/>
        <v>1506961.5069615068</v>
      </c>
      <c r="AL9" s="38">
        <v>804148398.82862413</v>
      </c>
      <c r="AM9" s="39">
        <f t="shared" si="23"/>
        <v>3.1899999999999998E-10</v>
      </c>
      <c r="AN9" s="39">
        <v>2.9886116439238405E-10</v>
      </c>
      <c r="AO9" s="39">
        <v>3.5873266934807023E-10</v>
      </c>
      <c r="AP9" s="98">
        <f t="shared" si="5"/>
        <v>4.4254115163884105E-10</v>
      </c>
      <c r="AQ9" s="39">
        <f t="shared" si="24"/>
        <v>4.4152298321701493E-10</v>
      </c>
      <c r="AR9" s="39">
        <f t="shared" si="25"/>
        <v>0.38408458688719421</v>
      </c>
      <c r="AS9" s="44">
        <f t="shared" si="26"/>
        <v>1.6060976019439908E-4</v>
      </c>
      <c r="AT9" s="45">
        <f t="shared" si="6"/>
        <v>1597.1839999999997</v>
      </c>
      <c r="AU9" s="45">
        <v>2360</v>
      </c>
      <c r="AV9" s="46">
        <f t="shared" si="27"/>
        <v>2210.6377568228363</v>
      </c>
      <c r="AW9" s="46">
        <f t="shared" si="17"/>
        <v>0.38408458688719438</v>
      </c>
      <c r="AX9" s="40">
        <f t="shared" si="7"/>
        <v>3.4853714568794988E-3</v>
      </c>
      <c r="AY9" s="47">
        <v>73.599999999999994</v>
      </c>
      <c r="AZ9" s="70">
        <f t="shared" si="8"/>
        <v>1506961.5069615068</v>
      </c>
      <c r="BA9" s="41">
        <f t="shared" si="28"/>
        <v>101.86862559489748</v>
      </c>
      <c r="BB9" s="48">
        <f t="shared" si="18"/>
        <v>0.38408458688719416</v>
      </c>
      <c r="BC9" s="236">
        <f t="shared" si="19"/>
        <v>2406894807.5348067</v>
      </c>
      <c r="BD9" s="236">
        <f t="shared" si="20"/>
        <v>0.25593314786786775</v>
      </c>
      <c r="BE9"/>
      <c r="BF9"/>
      <c r="BG9" s="8">
        <f t="shared" si="9"/>
        <v>4.5335791979318428E-10</v>
      </c>
      <c r="BH9" s="8"/>
    </row>
    <row r="10" spans="1:60" ht="20.25" customHeight="1" x14ac:dyDescent="0.25">
      <c r="A10" s="2" t="s">
        <v>24</v>
      </c>
      <c r="B10" s="30">
        <v>0.52</v>
      </c>
      <c r="C10" s="2">
        <v>1</v>
      </c>
      <c r="D10" s="2">
        <v>13</v>
      </c>
      <c r="E10" s="2">
        <v>12</v>
      </c>
      <c r="F10" s="22">
        <f t="shared" si="0"/>
        <v>2.17440847E-26</v>
      </c>
      <c r="G10" s="22">
        <f t="shared" si="1"/>
        <v>1.0931262719999999E-29</v>
      </c>
      <c r="H10" s="24">
        <f t="shared" si="10"/>
        <v>2154.9286996126039</v>
      </c>
      <c r="I10" s="24">
        <f t="shared" si="11"/>
        <v>1.0833333333333333</v>
      </c>
      <c r="J10" s="26">
        <f t="shared" si="12"/>
        <v>2.1733153437280001E-26</v>
      </c>
      <c r="K10" s="3">
        <v>47.01</v>
      </c>
      <c r="L10" s="20">
        <f>10^(-8.12+11500/N10+639000/N10^2)/1000</f>
        <v>1.5280162636820758</v>
      </c>
      <c r="M10" s="27">
        <f t="shared" si="13"/>
        <v>9.3444844180722323E-4</v>
      </c>
      <c r="N10" s="3">
        <v>1070.1500000000001</v>
      </c>
      <c r="O10" s="5">
        <v>2.4000000000000001E-5</v>
      </c>
      <c r="P10" s="5">
        <v>7.4200000000000001E-6</v>
      </c>
      <c r="R10" s="10">
        <v>3.3999999999999999E-11</v>
      </c>
      <c r="S10" s="6">
        <v>1.3300000000000001E-10</v>
      </c>
      <c r="T10" s="6">
        <f t="shared" si="14"/>
        <v>1.6699999999999999E-10</v>
      </c>
      <c r="U10" s="6">
        <v>1960000</v>
      </c>
      <c r="V10" s="7">
        <v>2547.8000000000002</v>
      </c>
      <c r="W10" s="4">
        <v>0</v>
      </c>
      <c r="X10" s="4">
        <v>1.972</v>
      </c>
      <c r="Y10" s="8">
        <v>-1.45E-5</v>
      </c>
      <c r="Z10" s="4">
        <v>1</v>
      </c>
      <c r="AA10" s="4">
        <v>2</v>
      </c>
      <c r="AB10" s="11">
        <f t="shared" si="15"/>
        <v>3</v>
      </c>
      <c r="AC10" s="37">
        <v>0.79925905600000002</v>
      </c>
      <c r="AD10" s="62">
        <f t="shared" si="2"/>
        <v>0.51944334083333332</v>
      </c>
      <c r="AE10" s="62">
        <f t="shared" si="16"/>
        <v>0.35009389392100509</v>
      </c>
      <c r="AF10" s="62"/>
      <c r="AG10" s="62"/>
      <c r="AH10" s="37">
        <v>0.51979938659180325</v>
      </c>
      <c r="AI10" s="43">
        <f t="shared" si="22"/>
        <v>0.34964842413771385</v>
      </c>
      <c r="AJ10" s="63">
        <f t="shared" si="3"/>
        <v>5635429.4347171905</v>
      </c>
      <c r="AK10" s="63">
        <f t="shared" si="4"/>
        <v>3662499.9999999995</v>
      </c>
      <c r="AL10" s="38">
        <v>3112571177.1964269</v>
      </c>
      <c r="AM10" s="39">
        <f t="shared" si="23"/>
        <v>1.6699999999999999E-10</v>
      </c>
      <c r="AN10" s="39"/>
      <c r="AO10" s="39"/>
      <c r="AP10" s="98">
        <f t="shared" si="5"/>
        <v>2.5696019538505687E-10</v>
      </c>
      <c r="AQ10" s="39">
        <f t="shared" si="24"/>
        <v>2.5678418596676501E-10</v>
      </c>
      <c r="AR10" s="39">
        <f t="shared" si="25"/>
        <v>0.53762985608841329</v>
      </c>
      <c r="AS10" s="44">
        <f t="shared" si="26"/>
        <v>2.0401891301978303E-4</v>
      </c>
      <c r="AT10" s="45">
        <f t="shared" si="6"/>
        <v>2547.8000000000002</v>
      </c>
      <c r="AU10" s="45"/>
      <c r="AV10" s="46">
        <f t="shared" si="27"/>
        <v>3917.5733473420601</v>
      </c>
      <c r="AW10" s="46">
        <f t="shared" si="17"/>
        <v>0.5376298560884134</v>
      </c>
      <c r="AX10" s="40">
        <f t="shared" si="7"/>
        <v>5.9135311330125511E-3</v>
      </c>
      <c r="AY10" s="47">
        <v>87.9</v>
      </c>
      <c r="AZ10" s="70">
        <f t="shared" si="8"/>
        <v>3662500</v>
      </c>
      <c r="BA10" s="41">
        <f t="shared" si="28"/>
        <v>135.15766435017156</v>
      </c>
      <c r="BB10" s="48">
        <f t="shared" si="18"/>
        <v>0.53762985608841352</v>
      </c>
      <c r="BC10" s="236">
        <f t="shared" si="19"/>
        <v>9331317500</v>
      </c>
      <c r="BD10" s="236">
        <f t="shared" si="20"/>
        <v>0.51944334083333332</v>
      </c>
      <c r="BE10"/>
      <c r="BF10"/>
      <c r="BG10" s="8"/>
      <c r="BH10" s="8"/>
    </row>
    <row r="11" spans="1:60" ht="20.25" customHeight="1" x14ac:dyDescent="0.25">
      <c r="A11" s="2" t="s">
        <v>25</v>
      </c>
      <c r="B11" s="30">
        <v>0.02</v>
      </c>
      <c r="C11" s="2">
        <v>1</v>
      </c>
      <c r="D11" s="2">
        <v>21</v>
      </c>
      <c r="E11" s="2">
        <v>20</v>
      </c>
      <c r="F11" s="22">
        <f t="shared" si="0"/>
        <v>3.51250599E-26</v>
      </c>
      <c r="G11" s="22">
        <f t="shared" si="1"/>
        <v>1.82187712E-29</v>
      </c>
      <c r="H11" s="24">
        <f t="shared" si="10"/>
        <v>2024.3578718964318</v>
      </c>
      <c r="I11" s="24">
        <f t="shared" si="11"/>
        <v>1.05</v>
      </c>
      <c r="J11" s="26">
        <f t="shared" si="12"/>
        <v>3.5106841128800003E-26</v>
      </c>
      <c r="K11" s="11">
        <v>62.3018</v>
      </c>
      <c r="L11" s="11">
        <f>0.187*EXP(32100/(8.3144598*N11))/1000</f>
        <v>2.3159210132636244E-3</v>
      </c>
      <c r="M11" s="27">
        <f t="shared" si="13"/>
        <v>6.5180550123843041E-4</v>
      </c>
      <c r="N11" s="11">
        <v>1534.2</v>
      </c>
      <c r="O11" s="5">
        <f t="shared" ref="O11:O16" si="29">K11/U11</f>
        <v>2.5574620069823672E-5</v>
      </c>
      <c r="P11" s="5">
        <v>2.1599999999999999E-4</v>
      </c>
      <c r="R11" s="6">
        <v>7.1999999999999997E-11</v>
      </c>
      <c r="S11" s="6">
        <v>1.3300000000000001E-10</v>
      </c>
      <c r="T11" s="6">
        <f t="shared" si="14"/>
        <v>2.0500000000000002E-10</v>
      </c>
      <c r="U11" s="6">
        <f t="shared" ref="U11:U18" si="30">(X11+N11*Y11)*1000000</f>
        <v>2436079.2000000002</v>
      </c>
      <c r="V11" s="7">
        <v>2175.6</v>
      </c>
      <c r="W11" s="4">
        <v>0</v>
      </c>
      <c r="X11" s="8">
        <v>3.24</v>
      </c>
      <c r="Y11" s="8">
        <v>-5.2400000000000005E-4</v>
      </c>
      <c r="Z11" s="4">
        <v>1</v>
      </c>
      <c r="AA11" s="4">
        <v>2</v>
      </c>
      <c r="AB11" s="11">
        <f t="shared" si="15"/>
        <v>3</v>
      </c>
      <c r="AC11" s="37">
        <v>0.65067779999999997</v>
      </c>
      <c r="AD11" s="62">
        <f t="shared" si="2"/>
        <v>0.55165642193242059</v>
      </c>
      <c r="AE11" s="62">
        <f t="shared" si="16"/>
        <v>0.15218189104896368</v>
      </c>
      <c r="AF11" s="62"/>
      <c r="AG11" s="62"/>
      <c r="AH11" s="37">
        <v>0.55165642193242048</v>
      </c>
      <c r="AI11" s="43">
        <f t="shared" si="22"/>
        <v>0.15218189104896385</v>
      </c>
      <c r="AJ11" s="63">
        <f t="shared" si="3"/>
        <v>4376776.1290409379</v>
      </c>
      <c r="AK11" s="63">
        <f t="shared" si="4"/>
        <v>3710710.061025525</v>
      </c>
      <c r="AL11" s="38">
        <v>2691006936.2557101</v>
      </c>
      <c r="AM11" s="39">
        <f t="shared" si="23"/>
        <v>2.0499999999999996E-10</v>
      </c>
      <c r="AN11" s="39"/>
      <c r="AO11" s="39"/>
      <c r="AP11" s="98">
        <f t="shared" si="5"/>
        <v>2.4179714709519052E-10</v>
      </c>
      <c r="AQ11" s="39">
        <f t="shared" si="24"/>
        <v>2.4179714709519052E-10</v>
      </c>
      <c r="AR11" s="39">
        <f t="shared" si="25"/>
        <v>0.17949827851312469</v>
      </c>
      <c r="AS11" s="44">
        <f t="shared" si="26"/>
        <v>2.5356518750341078E-4</v>
      </c>
      <c r="AT11" s="45">
        <f t="shared" si="6"/>
        <v>2175.6</v>
      </c>
      <c r="AU11" s="45"/>
      <c r="AV11" s="46">
        <f t="shared" si="27"/>
        <v>2566.1164547331541</v>
      </c>
      <c r="AW11" s="46">
        <f t="shared" si="17"/>
        <v>0.17949827851312475</v>
      </c>
      <c r="AX11" s="40">
        <f t="shared" si="7"/>
        <v>5.8130286821119117E-3</v>
      </c>
      <c r="AY11" s="47">
        <v>94.9</v>
      </c>
      <c r="AZ11" s="70">
        <f t="shared" si="8"/>
        <v>3710710.0610255245</v>
      </c>
      <c r="BA11" s="41">
        <f t="shared" si="28"/>
        <v>111.93438663089556</v>
      </c>
      <c r="BB11" s="48">
        <f t="shared" si="18"/>
        <v>0.17949827851312489</v>
      </c>
      <c r="BC11" s="236">
        <f t="shared" si="19"/>
        <v>8073020808.7671309</v>
      </c>
      <c r="BD11" s="236">
        <f t="shared" si="20"/>
        <v>0.55165642193242059</v>
      </c>
      <c r="BE11"/>
      <c r="BF11"/>
      <c r="BG11" s="8">
        <f t="shared" ref="BG11:BG16" si="31">L11/(U11/1000*(V11+W11*N11))</f>
        <v>4.369716780765129E-10</v>
      </c>
      <c r="BH11" s="8"/>
    </row>
    <row r="12" spans="1:60" ht="20.25" customHeight="1" x14ac:dyDescent="0.25">
      <c r="A12" s="2" t="s">
        <v>26</v>
      </c>
      <c r="B12" s="30">
        <v>0.12</v>
      </c>
      <c r="C12" s="2">
        <v>1</v>
      </c>
      <c r="D12" s="2">
        <v>29</v>
      </c>
      <c r="E12" s="2">
        <v>28</v>
      </c>
      <c r="F12" s="22">
        <f t="shared" si="0"/>
        <v>4.8506035099999997E-26</v>
      </c>
      <c r="G12" s="22">
        <f t="shared" si="1"/>
        <v>2.5506279679999997E-29</v>
      </c>
      <c r="H12" s="24">
        <f t="shared" si="10"/>
        <v>1969.6480289056633</v>
      </c>
      <c r="I12" s="24">
        <f t="shared" si="11"/>
        <v>1.0357142857142858</v>
      </c>
      <c r="J12" s="26">
        <f t="shared" si="12"/>
        <v>4.8480528820319999E-26</v>
      </c>
      <c r="K12" s="11">
        <v>78.074799999999996</v>
      </c>
      <c r="L12" s="11">
        <f>0.1*EXP(47600/(8.3144598*N12))/1000</f>
        <v>2.9475212895614506E-3</v>
      </c>
      <c r="M12" s="27">
        <f t="shared" si="13"/>
        <v>5.9101654846335696E-4</v>
      </c>
      <c r="N12" s="11">
        <v>1692</v>
      </c>
      <c r="O12" s="5">
        <f t="shared" si="29"/>
        <v>3.1001402462170846E-5</v>
      </c>
      <c r="P12" s="5">
        <v>1.55E-4</v>
      </c>
      <c r="R12" s="6">
        <v>1E-10</v>
      </c>
      <c r="S12" s="6">
        <v>1.3300000000000001E-10</v>
      </c>
      <c r="T12" s="6">
        <f t="shared" si="14"/>
        <v>2.3300000000000002E-10</v>
      </c>
      <c r="U12" s="6">
        <f t="shared" si="30"/>
        <v>2518428</v>
      </c>
      <c r="V12" s="7">
        <v>1710.3</v>
      </c>
      <c r="W12" s="4">
        <v>0</v>
      </c>
      <c r="X12" s="8">
        <v>3.18</v>
      </c>
      <c r="Y12" s="8">
        <v>-3.9100000000000002E-4</v>
      </c>
      <c r="Z12" s="4">
        <v>1</v>
      </c>
      <c r="AA12" s="4">
        <v>2</v>
      </c>
      <c r="AB12" s="11">
        <f t="shared" si="15"/>
        <v>3</v>
      </c>
      <c r="AC12" s="37">
        <v>0.56480320000000006</v>
      </c>
      <c r="AD12" s="62">
        <f t="shared" si="2"/>
        <v>0.42810664299445522</v>
      </c>
      <c r="AE12" s="62">
        <f t="shared" si="16"/>
        <v>0.24202511070324109</v>
      </c>
      <c r="AF12" s="62"/>
      <c r="AG12" s="62"/>
      <c r="AH12" s="37">
        <v>0.42810664299445522</v>
      </c>
      <c r="AI12" s="43">
        <f t="shared" si="22"/>
        <v>0.24202511070324109</v>
      </c>
      <c r="AJ12" s="63">
        <f t="shared" si="3"/>
        <v>4251969.9503061362</v>
      </c>
      <c r="AK12" s="63">
        <f t="shared" si="4"/>
        <v>3222886.4523764392</v>
      </c>
      <c r="AL12" s="38">
        <v>1837367566.4998081</v>
      </c>
      <c r="AM12" s="39">
        <f t="shared" si="23"/>
        <v>2.3299999999999997E-10</v>
      </c>
      <c r="AN12" s="39"/>
      <c r="AO12" s="39"/>
      <c r="AP12" s="98">
        <f t="shared" si="5"/>
        <v>3.073980461492266E-10</v>
      </c>
      <c r="AQ12" s="39">
        <f t="shared" si="24"/>
        <v>3.0739804614922655E-10</v>
      </c>
      <c r="AR12" s="39">
        <f t="shared" si="25"/>
        <v>0.3193049190953931</v>
      </c>
      <c r="AS12" s="44">
        <f t="shared" si="26"/>
        <v>2.5031084780123677E-4</v>
      </c>
      <c r="AT12" s="45">
        <f t="shared" si="6"/>
        <v>1710.3</v>
      </c>
      <c r="AU12" s="45"/>
      <c r="AV12" s="46">
        <f t="shared" si="27"/>
        <v>2256.4072031288506</v>
      </c>
      <c r="AW12" s="46">
        <f t="shared" si="17"/>
        <v>0.31930491909539299</v>
      </c>
      <c r="AX12" s="40">
        <f t="shared" si="7"/>
        <v>4.2847513160763776E-3</v>
      </c>
      <c r="AY12" s="41">
        <v>99.914000000000001</v>
      </c>
      <c r="AZ12" s="70">
        <f t="shared" si="8"/>
        <v>3222886.4523764392</v>
      </c>
      <c r="BA12" s="41">
        <f t="shared" si="28"/>
        <v>131.8170316864971</v>
      </c>
      <c r="BB12" s="48">
        <f t="shared" si="18"/>
        <v>0.31930491909539305</v>
      </c>
      <c r="BC12" s="236">
        <f t="shared" si="19"/>
        <v>5512102699.499424</v>
      </c>
      <c r="BD12" s="236">
        <f t="shared" si="20"/>
        <v>0.42810664299445528</v>
      </c>
      <c r="BE12"/>
      <c r="BF12"/>
      <c r="BG12" s="8">
        <f t="shared" si="31"/>
        <v>6.843135125098611E-10</v>
      </c>
      <c r="BH12" s="8"/>
    </row>
    <row r="13" spans="1:60" ht="20.25" customHeight="1" x14ac:dyDescent="0.25">
      <c r="A13" s="2" t="s">
        <v>27</v>
      </c>
      <c r="B13" s="30"/>
      <c r="C13" s="2">
        <v>1</v>
      </c>
      <c r="D13" s="2">
        <v>47</v>
      </c>
      <c r="E13" s="2">
        <v>46</v>
      </c>
      <c r="F13" s="22">
        <f t="shared" si="0"/>
        <v>7.8613229299999995E-26</v>
      </c>
      <c r="G13" s="22">
        <f t="shared" si="1"/>
        <v>4.1903173759999999E-29</v>
      </c>
      <c r="H13" s="24">
        <f t="shared" si="10"/>
        <v>1916.8527187390821</v>
      </c>
      <c r="I13" s="24">
        <f t="shared" si="11"/>
        <v>1.0217391304347827</v>
      </c>
      <c r="J13" s="26">
        <f t="shared" si="12"/>
        <v>7.8571326126239999E-26</v>
      </c>
      <c r="K13" s="11">
        <v>125.6168</v>
      </c>
      <c r="L13" s="11">
        <f>0.0703*EXP(54500/(8.3144598*N13))/1000</f>
        <v>3.0018345111633513E-3</v>
      </c>
      <c r="M13" s="27">
        <f t="shared" si="13"/>
        <v>5.7273768613974802E-4</v>
      </c>
      <c r="N13" s="11">
        <v>1746</v>
      </c>
      <c r="O13" s="5">
        <f t="shared" si="29"/>
        <v>3.6213810492182497E-5</v>
      </c>
      <c r="P13" s="5">
        <v>2.13E-4</v>
      </c>
      <c r="R13" s="6">
        <v>1.1800000000000001E-10</v>
      </c>
      <c r="S13" s="6">
        <v>1.3300000000000001E-10</v>
      </c>
      <c r="T13" s="6">
        <f t="shared" si="14"/>
        <v>2.5100000000000001E-10</v>
      </c>
      <c r="U13" s="6">
        <f t="shared" si="30"/>
        <v>3468754</v>
      </c>
      <c r="V13" s="7">
        <v>1398.6</v>
      </c>
      <c r="W13" s="4">
        <v>0</v>
      </c>
      <c r="X13" s="8">
        <v>4.78</v>
      </c>
      <c r="Y13" s="8">
        <v>-7.5100000000000004E-4</v>
      </c>
      <c r="Z13" s="4">
        <v>1</v>
      </c>
      <c r="AA13" s="4">
        <v>2</v>
      </c>
      <c r="AB13" s="11">
        <f t="shared" si="15"/>
        <v>3</v>
      </c>
      <c r="AC13" s="37">
        <v>0.39041500000000001</v>
      </c>
      <c r="AD13" s="62">
        <f t="shared" si="2"/>
        <v>0.31989463805530149</v>
      </c>
      <c r="AE13" s="62">
        <f t="shared" si="16"/>
        <v>0.1806292328540105</v>
      </c>
      <c r="AF13" s="62"/>
      <c r="AG13" s="62"/>
      <c r="AH13" s="37">
        <v>0.31989463805530149</v>
      </c>
      <c r="AI13" s="43">
        <f t="shared" si="22"/>
        <v>0.1806292328540105</v>
      </c>
      <c r="AJ13" s="63">
        <f t="shared" si="3"/>
        <v>3336418.376259014</v>
      </c>
      <c r="AK13" s="63">
        <f t="shared" si="4"/>
        <v>2733763.684475325</v>
      </c>
      <c r="AL13" s="38">
        <v>1274480629.7023959</v>
      </c>
      <c r="AM13" s="39">
        <f t="shared" si="23"/>
        <v>2.5100000000000012E-10</v>
      </c>
      <c r="AN13" s="39"/>
      <c r="AO13" s="39"/>
      <c r="AP13" s="98">
        <f t="shared" si="5"/>
        <v>3.0633262750424518E-10</v>
      </c>
      <c r="AQ13" s="39">
        <f t="shared" si="24"/>
        <v>3.0633262750424528E-10</v>
      </c>
      <c r="AR13" s="39">
        <f t="shared" si="25"/>
        <v>0.22044871515635514</v>
      </c>
      <c r="AS13" s="44">
        <f t="shared" si="26"/>
        <v>2.2872489493443551E-4</v>
      </c>
      <c r="AT13" s="45">
        <f t="shared" si="6"/>
        <v>1398.6</v>
      </c>
      <c r="AU13" s="45"/>
      <c r="AV13" s="46">
        <f t="shared" si="27"/>
        <v>1706.9195730176784</v>
      </c>
      <c r="AW13" s="46">
        <f t="shared" si="17"/>
        <v>0.22044871515635531</v>
      </c>
      <c r="AX13" s="40">
        <f t="shared" si="7"/>
        <v>3.2312589702555706E-3</v>
      </c>
      <c r="AY13" s="47">
        <v>99</v>
      </c>
      <c r="AZ13" s="70">
        <f t="shared" si="8"/>
        <v>2733763.684475325</v>
      </c>
      <c r="BA13" s="41">
        <f t="shared" si="28"/>
        <v>120.82442280047917</v>
      </c>
      <c r="BB13" s="48">
        <f t="shared" si="18"/>
        <v>0.22044871515635525</v>
      </c>
      <c r="BC13" s="236">
        <f t="shared" si="19"/>
        <v>3823441889.1071892</v>
      </c>
      <c r="BD13" s="236">
        <f t="shared" si="20"/>
        <v>0.31989463805530149</v>
      </c>
      <c r="BE13"/>
      <c r="BF13"/>
      <c r="BG13" s="8">
        <f t="shared" si="31"/>
        <v>6.1875642429403127E-10</v>
      </c>
      <c r="BH13" s="8"/>
    </row>
    <row r="14" spans="1:60" ht="20.25" customHeight="1" x14ac:dyDescent="0.25">
      <c r="A14" s="2" t="s">
        <v>28</v>
      </c>
      <c r="B14" s="30">
        <v>0.8</v>
      </c>
      <c r="C14" s="2">
        <v>1</v>
      </c>
      <c r="D14" s="2">
        <v>29</v>
      </c>
      <c r="E14" s="2">
        <v>28</v>
      </c>
      <c r="F14" s="22">
        <f t="shared" si="0"/>
        <v>4.8506035099999997E-26</v>
      </c>
      <c r="G14" s="22">
        <f t="shared" si="1"/>
        <v>2.5506279679999997E-29</v>
      </c>
      <c r="H14" s="24">
        <f t="shared" si="10"/>
        <v>1969.6480289056633</v>
      </c>
      <c r="I14" s="24">
        <f t="shared" si="11"/>
        <v>1.0357142857142858</v>
      </c>
      <c r="J14" s="26">
        <f t="shared" si="12"/>
        <v>4.8480528820319999E-26</v>
      </c>
      <c r="K14" s="11">
        <v>95.210999999999999</v>
      </c>
      <c r="L14" s="11">
        <f>0.18*EXP(20500/(8.3144598*N14))/1000</f>
        <v>2.1885964575678765E-3</v>
      </c>
      <c r="M14" s="27">
        <f t="shared" si="13"/>
        <v>1.0131712259371835E-3</v>
      </c>
      <c r="N14" s="11">
        <v>987</v>
      </c>
      <c r="O14" s="5">
        <f t="shared" si="29"/>
        <v>5.651027632231827E-5</v>
      </c>
      <c r="P14" s="5">
        <v>1.8000000000000001E-4</v>
      </c>
      <c r="R14" s="6">
        <v>7.1999999999999997E-11</v>
      </c>
      <c r="S14" s="6">
        <v>1.81E-10</v>
      </c>
      <c r="T14" s="6">
        <f t="shared" si="14"/>
        <v>2.5300000000000001E-10</v>
      </c>
      <c r="U14" s="6">
        <f t="shared" si="30"/>
        <v>1684844</v>
      </c>
      <c r="V14" s="7">
        <v>2101</v>
      </c>
      <c r="W14" s="4">
        <v>0</v>
      </c>
      <c r="X14" s="8">
        <v>1.9691000000000001</v>
      </c>
      <c r="Y14" s="8">
        <v>-2.8800000000000001E-4</v>
      </c>
      <c r="Z14" s="4">
        <v>1</v>
      </c>
      <c r="AA14" s="4">
        <v>2</v>
      </c>
      <c r="AB14" s="11">
        <f t="shared" si="15"/>
        <v>3</v>
      </c>
      <c r="AC14" s="37">
        <v>0.45680000000000004</v>
      </c>
      <c r="AD14" s="62">
        <f t="shared" si="2"/>
        <v>0.28861057804145579</v>
      </c>
      <c r="AE14" s="62">
        <f t="shared" si="16"/>
        <v>0.36819050341187443</v>
      </c>
      <c r="AF14" s="62">
        <f>1/3*AZ14*AT14*AN14</f>
        <v>0.26994066201236538</v>
      </c>
      <c r="AG14" s="62">
        <f>1/3*AZ14*AT14*AO14</f>
        <v>0.33370075449931308</v>
      </c>
      <c r="AH14" s="37">
        <v>0.28861057804145579</v>
      </c>
      <c r="AI14" s="43">
        <f t="shared" si="22"/>
        <v>0.36819050341187443</v>
      </c>
      <c r="AJ14" s="63">
        <f t="shared" si="3"/>
        <v>2578106.0402255282</v>
      </c>
      <c r="AK14" s="63">
        <f t="shared" si="4"/>
        <v>1628871.8794256968</v>
      </c>
      <c r="AL14" s="38">
        <v>1140753272.891129</v>
      </c>
      <c r="AM14" s="39">
        <f t="shared" si="23"/>
        <v>2.5300000000000011E-10</v>
      </c>
      <c r="AN14" s="39">
        <v>2.36633694969138E-10</v>
      </c>
      <c r="AO14" s="39">
        <v>2.9252666849999965E-10</v>
      </c>
      <c r="AP14" s="98">
        <f t="shared" si="5"/>
        <v>4.0043715924854139E-10</v>
      </c>
      <c r="AQ14" s="39">
        <f t="shared" si="24"/>
        <v>4.004371592485416E-10</v>
      </c>
      <c r="AR14" s="39">
        <f t="shared" si="25"/>
        <v>0.5827555701523377</v>
      </c>
      <c r="AS14" s="44">
        <f t="shared" si="26"/>
        <v>1.3736819516490043E-4</v>
      </c>
      <c r="AT14" s="45">
        <f t="shared" si="6"/>
        <v>2101</v>
      </c>
      <c r="AU14" s="45">
        <v>3400</v>
      </c>
      <c r="AV14" s="46">
        <f t="shared" si="27"/>
        <v>3325.369452890061</v>
      </c>
      <c r="AW14" s="46">
        <f t="shared" si="17"/>
        <v>0.58275557015233748</v>
      </c>
      <c r="AX14" s="40">
        <f t="shared" si="7"/>
        <v>3.1354356209961735E-3</v>
      </c>
      <c r="AY14" s="41">
        <v>92.048000000000002</v>
      </c>
      <c r="AZ14" s="70">
        <f t="shared" si="8"/>
        <v>1628871.8794256966</v>
      </c>
      <c r="BA14" s="41">
        <f t="shared" si="28"/>
        <v>145.68948472138237</v>
      </c>
      <c r="BB14" s="48">
        <f t="shared" si="18"/>
        <v>0.58275557015233759</v>
      </c>
      <c r="BC14" s="236">
        <f t="shared" si="19"/>
        <v>3422259818.6733885</v>
      </c>
      <c r="BD14" s="236">
        <f t="shared" si="20"/>
        <v>0.28861057804145579</v>
      </c>
      <c r="BE14"/>
      <c r="BF14"/>
      <c r="BG14" s="8">
        <f t="shared" si="31"/>
        <v>6.1827251968353004E-10</v>
      </c>
      <c r="BH14" s="8"/>
    </row>
    <row r="15" spans="1:60" ht="20.25" customHeight="1" x14ac:dyDescent="0.25">
      <c r="A15" s="2" t="s">
        <v>29</v>
      </c>
      <c r="B15" s="30">
        <v>2.5</v>
      </c>
      <c r="C15" s="2">
        <v>1</v>
      </c>
      <c r="D15" s="2">
        <v>37</v>
      </c>
      <c r="E15" s="2">
        <v>36</v>
      </c>
      <c r="F15" s="22">
        <f t="shared" si="0"/>
        <v>6.1887010299999994E-26</v>
      </c>
      <c r="G15" s="22">
        <f t="shared" si="1"/>
        <v>3.2793788159999999E-29</v>
      </c>
      <c r="H15" s="24">
        <f t="shared" si="10"/>
        <v>1939.5775080668341</v>
      </c>
      <c r="I15" s="24">
        <f t="shared" si="11"/>
        <v>1.0277777777777777</v>
      </c>
      <c r="J15" s="26">
        <f t="shared" si="12"/>
        <v>6.185421651184E-26</v>
      </c>
      <c r="K15" s="4">
        <v>110.98399999999999</v>
      </c>
      <c r="L15" s="11">
        <f>10^(-0.545+597/N15+546000/N15^2)/1000</f>
        <v>3.3595446651079881E-3</v>
      </c>
      <c r="M15" s="27">
        <f t="shared" si="13"/>
        <v>9.5693779904306223E-4</v>
      </c>
      <c r="N15" s="4">
        <v>1045</v>
      </c>
      <c r="O15" s="5">
        <f t="shared" si="29"/>
        <v>5.3154147698835956E-5</v>
      </c>
      <c r="P15" s="5">
        <v>2.03E-4</v>
      </c>
      <c r="R15" s="6">
        <v>1E-10</v>
      </c>
      <c r="S15" s="6">
        <v>1.81E-10</v>
      </c>
      <c r="T15" s="6">
        <f t="shared" si="14"/>
        <v>2.8100000000000001E-10</v>
      </c>
      <c r="U15" s="6">
        <f t="shared" si="30"/>
        <v>2087964.9999999995</v>
      </c>
      <c r="V15" s="7">
        <v>2065.0300000000002</v>
      </c>
      <c r="W15" s="4">
        <v>0</v>
      </c>
      <c r="X15" s="8">
        <v>2.5299999999999998</v>
      </c>
      <c r="Y15" s="8">
        <v>-4.2299999999999998E-4</v>
      </c>
      <c r="AC15" s="37">
        <v>0.44125000000000003</v>
      </c>
      <c r="AD15" s="62">
        <f t="shared" si="2"/>
        <v>0.37311089961278132</v>
      </c>
      <c r="AE15" s="62">
        <f t="shared" si="16"/>
        <v>0.15442289039596307</v>
      </c>
      <c r="AF15" s="62">
        <f>1/3*AZ15*AT15*AN15</f>
        <v>0.37024310108699077</v>
      </c>
      <c r="AG15" s="62">
        <f>1/3*AZ15*AT15*AO15</f>
        <v>0.40039499504213499</v>
      </c>
      <c r="AH15" s="37"/>
      <c r="AI15" s="43"/>
      <c r="AJ15" s="63">
        <f t="shared" si="3"/>
        <v>2281252.1331538479</v>
      </c>
      <c r="AK15" s="63">
        <f t="shared" si="4"/>
        <v>1928974.5850302742</v>
      </c>
      <c r="AL15" s="38"/>
      <c r="AM15" s="39"/>
      <c r="AN15" s="39">
        <v>2.7884018267334601E-10</v>
      </c>
      <c r="AO15" s="39">
        <v>3.0154839679999996E-10</v>
      </c>
      <c r="AP15" s="98">
        <f t="shared" si="5"/>
        <v>3.3231741589077008E-10</v>
      </c>
      <c r="AQ15" s="39"/>
      <c r="AR15" s="39"/>
      <c r="AS15" s="44"/>
      <c r="AT15" s="45">
        <f t="shared" si="6"/>
        <v>2065.0300000000002</v>
      </c>
      <c r="AU15" s="45">
        <v>2200</v>
      </c>
      <c r="AV15" s="46"/>
      <c r="AW15" s="46"/>
      <c r="AX15" s="40">
        <f t="shared" si="7"/>
        <v>0</v>
      </c>
      <c r="AY15" s="41">
        <v>102.533</v>
      </c>
      <c r="AZ15" s="70">
        <f t="shared" si="8"/>
        <v>1928974.5850302745</v>
      </c>
      <c r="BA15" s="41"/>
      <c r="BB15" s="48"/>
      <c r="BC15" s="236">
        <f t="shared" si="19"/>
        <v>3983390387.325068</v>
      </c>
      <c r="BD15" s="236">
        <f t="shared" si="20"/>
        <v>0.37311089961278132</v>
      </c>
      <c r="BE15"/>
      <c r="BF15"/>
      <c r="BG15" s="8">
        <f t="shared" si="31"/>
        <v>7.7916751857846874E-10</v>
      </c>
      <c r="BH15" s="8"/>
    </row>
    <row r="16" spans="1:60" ht="20.25" customHeight="1" x14ac:dyDescent="0.25">
      <c r="A16" s="2" t="s">
        <v>30</v>
      </c>
      <c r="B16" s="30"/>
      <c r="C16" s="2">
        <v>1</v>
      </c>
      <c r="D16" s="2">
        <v>55</v>
      </c>
      <c r="E16" s="2">
        <v>54</v>
      </c>
      <c r="F16" s="22">
        <f t="shared" si="0"/>
        <v>9.1994204499999998E-26</v>
      </c>
      <c r="G16" s="22">
        <f t="shared" si="1"/>
        <v>4.9190682239999996E-29</v>
      </c>
      <c r="H16" s="24">
        <f t="shared" si="10"/>
        <v>1904.7875860407996</v>
      </c>
      <c r="I16" s="24">
        <f t="shared" si="11"/>
        <v>1.0185185185185186</v>
      </c>
      <c r="J16" s="26">
        <f t="shared" si="12"/>
        <v>9.1945013817760001E-26</v>
      </c>
      <c r="K16" s="4">
        <v>158.52600000000001</v>
      </c>
      <c r="L16" s="11">
        <f>10^(-0.439+398/N16+879000/N16^2)/1000</f>
        <v>3.78088190424221E-3</v>
      </c>
      <c r="M16" s="27">
        <f t="shared" si="13"/>
        <v>8.7260034904013963E-4</v>
      </c>
      <c r="N16" s="4">
        <v>1146</v>
      </c>
      <c r="O16" s="5">
        <f t="shared" si="29"/>
        <v>5.811897000013199E-5</v>
      </c>
      <c r="P16" s="5">
        <v>2.12E-4</v>
      </c>
      <c r="R16" s="6">
        <v>1.1800000000000001E-10</v>
      </c>
      <c r="S16" s="6">
        <v>1.81E-10</v>
      </c>
      <c r="T16" s="6">
        <f t="shared" si="14"/>
        <v>2.99E-10</v>
      </c>
      <c r="U16" s="6">
        <f t="shared" si="30"/>
        <v>2727612</v>
      </c>
      <c r="V16" s="7">
        <v>1873.13</v>
      </c>
      <c r="W16" s="4">
        <v>0</v>
      </c>
      <c r="X16" s="8">
        <v>3.39</v>
      </c>
      <c r="Y16" s="8">
        <v>-5.7799999999999995E-4</v>
      </c>
      <c r="Z16" s="4">
        <v>1</v>
      </c>
      <c r="AA16" s="4">
        <v>2</v>
      </c>
      <c r="AB16" s="11">
        <f t="shared" si="15"/>
        <v>3</v>
      </c>
      <c r="AC16" s="37">
        <v>0.37705</v>
      </c>
      <c r="AD16" s="62">
        <f t="shared" si="2"/>
        <v>0.33599408249358714</v>
      </c>
      <c r="AE16" s="62">
        <f t="shared" si="16"/>
        <v>0.1088871966752761</v>
      </c>
      <c r="AF16" s="62">
        <f>1/3*AZ16*AT16*AN16</f>
        <v>0.32666098973626656</v>
      </c>
      <c r="AG16" s="62">
        <f>1/3*AZ16*AT16*AO16</f>
        <v>0.36759447686851399</v>
      </c>
      <c r="AH16" s="37">
        <v>0.33599408249358731</v>
      </c>
      <c r="AI16" s="43">
        <f>(AC16-AH16)/AC16</f>
        <v>0.10888719667527566</v>
      </c>
      <c r="AJ16" s="63">
        <f t="shared" si="3"/>
        <v>2019673.1502314182</v>
      </c>
      <c r="AK16" s="63">
        <f t="shared" si="4"/>
        <v>1799756.6027023955</v>
      </c>
      <c r="AL16" s="38">
        <v>1123726028.406646</v>
      </c>
      <c r="AM16" s="39">
        <f>AH16/AL16</f>
        <v>2.9900000000000016E-10</v>
      </c>
      <c r="AN16" s="39">
        <v>2.9069451225530999E-10</v>
      </c>
      <c r="AO16" s="39">
        <v>3.2712108429999942E-10</v>
      </c>
      <c r="AP16" s="98">
        <f t="shared" si="5"/>
        <v>3.3553552242144542E-10</v>
      </c>
      <c r="AQ16" s="39">
        <f>AC16/AL16</f>
        <v>3.3553552242144542E-10</v>
      </c>
      <c r="AR16" s="39">
        <f>(AQ16-AM16)/AM16</f>
        <v>0.12219238268041888</v>
      </c>
      <c r="AS16" s="44">
        <f>AH16/AT16</f>
        <v>1.7937574140267215E-4</v>
      </c>
      <c r="AT16" s="45">
        <f t="shared" si="6"/>
        <v>1873.13</v>
      </c>
      <c r="AU16" s="45"/>
      <c r="AV16" s="46">
        <f>AC16/AS16</f>
        <v>2102.0122177701733</v>
      </c>
      <c r="AW16" s="46">
        <f t="shared" si="17"/>
        <v>0.12219238268041895</v>
      </c>
      <c r="AX16" s="40">
        <f t="shared" si="7"/>
        <v>3.2121805209711983E-3</v>
      </c>
      <c r="AY16" s="47">
        <v>104.6</v>
      </c>
      <c r="AZ16" s="70">
        <f t="shared" si="8"/>
        <v>1799756.6027023955</v>
      </c>
      <c r="BA16" s="41">
        <f>AC16/(AX16)</f>
        <v>117.38132322837181</v>
      </c>
      <c r="BB16" s="48">
        <f t="shared" si="18"/>
        <v>0.12219238268041892</v>
      </c>
      <c r="BC16" s="236">
        <f t="shared" si="19"/>
        <v>3371178085.2199383</v>
      </c>
      <c r="BD16" s="236">
        <f t="shared" si="20"/>
        <v>0.33599408249358714</v>
      </c>
      <c r="BE16"/>
      <c r="BF16"/>
      <c r="BG16" s="8">
        <f t="shared" si="31"/>
        <v>7.4001853993764589E-10</v>
      </c>
      <c r="BH16" s="8"/>
    </row>
    <row r="17" spans="1:60" ht="20.25" customHeight="1" x14ac:dyDescent="0.25">
      <c r="A17" s="2" t="s">
        <v>31</v>
      </c>
      <c r="B17" s="30">
        <v>0.3</v>
      </c>
      <c r="C17" s="2">
        <v>1</v>
      </c>
      <c r="D17" s="2">
        <v>26</v>
      </c>
      <c r="E17" s="2">
        <v>25</v>
      </c>
      <c r="F17" s="22">
        <f t="shared" si="0"/>
        <v>4.3488169400000001E-26</v>
      </c>
      <c r="G17" s="22">
        <f t="shared" si="1"/>
        <v>2.2773463999999997E-29</v>
      </c>
      <c r="H17" s="24">
        <f t="shared" si="10"/>
        <v>1985.9822895629759</v>
      </c>
      <c r="I17" s="24">
        <f t="shared" si="11"/>
        <v>1.04</v>
      </c>
      <c r="J17" s="26">
        <f t="shared" si="12"/>
        <v>4.3465395936000002E-26</v>
      </c>
      <c r="K17" s="4">
        <v>84.99</v>
      </c>
      <c r="L17" s="11"/>
      <c r="M17" s="27">
        <f t="shared" si="13"/>
        <v>1.7148246591785991E-3</v>
      </c>
      <c r="N17" s="1">
        <v>583.15</v>
      </c>
      <c r="O17" s="11">
        <v>4.4669999999999998E-5</v>
      </c>
      <c r="P17" s="13">
        <v>3.7599999999999998E-4</v>
      </c>
      <c r="R17" s="6">
        <v>1.02E-10</v>
      </c>
      <c r="S17" s="6">
        <v>2.31E-10</v>
      </c>
      <c r="T17" s="6">
        <f t="shared" si="14"/>
        <v>3.3299999999999999E-10</v>
      </c>
      <c r="U17" s="6">
        <f t="shared" si="30"/>
        <v>1886915.5249999999</v>
      </c>
      <c r="V17" s="4">
        <v>2490.4882499999999</v>
      </c>
      <c r="W17" s="4">
        <v>-1.155</v>
      </c>
      <c r="X17" s="14">
        <v>2.3338999999999999</v>
      </c>
      <c r="Y17" s="8">
        <v>-7.6650000000000004E-4</v>
      </c>
      <c r="Z17" s="4">
        <v>2</v>
      </c>
      <c r="AA17" s="4">
        <v>3</v>
      </c>
      <c r="AB17" s="11">
        <f t="shared" si="15"/>
        <v>5</v>
      </c>
      <c r="AC17" s="37">
        <v>0.51224999999999998</v>
      </c>
      <c r="AD17" s="62">
        <f t="shared" si="2"/>
        <v>0.70252146004029536</v>
      </c>
      <c r="AE17" s="62">
        <f t="shared" si="16"/>
        <v>0.37144257694542782</v>
      </c>
      <c r="AF17" s="62">
        <f>1/3*AZ17*AT17*AN17</f>
        <v>0.43236429370237983</v>
      </c>
      <c r="AG17" s="62"/>
      <c r="AH17" s="37">
        <v>0.69828459522735364</v>
      </c>
      <c r="AI17" s="43">
        <f>(AC17-AH17)/AC17</f>
        <v>-0.36317148897482415</v>
      </c>
      <c r="AJ17" s="63">
        <f t="shared" si="3"/>
        <v>2539896.4555242937</v>
      </c>
      <c r="AK17" s="63">
        <f t="shared" si="4"/>
        <v>3483322.1401387961</v>
      </c>
      <c r="AL17" s="38">
        <v>2096950736.418479</v>
      </c>
      <c r="AM17" s="39">
        <f>AH17/AL17</f>
        <v>3.3300000000000009E-10</v>
      </c>
      <c r="AN17" s="39">
        <v>2.0494364655370699E-10</v>
      </c>
      <c r="AO17" s="39"/>
      <c r="AP17" s="98">
        <f t="shared" si="5"/>
        <v>2.4281002033762193E-10</v>
      </c>
      <c r="AQ17" s="39">
        <f>AC17/AL17</f>
        <v>2.4428327814458135E-10</v>
      </c>
      <c r="AR17" s="39">
        <f>(AQ17-AM17)/AM17</f>
        <v>-0.26641658214840458</v>
      </c>
      <c r="AS17" s="44">
        <f>AH17/AT17</f>
        <v>3.8431690207620117E-4</v>
      </c>
      <c r="AT17" s="45">
        <f t="shared" si="6"/>
        <v>1816.9499999999998</v>
      </c>
      <c r="AU17" s="45"/>
      <c r="AV17" s="46">
        <f>AC17/AS17</f>
        <v>1332.8843910654564</v>
      </c>
      <c r="AW17" s="46">
        <f t="shared" si="17"/>
        <v>-0.26641658214840447</v>
      </c>
      <c r="AX17" s="40">
        <f t="shared" si="7"/>
        <v>4.4876902006899333E-3</v>
      </c>
      <c r="AY17" s="41">
        <v>155.6</v>
      </c>
      <c r="AZ17" s="70">
        <f t="shared" si="8"/>
        <v>3483322.1401387956</v>
      </c>
      <c r="BA17" s="41">
        <f>AC17/(AX17)</f>
        <v>114.14557981770825</v>
      </c>
      <c r="BB17" s="48">
        <f t="shared" si="18"/>
        <v>-0.26641658214840452</v>
      </c>
      <c r="BC17" s="236">
        <f t="shared" si="19"/>
        <v>6329022162.5251837</v>
      </c>
      <c r="BD17" s="236">
        <f t="shared" si="20"/>
        <v>0.70252146004029536</v>
      </c>
      <c r="BE17"/>
      <c r="BF17"/>
      <c r="BG17" s="8"/>
      <c r="BH17" s="8"/>
    </row>
    <row r="18" spans="1:60" ht="20.25" customHeight="1" x14ac:dyDescent="0.25">
      <c r="A18" s="2" t="s">
        <v>32</v>
      </c>
      <c r="B18" s="30">
        <v>0.2</v>
      </c>
      <c r="C18" s="2">
        <v>1</v>
      </c>
      <c r="D18" s="2">
        <v>34</v>
      </c>
      <c r="E18" s="2">
        <v>33</v>
      </c>
      <c r="F18" s="22">
        <f t="shared" si="0"/>
        <v>5.6869144599999998E-26</v>
      </c>
      <c r="G18" s="22">
        <f t="shared" si="1"/>
        <v>3.0060972479999997E-29</v>
      </c>
      <c r="H18" s="24">
        <f t="shared" si="10"/>
        <v>1949.1203104325261</v>
      </c>
      <c r="I18" s="24">
        <f t="shared" si="11"/>
        <v>1.0303030303030303</v>
      </c>
      <c r="J18" s="26">
        <f t="shared" si="12"/>
        <v>5.6839083627519992E-26</v>
      </c>
      <c r="K18" s="4">
        <v>101.1</v>
      </c>
      <c r="L18" s="11"/>
      <c r="M18" s="27">
        <f t="shared" si="13"/>
        <v>1.6389412439564042E-3</v>
      </c>
      <c r="N18" s="4">
        <v>610.15</v>
      </c>
      <c r="O18" s="11">
        <v>5.4060000000000001E-5</v>
      </c>
      <c r="P18" s="13">
        <v>3.8999999999999999E-4</v>
      </c>
      <c r="R18" s="6">
        <v>1.3799999999999999E-10</v>
      </c>
      <c r="S18" s="6">
        <v>2.31E-10</v>
      </c>
      <c r="T18" s="6">
        <f t="shared" si="14"/>
        <v>3.6899999999999997E-10</v>
      </c>
      <c r="U18" s="6">
        <f t="shared" si="30"/>
        <v>1870200.65</v>
      </c>
      <c r="V18" s="4">
        <v>2449.9279999999999</v>
      </c>
      <c r="W18" s="4">
        <v>-1.1200000000000001</v>
      </c>
      <c r="X18" s="14">
        <v>2.3149999999999999</v>
      </c>
      <c r="Y18" s="8">
        <v>-7.2900000000000005E-4</v>
      </c>
      <c r="Z18" s="4">
        <v>2</v>
      </c>
      <c r="AA18" s="4">
        <v>3</v>
      </c>
      <c r="AB18" s="11">
        <f t="shared" si="15"/>
        <v>5</v>
      </c>
      <c r="AC18" s="37">
        <v>0.40920000000000001</v>
      </c>
      <c r="AD18" s="62">
        <f t="shared" si="2"/>
        <v>0.56673048612652599</v>
      </c>
      <c r="AE18" s="62">
        <f t="shared" si="16"/>
        <v>0.38497186247929127</v>
      </c>
      <c r="AF18" s="62"/>
      <c r="AG18" s="62"/>
      <c r="AH18" s="37">
        <v>0.53083304545912946</v>
      </c>
      <c r="AI18" s="43">
        <f>(AC18-AH18)/AC18</f>
        <v>-0.29724595664498887</v>
      </c>
      <c r="AJ18" s="63">
        <f t="shared" si="3"/>
        <v>1883224.6107082034</v>
      </c>
      <c r="AK18" s="63">
        <f t="shared" si="4"/>
        <v>2608213.0965593783</v>
      </c>
      <c r="AL18" s="38">
        <v>1438571938.91363</v>
      </c>
      <c r="AM18" s="39">
        <f>AH18/AL18</f>
        <v>3.6899999999999997E-10</v>
      </c>
      <c r="AN18" s="39"/>
      <c r="AO18" s="39"/>
      <c r="AP18" s="98">
        <f t="shared" si="5"/>
        <v>2.6643140557342366E-10</v>
      </c>
      <c r="AQ18" s="39">
        <f>AC18/AL18</f>
        <v>2.8444875708406813E-10</v>
      </c>
      <c r="AR18" s="39">
        <f>(AQ18-AM18)/AM18</f>
        <v>-0.22913615966377193</v>
      </c>
      <c r="AS18" s="44">
        <f>AH18/AT18</f>
        <v>3.004896779385526E-4</v>
      </c>
      <c r="AT18" s="45">
        <f t="shared" si="6"/>
        <v>1766.56</v>
      </c>
      <c r="AU18" s="45"/>
      <c r="AV18" s="46">
        <f>AC18/AS18</f>
        <v>1361.7772257843667</v>
      </c>
      <c r="AW18" s="46">
        <f t="shared" si="17"/>
        <v>-0.22913615966377213</v>
      </c>
      <c r="AX18" s="40">
        <f t="shared" si="7"/>
        <v>3.7647733720505634E-3</v>
      </c>
      <c r="AY18" s="41">
        <v>141</v>
      </c>
      <c r="AZ18" s="70">
        <f t="shared" si="8"/>
        <v>2608213.0965593783</v>
      </c>
      <c r="BA18" s="41">
        <f>AC18/(AX18)</f>
        <v>108.69180148740814</v>
      </c>
      <c r="BB18" s="48">
        <f t="shared" si="18"/>
        <v>-0.22913615966377204</v>
      </c>
      <c r="BC18" s="236">
        <f t="shared" si="19"/>
        <v>4607564927.857935</v>
      </c>
      <c r="BD18" s="236">
        <f t="shared" si="20"/>
        <v>0.56673048612652588</v>
      </c>
      <c r="BE18"/>
      <c r="BF18"/>
      <c r="BG18" s="8"/>
      <c r="BH18" s="8"/>
    </row>
    <row r="19" spans="1:60" ht="20.25" customHeight="1" x14ac:dyDescent="0.25">
      <c r="A19" s="2" t="s">
        <v>33</v>
      </c>
      <c r="B19" s="30">
        <v>0.05</v>
      </c>
      <c r="C19" s="2">
        <v>1</v>
      </c>
      <c r="D19" s="2">
        <v>49</v>
      </c>
      <c r="E19" s="2">
        <v>46</v>
      </c>
      <c r="F19" s="22">
        <f t="shared" si="0"/>
        <v>8.1958473100000004E-26</v>
      </c>
      <c r="G19" s="22">
        <f t="shared" si="1"/>
        <v>4.1903173759999999E-29</v>
      </c>
      <c r="H19" s="24">
        <f t="shared" si="10"/>
        <v>2083.4601076018726</v>
      </c>
      <c r="I19" s="24">
        <f t="shared" si="11"/>
        <v>1.0652173913043479</v>
      </c>
      <c r="J19" s="26">
        <f t="shared" si="12"/>
        <v>8.1916569926240009E-26</v>
      </c>
      <c r="K19" s="12">
        <v>167.21</v>
      </c>
      <c r="L19" s="11"/>
      <c r="M19" s="27">
        <f t="shared" si="13"/>
        <v>8.3963056255247689E-4</v>
      </c>
      <c r="N19" s="15">
        <v>1191</v>
      </c>
      <c r="O19" s="5">
        <f>K19/U19</f>
        <v>4.292862515949649E-5</v>
      </c>
      <c r="P19" s="5">
        <v>3.0899999999999998E-4</v>
      </c>
      <c r="R19" s="6">
        <v>7.1999999999999997E-11</v>
      </c>
      <c r="S19" s="6">
        <v>1.3300000000000001E-10</v>
      </c>
      <c r="T19" s="6">
        <f t="shared" si="14"/>
        <v>2.0500000000000002E-10</v>
      </c>
      <c r="U19" s="6">
        <f>(5.36-0.00123*N19)*1000000</f>
        <v>3895070.0000000005</v>
      </c>
      <c r="V19" s="7">
        <v>1700</v>
      </c>
      <c r="W19" s="4">
        <v>0</v>
      </c>
      <c r="X19" s="4">
        <v>5.36</v>
      </c>
      <c r="Y19" s="4">
        <v>-1.23E-3</v>
      </c>
      <c r="AC19" s="37"/>
      <c r="AD19" s="62">
        <f t="shared" si="2"/>
        <v>0.3328431774116381</v>
      </c>
      <c r="AE19" s="62"/>
      <c r="AF19" s="62"/>
      <c r="AG19" s="62"/>
      <c r="AH19" s="37"/>
      <c r="AI19" s="43"/>
      <c r="AJ19" s="63">
        <f t="shared" si="3"/>
        <v>0</v>
      </c>
      <c r="AK19" s="63" t="e">
        <f t="shared" si="4"/>
        <v>#DIV/0!</v>
      </c>
      <c r="AL19" s="38"/>
      <c r="AM19" s="39"/>
      <c r="AN19" s="39"/>
      <c r="AO19" s="39"/>
      <c r="AP19" s="98">
        <f t="shared" si="5"/>
        <v>0</v>
      </c>
      <c r="AQ19" s="39"/>
      <c r="AR19" s="39"/>
      <c r="AS19" s="44"/>
      <c r="AT19" s="45">
        <f t="shared" si="6"/>
        <v>1700</v>
      </c>
      <c r="AU19" s="45"/>
      <c r="AV19" s="46"/>
      <c r="AW19" s="46"/>
      <c r="AX19" s="40">
        <f t="shared" si="7"/>
        <v>0</v>
      </c>
      <c r="AY19" s="49">
        <v>123</v>
      </c>
      <c r="AZ19" s="70">
        <f t="shared" si="8"/>
        <v>2865221.0394115187</v>
      </c>
      <c r="BA19" s="41"/>
      <c r="BB19" s="48"/>
      <c r="BC19" s="236">
        <f t="shared" si="19"/>
        <v>4870875766.9995823</v>
      </c>
      <c r="BD19" s="236">
        <f t="shared" si="20"/>
        <v>0.3328431774116381</v>
      </c>
      <c r="BE19"/>
      <c r="BF19"/>
      <c r="BG19" s="8"/>
      <c r="BH19" s="8"/>
    </row>
    <row r="20" spans="1:60" ht="20.25" customHeight="1" x14ac:dyDescent="0.25">
      <c r="A20" s="2" t="s">
        <v>34</v>
      </c>
      <c r="B20" s="30">
        <v>0.08</v>
      </c>
      <c r="C20" s="2">
        <v>1</v>
      </c>
      <c r="D20" s="2">
        <v>99</v>
      </c>
      <c r="E20" s="2">
        <v>96</v>
      </c>
      <c r="F20" s="22">
        <f t="shared" si="0"/>
        <v>1.6558956810000001E-25</v>
      </c>
      <c r="G20" s="22">
        <f t="shared" si="1"/>
        <v>8.7450101759999993E-29</v>
      </c>
      <c r="H20" s="24">
        <f t="shared" si="10"/>
        <v>1952.7048987521384</v>
      </c>
      <c r="I20" s="24">
        <f t="shared" si="11"/>
        <v>1.03125</v>
      </c>
      <c r="J20" s="26">
        <f t="shared" si="12"/>
        <v>1.6550211799824002E-25</v>
      </c>
      <c r="K20" s="12">
        <v>308.0317</v>
      </c>
      <c r="L20" s="11"/>
      <c r="M20" s="27">
        <f t="shared" si="13"/>
        <v>7.2254335260115603E-4</v>
      </c>
      <c r="N20" s="15">
        <v>1384</v>
      </c>
      <c r="O20" s="5">
        <f>K20/U20</f>
        <v>5.0331977124183008E-5</v>
      </c>
      <c r="P20" s="5">
        <v>1.21E-4</v>
      </c>
      <c r="R20" s="6">
        <v>9.3999999999999999E-11</v>
      </c>
      <c r="S20" s="6">
        <v>1.3300000000000001E-10</v>
      </c>
      <c r="T20" s="6">
        <f t="shared" si="14"/>
        <v>2.2699999999999999E-10</v>
      </c>
      <c r="U20" s="6">
        <v>6120000</v>
      </c>
      <c r="V20" s="7">
        <v>1362</v>
      </c>
      <c r="W20" s="4">
        <v>0</v>
      </c>
      <c r="X20" s="4">
        <v>7.34</v>
      </c>
      <c r="Y20" s="4">
        <v>-8.0800000000000002E-4</v>
      </c>
      <c r="AC20" s="37"/>
      <c r="AD20" s="62">
        <f t="shared" si="2"/>
        <v>0.34399093755610216</v>
      </c>
      <c r="AE20" s="62"/>
      <c r="AF20" s="62"/>
      <c r="AG20" s="62"/>
      <c r="AH20" s="37"/>
      <c r="AI20" s="43"/>
      <c r="AJ20" s="63">
        <f t="shared" si="3"/>
        <v>0</v>
      </c>
      <c r="AK20" s="63" t="e">
        <f t="shared" si="4"/>
        <v>#DIV/0!</v>
      </c>
      <c r="AL20" s="38"/>
      <c r="AM20" s="39"/>
      <c r="AN20" s="39"/>
      <c r="AO20" s="39"/>
      <c r="AP20" s="98">
        <f t="shared" si="5"/>
        <v>0</v>
      </c>
      <c r="AQ20" s="39"/>
      <c r="AR20" s="39"/>
      <c r="AS20" s="44"/>
      <c r="AT20" s="45">
        <f t="shared" si="6"/>
        <v>1362</v>
      </c>
      <c r="AU20" s="45"/>
      <c r="AV20" s="46"/>
      <c r="AW20" s="46"/>
      <c r="AX20" s="40">
        <f t="shared" si="7"/>
        <v>0</v>
      </c>
      <c r="AY20" s="50">
        <v>168</v>
      </c>
      <c r="AZ20" s="70">
        <f t="shared" si="8"/>
        <v>3337838.2809301768</v>
      </c>
      <c r="BA20" s="41"/>
      <c r="BB20" s="48"/>
      <c r="BC20" s="236">
        <f t="shared" si="19"/>
        <v>4546135738.6269007</v>
      </c>
      <c r="BD20" s="236">
        <f t="shared" si="20"/>
        <v>0.34399093755610216</v>
      </c>
      <c r="BE20"/>
      <c r="BF20"/>
      <c r="BG20" s="8"/>
      <c r="BH20" s="8"/>
    </row>
    <row r="21" spans="1:60" x14ac:dyDescent="0.25">
      <c r="A21" s="2" t="s">
        <v>35</v>
      </c>
      <c r="B21" s="30">
        <v>0.09</v>
      </c>
      <c r="C21" s="2">
        <v>1</v>
      </c>
      <c r="D21" s="2">
        <v>101</v>
      </c>
      <c r="E21" s="2">
        <v>98</v>
      </c>
      <c r="F21" s="22">
        <f t="shared" si="0"/>
        <v>1.6893481190000001E-25</v>
      </c>
      <c r="G21" s="22">
        <f t="shared" si="1"/>
        <v>8.9271978879999991E-29</v>
      </c>
      <c r="H21" s="24">
        <f t="shared" si="10"/>
        <v>1950.2904261560993</v>
      </c>
      <c r="I21" s="24">
        <f t="shared" si="11"/>
        <v>1.0306122448979591</v>
      </c>
      <c r="J21" s="26">
        <f t="shared" si="12"/>
        <v>1.6884553992112001E-25</v>
      </c>
      <c r="K21" s="12">
        <v>314.02249999999998</v>
      </c>
      <c r="L21" s="11">
        <f>10^(11.4-35400/N21+27700000/N21^2)/1000</f>
        <v>3.3294860215237095E-3</v>
      </c>
      <c r="M21" s="27">
        <f t="shared" si="13"/>
        <v>7.6394194041252863E-4</v>
      </c>
      <c r="N21" s="15">
        <v>1309</v>
      </c>
      <c r="O21" s="5">
        <f>K21/U21</f>
        <v>4.8535162287480677E-5</v>
      </c>
      <c r="P21" s="17">
        <v>1.4899999999999999E-4</v>
      </c>
      <c r="R21" s="6">
        <v>8.9000000000000003E-11</v>
      </c>
      <c r="S21" s="6">
        <v>1.3300000000000001E-10</v>
      </c>
      <c r="T21" s="6">
        <f t="shared" si="14"/>
        <v>2.2200000000000001E-10</v>
      </c>
      <c r="U21" s="6">
        <v>6470000</v>
      </c>
      <c r="V21" s="7">
        <v>1062</v>
      </c>
      <c r="W21" s="4">
        <v>0</v>
      </c>
      <c r="X21" s="11">
        <v>7.6040000000000001</v>
      </c>
      <c r="Y21" s="4">
        <v>-7.9100000000000004E-4</v>
      </c>
      <c r="AC21" s="37"/>
      <c r="AD21" s="62">
        <f t="shared" si="2"/>
        <v>0.2817403168244314</v>
      </c>
      <c r="AE21" s="62"/>
      <c r="AF21" s="62"/>
      <c r="AG21" s="62"/>
      <c r="AH21" s="37"/>
      <c r="AI21" s="43"/>
      <c r="AJ21" s="63">
        <f t="shared" si="3"/>
        <v>0</v>
      </c>
      <c r="AK21" s="63" t="e">
        <f t="shared" si="4"/>
        <v>#DIV/0!</v>
      </c>
      <c r="AL21" s="38"/>
      <c r="AM21" s="39"/>
      <c r="AN21" s="39"/>
      <c r="AO21" s="39"/>
      <c r="AP21" s="98">
        <f t="shared" si="5"/>
        <v>0</v>
      </c>
      <c r="AQ21" s="39"/>
      <c r="AR21" s="39"/>
      <c r="AS21" s="44"/>
      <c r="AT21" s="45">
        <f t="shared" si="6"/>
        <v>1062</v>
      </c>
      <c r="AU21" s="45"/>
      <c r="AV21" s="46"/>
      <c r="AW21" s="46"/>
      <c r="AX21" s="40">
        <f t="shared" si="7"/>
        <v>0</v>
      </c>
      <c r="AY21" s="50">
        <v>174</v>
      </c>
      <c r="AZ21" s="70">
        <f t="shared" si="8"/>
        <v>3585029.7351304446</v>
      </c>
      <c r="BA21" s="41"/>
      <c r="BB21" s="48"/>
      <c r="BC21" s="236">
        <f t="shared" si="19"/>
        <v>3807301578.7085323</v>
      </c>
      <c r="BD21" s="236">
        <f t="shared" si="20"/>
        <v>0.2817403168244314</v>
      </c>
      <c r="BE21"/>
      <c r="BF21"/>
      <c r="BG21" s="8">
        <f t="shared" ref="BG21:BG26" si="32">L21/(U21/1000*(V21+W21*N21))</f>
        <v>4.8456093479738579E-10</v>
      </c>
      <c r="BH21" s="8"/>
    </row>
    <row r="22" spans="1:60" x14ac:dyDescent="0.25">
      <c r="A22" s="2" t="s">
        <v>36</v>
      </c>
      <c r="B22" s="30"/>
      <c r="C22" s="2">
        <v>1</v>
      </c>
      <c r="D22" s="2">
        <v>109</v>
      </c>
      <c r="E22" s="2">
        <v>107</v>
      </c>
      <c r="F22" s="22">
        <f t="shared" si="0"/>
        <v>1.823157871E-25</v>
      </c>
      <c r="G22" s="22">
        <f t="shared" si="1"/>
        <v>9.7470425919999998E-29</v>
      </c>
      <c r="H22" s="24">
        <f t="shared" si="10"/>
        <v>1905.4349775174894</v>
      </c>
      <c r="I22" s="24">
        <f t="shared" si="11"/>
        <v>1.0186915887850467</v>
      </c>
      <c r="J22" s="26">
        <f t="shared" si="12"/>
        <v>1.8221831667407999E-25</v>
      </c>
      <c r="K22" s="12">
        <v>344.3879</v>
      </c>
      <c r="L22" s="11">
        <f>0.478*EXP(10900/(8.3144598*N22))/1000</f>
        <v>1.5506403023444345E-3</v>
      </c>
      <c r="M22" s="27">
        <f t="shared" si="13"/>
        <v>8.9766606822262122E-4</v>
      </c>
      <c r="N22" s="16">
        <v>1114</v>
      </c>
      <c r="O22" s="5">
        <f>K22/U22</f>
        <v>7.5193864628820956E-5</v>
      </c>
      <c r="P22" s="17">
        <v>3.3300000000000002E-4</v>
      </c>
      <c r="R22" s="6">
        <v>1.16E-10</v>
      </c>
      <c r="S22" s="6">
        <v>1.81E-10</v>
      </c>
      <c r="T22" s="6">
        <f t="shared" si="14"/>
        <v>2.9700000000000001E-10</v>
      </c>
      <c r="U22" s="6">
        <v>4580000</v>
      </c>
      <c r="V22" s="7">
        <v>1248</v>
      </c>
      <c r="W22" s="4">
        <v>0</v>
      </c>
      <c r="X22" s="11">
        <v>6.3746999999999998</v>
      </c>
      <c r="Y22" s="4">
        <v>-1.5222E-3</v>
      </c>
      <c r="AC22" s="37"/>
      <c r="AD22" s="62">
        <f t="shared" si="2"/>
        <v>0.24646691710132676</v>
      </c>
      <c r="AE22" s="62"/>
      <c r="AF22" s="62"/>
      <c r="AG22" s="62"/>
      <c r="AH22" s="37"/>
      <c r="AI22" s="43"/>
      <c r="AJ22" s="63">
        <f t="shared" si="3"/>
        <v>0</v>
      </c>
      <c r="AK22" s="63" t="e">
        <f t="shared" si="4"/>
        <v>#DIV/0!</v>
      </c>
      <c r="AL22" s="38"/>
      <c r="AM22" s="39"/>
      <c r="AN22" s="39"/>
      <c r="AO22" s="39"/>
      <c r="AP22" s="98">
        <f t="shared" si="5"/>
        <v>0</v>
      </c>
      <c r="AQ22" s="39"/>
      <c r="AR22" s="39"/>
      <c r="AS22" s="44"/>
      <c r="AT22" s="45">
        <f t="shared" si="6"/>
        <v>1248</v>
      </c>
      <c r="AU22" s="45"/>
      <c r="AV22" s="46"/>
      <c r="AW22" s="46"/>
      <c r="AX22" s="40">
        <f t="shared" si="7"/>
        <v>0</v>
      </c>
      <c r="AY22" s="50">
        <v>150</v>
      </c>
      <c r="AZ22" s="70">
        <f t="shared" si="8"/>
        <v>1994843.6051324685</v>
      </c>
      <c r="BA22" s="41"/>
      <c r="BB22" s="48"/>
      <c r="BC22" s="236">
        <f t="shared" si="19"/>
        <v>2489564819.2053208</v>
      </c>
      <c r="BD22" s="236">
        <f t="shared" si="20"/>
        <v>0.24646691710132676</v>
      </c>
      <c r="BE22"/>
      <c r="BF22"/>
      <c r="BG22" s="8">
        <f t="shared" si="32"/>
        <v>2.7128826250287524E-10</v>
      </c>
      <c r="BH22" s="8"/>
    </row>
    <row r="23" spans="1:60" x14ac:dyDescent="0.25">
      <c r="A23" s="4" t="s">
        <v>37</v>
      </c>
      <c r="B23" s="31"/>
      <c r="C23" s="11">
        <v>2</v>
      </c>
      <c r="D23" s="25">
        <v>33.76</v>
      </c>
      <c r="E23" s="25">
        <v>33.44</v>
      </c>
      <c r="F23" s="22">
        <f t="shared" si="0"/>
        <v>5.6467715343999995E-26</v>
      </c>
      <c r="G23" s="22">
        <f t="shared" si="1"/>
        <v>3.0461785446399997E-29</v>
      </c>
      <c r="H23" s="24">
        <f t="shared" si="10"/>
        <v>1871.4620768599771</v>
      </c>
      <c r="I23" s="24">
        <f t="shared" si="11"/>
        <v>1.0095693779904307</v>
      </c>
      <c r="J23" s="26">
        <f t="shared" si="12"/>
        <v>5.6437253558553592E-26</v>
      </c>
      <c r="K23" s="4">
        <v>81.162404000000009</v>
      </c>
      <c r="L23" s="11">
        <f>0.141*EXP(18800/(8.3144598*N23))/1000</f>
        <v>3.6048872982003179E-3</v>
      </c>
      <c r="M23" s="27">
        <f t="shared" si="13"/>
        <v>1.43348623853211E-3</v>
      </c>
      <c r="N23" s="4">
        <v>697.6</v>
      </c>
      <c r="O23" s="4">
        <v>4.6549051207293618E-5</v>
      </c>
      <c r="P23" s="4">
        <v>3.0722637834585992E-4</v>
      </c>
      <c r="T23" s="22">
        <f>0.68*T9+0.32*T14</f>
        <v>2.9788000000000001E-10</v>
      </c>
      <c r="U23" s="8">
        <v>1741629.2032000001</v>
      </c>
      <c r="V23" s="4">
        <v>1968.0306331357569</v>
      </c>
      <c r="Z23" s="4">
        <v>2</v>
      </c>
      <c r="AA23" s="4">
        <v>3</v>
      </c>
      <c r="AB23" s="11">
        <f t="shared" si="15"/>
        <v>5</v>
      </c>
      <c r="AC23" s="37">
        <v>0.43524000000000002</v>
      </c>
      <c r="AD23" s="62">
        <f t="shared" si="2"/>
        <v>0.33375408853502531</v>
      </c>
      <c r="AE23" s="62">
        <f t="shared" si="16"/>
        <v>0.23317229911077728</v>
      </c>
      <c r="AF23" s="62"/>
      <c r="AG23" s="62"/>
      <c r="AH23" s="37">
        <v>0.28255485787268969</v>
      </c>
      <c r="AI23" s="43">
        <f t="shared" ref="AI23:AI41" si="33">(AC23-AH23)/AC23</f>
        <v>0.35080677816218714</v>
      </c>
      <c r="AJ23" s="63">
        <f t="shared" si="3"/>
        <v>2227290.4609544491</v>
      </c>
      <c r="AK23" s="63">
        <f t="shared" si="4"/>
        <v>1707948.0233861972</v>
      </c>
      <c r="AL23" s="38">
        <v>1120431343.2759011</v>
      </c>
      <c r="AM23" s="39">
        <f t="shared" ref="AM23:AM40" si="34">AH23/AL23</f>
        <v>2.5218399999999988E-10</v>
      </c>
      <c r="AN23" s="39"/>
      <c r="AO23" s="39"/>
      <c r="AP23" s="98">
        <f t="shared" si="5"/>
        <v>3.8845753701199731E-10</v>
      </c>
      <c r="AQ23" s="39">
        <f t="shared" ref="AQ23:AQ40" si="35">AC23/AL23</f>
        <v>3.8845753701199716E-10</v>
      </c>
      <c r="AR23" s="39">
        <f t="shared" ref="AR23:AR41" si="36">(AQ23-AM23)/AM23</f>
        <v>0.54037344562699197</v>
      </c>
      <c r="AS23" s="44">
        <f t="shared" ref="AS23:AS41" si="37">AH23/AT23</f>
        <v>1.4357238810987487E-4</v>
      </c>
      <c r="AT23" s="45">
        <f t="shared" si="6"/>
        <v>1968.0306331357569</v>
      </c>
      <c r="AU23" s="45"/>
      <c r="AV23" s="46">
        <f t="shared" ref="AV23:AV41" si="38">AC23/AS23</f>
        <v>3031.5021274627966</v>
      </c>
      <c r="AW23" s="46">
        <f t="shared" si="17"/>
        <v>0.54037344562699197</v>
      </c>
      <c r="AX23" s="40">
        <f t="shared" si="7"/>
        <v>3.5539989488832884E-3</v>
      </c>
      <c r="AY23" s="41">
        <v>79.503360000000001</v>
      </c>
      <c r="AZ23" s="70">
        <f t="shared" si="8"/>
        <v>1707948.0233861969</v>
      </c>
      <c r="BA23" s="41">
        <f t="shared" ref="BA23:BA41" si="39">AC23/(AX23)</f>
        <v>122.46486458212317</v>
      </c>
      <c r="BB23" s="48">
        <f t="shared" si="18"/>
        <v>0.54037344562699197</v>
      </c>
      <c r="BC23" s="236">
        <f t="shared" si="19"/>
        <v>3361294029.8277016</v>
      </c>
      <c r="BD23" s="236">
        <f t="shared" si="20"/>
        <v>0.3337540885350252</v>
      </c>
      <c r="BE23"/>
      <c r="BF23"/>
      <c r="BG23" s="8">
        <f t="shared" si="32"/>
        <v>1.0517297026523455E-9</v>
      </c>
      <c r="BH23" s="8"/>
    </row>
    <row r="24" spans="1:60" x14ac:dyDescent="0.25">
      <c r="A24" s="4" t="s">
        <v>38</v>
      </c>
      <c r="B24" s="31"/>
      <c r="C24" s="11">
        <v>2</v>
      </c>
      <c r="D24" s="25">
        <v>12.34</v>
      </c>
      <c r="E24" s="25">
        <v>11.34</v>
      </c>
      <c r="F24" s="22">
        <f t="shared" si="0"/>
        <v>2.0640154245999999E-26</v>
      </c>
      <c r="G24" s="22">
        <f t="shared" si="1"/>
        <v>1.0330043270399999E-29</v>
      </c>
      <c r="H24" s="24">
        <f t="shared" si="10"/>
        <v>2174.2671429464549</v>
      </c>
      <c r="I24" s="24">
        <f t="shared" si="11"/>
        <v>1.088183421516755</v>
      </c>
      <c r="J24" s="26">
        <f t="shared" si="12"/>
        <v>2.06298242027296E-26</v>
      </c>
      <c r="K24" s="4">
        <v>33.103140000000003</v>
      </c>
      <c r="L24" s="11">
        <f>0.116*EXP(31200/(8.3144598*N24))/1000</f>
        <v>1.9398692129051695E-2</v>
      </c>
      <c r="M24" s="27">
        <f t="shared" si="13"/>
        <v>1.364256480218281E-3</v>
      </c>
      <c r="N24" s="4">
        <v>733</v>
      </c>
      <c r="O24" s="4">
        <v>1.6714173769923689E-5</v>
      </c>
      <c r="P24" s="4">
        <v>1.409526898683356E-4</v>
      </c>
      <c r="T24" s="22">
        <f>0.66*T2+0.34*T10</f>
        <v>1.9472000000000003E-10</v>
      </c>
      <c r="U24" s="8">
        <v>1986063.3540000001</v>
      </c>
      <c r="V24" s="4">
        <v>2547.6863757231322</v>
      </c>
      <c r="Z24" s="4">
        <v>2</v>
      </c>
      <c r="AA24" s="4">
        <v>3</v>
      </c>
      <c r="AB24" s="11">
        <f t="shared" si="15"/>
        <v>5</v>
      </c>
      <c r="AC24" s="37">
        <v>1.1000000000000001</v>
      </c>
      <c r="AD24" s="62">
        <f t="shared" si="2"/>
        <v>0.71488518084414443</v>
      </c>
      <c r="AE24" s="62">
        <f t="shared" si="16"/>
        <v>0.35010438105077785</v>
      </c>
      <c r="AF24" s="62">
        <f>1/3*AZ24*AT24*AN24</f>
        <v>0.60953584013575091</v>
      </c>
      <c r="AG24" s="62">
        <f>1/3*AZ24*AT24*AO24</f>
        <v>1.28305844543897</v>
      </c>
      <c r="AH24" s="37">
        <v>0.62426158899966577</v>
      </c>
      <c r="AI24" s="43">
        <f t="shared" si="33"/>
        <v>0.43248946454575843</v>
      </c>
      <c r="AJ24" s="63">
        <f t="shared" si="3"/>
        <v>6652079.2470877897</v>
      </c>
      <c r="AK24" s="63">
        <f t="shared" si="4"/>
        <v>4323157.1595853958</v>
      </c>
      <c r="AL24" s="38">
        <v>3671349531.8618751</v>
      </c>
      <c r="AM24" s="39">
        <f t="shared" si="34"/>
        <v>1.7003600000000001E-10</v>
      </c>
      <c r="AN24" s="39">
        <v>1.6602500929042107E-10</v>
      </c>
      <c r="AO24" s="39">
        <v>3.4947869558698333E-10</v>
      </c>
      <c r="AP24" s="98">
        <f t="shared" si="5"/>
        <v>2.9961734518972644E-10</v>
      </c>
      <c r="AQ24" s="39">
        <f t="shared" si="35"/>
        <v>2.9961734518972644E-10</v>
      </c>
      <c r="AR24" s="39">
        <f t="shared" si="36"/>
        <v>0.76208182496486876</v>
      </c>
      <c r="AS24" s="44">
        <f t="shared" si="37"/>
        <v>2.4503078359575407E-4</v>
      </c>
      <c r="AT24" s="45">
        <f t="shared" si="6"/>
        <v>2547.6863757231322</v>
      </c>
      <c r="AU24" s="45"/>
      <c r="AV24" s="46">
        <f t="shared" si="38"/>
        <v>4489.23185837235</v>
      </c>
      <c r="AW24" s="46">
        <f t="shared" si="17"/>
        <v>0.76208182496486909</v>
      </c>
      <c r="AX24" s="40">
        <f t="shared" si="7"/>
        <v>8.6393422043187697E-3</v>
      </c>
      <c r="AY24" s="41">
        <v>72.25800000000001</v>
      </c>
      <c r="AZ24" s="70">
        <f t="shared" si="8"/>
        <v>4323157.1595853949</v>
      </c>
      <c r="BA24" s="41">
        <f t="shared" si="39"/>
        <v>127.32450850831152</v>
      </c>
      <c r="BB24" s="48">
        <f t="shared" si="18"/>
        <v>0.76208182496486909</v>
      </c>
      <c r="BC24" s="236">
        <f t="shared" si="19"/>
        <v>11014048595.585625</v>
      </c>
      <c r="BD24" s="236">
        <f t="shared" si="20"/>
        <v>0.71488518084414432</v>
      </c>
      <c r="BE24"/>
      <c r="BF24"/>
      <c r="BG24" s="8">
        <f t="shared" si="32"/>
        <v>3.8338347353322035E-9</v>
      </c>
      <c r="BH24" s="8"/>
    </row>
    <row r="25" spans="1:60" x14ac:dyDescent="0.25">
      <c r="A25" s="4" t="s">
        <v>39</v>
      </c>
      <c r="B25" s="31"/>
      <c r="C25" s="11">
        <v>3</v>
      </c>
      <c r="D25" s="25">
        <v>19.64</v>
      </c>
      <c r="E25" s="25">
        <v>19.64</v>
      </c>
      <c r="F25" s="22">
        <f t="shared" si="0"/>
        <v>3.2850294116000003E-26</v>
      </c>
      <c r="G25" s="22">
        <f t="shared" si="1"/>
        <v>1.78908333184E-29</v>
      </c>
      <c r="H25" s="24">
        <f t="shared" si="10"/>
        <v>1836.1522647586683</v>
      </c>
      <c r="I25" s="24">
        <f t="shared" si="11"/>
        <v>1</v>
      </c>
      <c r="J25" s="26">
        <f t="shared" si="12"/>
        <v>3.2832403282681602E-26</v>
      </c>
      <c r="K25" s="4">
        <v>41.290994999999988</v>
      </c>
      <c r="L25" s="11">
        <f>10^(0.213+-1200/N25+1350000/N25^2)/1000</f>
        <v>1.2003439447166342E-2</v>
      </c>
      <c r="M25" s="27">
        <f t="shared" si="13"/>
        <v>1.3605442176870747E-3</v>
      </c>
      <c r="N25" s="4">
        <v>735</v>
      </c>
      <c r="O25" s="4">
        <v>1.9405588331960499E-5</v>
      </c>
      <c r="P25" s="4">
        <v>3.1252324985815613E-4</v>
      </c>
      <c r="T25" s="22">
        <f>0.465*T2+0.115*T3+0.42*T4</f>
        <v>2.3803E-10</v>
      </c>
      <c r="U25" s="8">
        <v>2102415.4449999998</v>
      </c>
      <c r="V25" s="4">
        <v>2012.468707779205</v>
      </c>
      <c r="Z25" s="4">
        <v>3</v>
      </c>
      <c r="AA25" s="4">
        <v>3</v>
      </c>
      <c r="AB25" s="11">
        <f t="shared" si="15"/>
        <v>6</v>
      </c>
      <c r="AC25" s="37">
        <v>0.78024246508674777</v>
      </c>
      <c r="AD25" s="62">
        <f t="shared" si="2"/>
        <v>0.54326858976638281</v>
      </c>
      <c r="AE25" s="62">
        <f t="shared" si="16"/>
        <v>0.30371824903687866</v>
      </c>
      <c r="AF25" s="62">
        <f>1/3*AZ25*AT25*AN25</f>
        <v>0.48209294921946866</v>
      </c>
      <c r="AG25" s="62">
        <f>1/3*AZ25*AT25*AO25</f>
        <v>0.85046707066330796</v>
      </c>
      <c r="AH25" s="37">
        <v>0.39969771709442198</v>
      </c>
      <c r="AI25" s="43">
        <f t="shared" si="33"/>
        <v>0.48772627102527244</v>
      </c>
      <c r="AJ25" s="63">
        <f t="shared" si="3"/>
        <v>4886411.1374480864</v>
      </c>
      <c r="AK25" s="63">
        <f t="shared" si="4"/>
        <v>3402318.9027080513</v>
      </c>
      <c r="AL25" s="38">
        <v>2282353441.8618789</v>
      </c>
      <c r="AM25" s="39">
        <f t="shared" si="34"/>
        <v>1.7512524999999998E-10</v>
      </c>
      <c r="AN25" s="39">
        <v>2.1122624584656404E-10</v>
      </c>
      <c r="AO25" s="39">
        <v>3.7262724303100115E-10</v>
      </c>
      <c r="AP25" s="98">
        <f t="shared" si="5"/>
        <v>3.418587370281478E-10</v>
      </c>
      <c r="AQ25" s="39">
        <f t="shared" si="35"/>
        <v>3.4185873702814765E-10</v>
      </c>
      <c r="AR25" s="39">
        <f t="shared" si="36"/>
        <v>0.95208136478404848</v>
      </c>
      <c r="AS25" s="44">
        <f t="shared" si="37"/>
        <v>1.9861064947215777E-4</v>
      </c>
      <c r="AT25" s="45">
        <f t="shared" si="6"/>
        <v>2012.468707779205</v>
      </c>
      <c r="AU25" s="45"/>
      <c r="AV25" s="46">
        <f t="shared" si="38"/>
        <v>3928.5026616668206</v>
      </c>
      <c r="AW25" s="46">
        <f t="shared" si="17"/>
        <v>0.95208136478404826</v>
      </c>
      <c r="AX25" s="40">
        <f t="shared" si="7"/>
        <v>6.0538246258091295E-3</v>
      </c>
      <c r="AY25" s="41">
        <v>66.024000000000001</v>
      </c>
      <c r="AZ25" s="70">
        <f t="shared" si="8"/>
        <v>3402318.9027080508</v>
      </c>
      <c r="BA25" s="41">
        <f t="shared" si="39"/>
        <v>128.88422002850203</v>
      </c>
      <c r="BB25" s="48">
        <f t="shared" si="18"/>
        <v>0.95208136478404859</v>
      </c>
      <c r="BC25" s="236">
        <f t="shared" si="19"/>
        <v>6847060325.5856342</v>
      </c>
      <c r="BD25" s="236">
        <f t="shared" si="20"/>
        <v>0.54326858976638281</v>
      </c>
      <c r="BE25"/>
      <c r="BF25"/>
      <c r="BG25" s="8">
        <f t="shared" si="32"/>
        <v>2.8369914793196441E-9</v>
      </c>
      <c r="BH25" s="8"/>
    </row>
    <row r="26" spans="1:60" x14ac:dyDescent="0.25">
      <c r="A26" s="4" t="s">
        <v>40</v>
      </c>
      <c r="B26" s="31"/>
      <c r="C26" s="11">
        <v>4</v>
      </c>
      <c r="D26" s="25">
        <v>23.315000000000001</v>
      </c>
      <c r="E26" s="25">
        <v>22.74</v>
      </c>
      <c r="F26" s="22">
        <f t="shared" si="0"/>
        <v>3.8997179598500003E-26</v>
      </c>
      <c r="G26" s="22">
        <f t="shared" si="1"/>
        <v>2.0714742854399996E-29</v>
      </c>
      <c r="H26" s="24">
        <f t="shared" si="10"/>
        <v>1930.1835567339556</v>
      </c>
      <c r="I26" s="24">
        <f t="shared" si="11"/>
        <v>1.0252858399296396</v>
      </c>
      <c r="J26" s="26">
        <f t="shared" si="12"/>
        <v>3.8976464855645601E-26</v>
      </c>
      <c r="K26" s="4">
        <v>66.133683500000004</v>
      </c>
      <c r="L26" s="11">
        <f>0.062*EXP(38800/(8.3144598*N26))/1000</f>
        <v>3.0468148860508516E-2</v>
      </c>
      <c r="M26" s="27">
        <f t="shared" si="13"/>
        <v>1.3280212483399733E-3</v>
      </c>
      <c r="N26" s="4">
        <v>753</v>
      </c>
      <c r="O26" s="4">
        <v>1.9202817056926548E-5</v>
      </c>
      <c r="P26" s="4">
        <v>1.6787041064891779E-4</v>
      </c>
      <c r="T26" s="22">
        <f>0.675*T2+0.2*T10+0.005*T20+0.12*T21</f>
        <v>2.0225E-10</v>
      </c>
      <c r="U26" s="8">
        <v>2609440.5150000001</v>
      </c>
      <c r="V26" s="4">
        <v>1781.433208193873</v>
      </c>
      <c r="Z26" s="4">
        <v>4</v>
      </c>
      <c r="AA26" s="4">
        <v>11</v>
      </c>
      <c r="AB26" s="11">
        <f t="shared" si="15"/>
        <v>15</v>
      </c>
      <c r="AC26" s="37">
        <v>1.1599999999999999</v>
      </c>
      <c r="AD26" s="62">
        <f t="shared" si="2"/>
        <v>0.51681594759710647</v>
      </c>
      <c r="AE26" s="62">
        <f t="shared" si="16"/>
        <v>0.5544690106921496</v>
      </c>
      <c r="AF26" s="62"/>
      <c r="AG26" s="62"/>
      <c r="AH26" s="37">
        <v>0.43510012746839721</v>
      </c>
      <c r="AI26" s="43">
        <f t="shared" si="33"/>
        <v>0.62491368321689889</v>
      </c>
      <c r="AJ26" s="63">
        <f t="shared" si="3"/>
        <v>9658755.4388015848</v>
      </c>
      <c r="AK26" s="63">
        <f t="shared" si="4"/>
        <v>4303274.8661318505</v>
      </c>
      <c r="AL26" s="38">
        <v>2555332250.1711068</v>
      </c>
      <c r="AM26" s="39">
        <f t="shared" si="34"/>
        <v>1.7027145000000005E-10</v>
      </c>
      <c r="AN26" s="39"/>
      <c r="AO26" s="39"/>
      <c r="AP26" s="98">
        <f t="shared" si="5"/>
        <v>4.5395271003303986E-10</v>
      </c>
      <c r="AQ26" s="39">
        <f t="shared" si="35"/>
        <v>4.5395271003303991E-10</v>
      </c>
      <c r="AR26" s="39">
        <f t="shared" si="36"/>
        <v>1.6660529996839741</v>
      </c>
      <c r="AS26" s="44">
        <f t="shared" si="37"/>
        <v>2.4424161706827535E-4</v>
      </c>
      <c r="AT26" s="45">
        <f t="shared" si="6"/>
        <v>1781.433208193873</v>
      </c>
      <c r="AU26" s="45"/>
      <c r="AV26" s="46">
        <f t="shared" si="38"/>
        <v>4749.3953484419217</v>
      </c>
      <c r="AW26" s="46">
        <f t="shared" si="17"/>
        <v>1.6660529996839748</v>
      </c>
      <c r="AX26" s="40">
        <f t="shared" si="7"/>
        <v>5.265324952724598E-3</v>
      </c>
      <c r="AY26" s="41">
        <v>82.635000000000005</v>
      </c>
      <c r="AZ26" s="70">
        <f t="shared" si="8"/>
        <v>4303274.8661318505</v>
      </c>
      <c r="BA26" s="41">
        <f t="shared" si="39"/>
        <v>220.30928962888524</v>
      </c>
      <c r="BB26" s="48">
        <f t="shared" si="18"/>
        <v>1.6660529996839741</v>
      </c>
      <c r="BC26" s="236">
        <f t="shared" si="19"/>
        <v>7665996750.5133219</v>
      </c>
      <c r="BD26" s="236">
        <f t="shared" si="20"/>
        <v>0.51681594759710647</v>
      </c>
      <c r="BE26"/>
      <c r="BF26"/>
      <c r="BG26" s="8">
        <f t="shared" si="32"/>
        <v>6.5543423785317211E-9</v>
      </c>
      <c r="BH26" s="8"/>
    </row>
    <row r="27" spans="1:60" x14ac:dyDescent="0.25">
      <c r="A27" s="4" t="s">
        <v>47</v>
      </c>
      <c r="B27" s="31"/>
      <c r="C27" s="11">
        <v>4</v>
      </c>
      <c r="D27" s="25">
        <v>14.792</v>
      </c>
      <c r="E27" s="25">
        <v>14.388</v>
      </c>
      <c r="F27" s="22">
        <f t="shared" si="0"/>
        <v>2.4741423144799998E-26</v>
      </c>
      <c r="G27" s="22">
        <f t="shared" si="1"/>
        <v>1.3106584001279998E-29</v>
      </c>
      <c r="H27" s="24">
        <f t="shared" si="10"/>
        <v>1940.7144105304449</v>
      </c>
      <c r="I27" s="24">
        <f t="shared" si="11"/>
        <v>1.0280789546844593</v>
      </c>
      <c r="J27" s="26">
        <f t="shared" si="12"/>
        <v>2.4728316560798717E-26</v>
      </c>
      <c r="K27" s="4">
        <v>40.153548000000008</v>
      </c>
      <c r="L27" s="11"/>
      <c r="M27" s="27">
        <f t="shared" si="13"/>
        <v>1.4084507042253522E-3</v>
      </c>
      <c r="N27" s="4">
        <v>710</v>
      </c>
      <c r="O27" s="4">
        <v>1.69198810550489E-5</v>
      </c>
      <c r="P27" s="4">
        <v>1.8512201652073131E-4</v>
      </c>
      <c r="T27" s="22">
        <f>0.712*T2+0.23*T10+0.05*T19+0.008*T21</f>
        <v>1.9924399999999998E-10</v>
      </c>
      <c r="U27" s="8">
        <v>2163027.5660000001</v>
      </c>
      <c r="V27" s="4">
        <v>2319.1206460873409</v>
      </c>
      <c r="Z27" s="4">
        <v>4</v>
      </c>
      <c r="AA27" s="4">
        <v>11</v>
      </c>
      <c r="AB27" s="11">
        <f t="shared" si="15"/>
        <v>15</v>
      </c>
      <c r="AC27" s="37">
        <v>1.24</v>
      </c>
      <c r="AD27" s="62">
        <f t="shared" si="2"/>
        <v>0.66880040429891452</v>
      </c>
      <c r="AE27" s="62">
        <f t="shared" si="16"/>
        <v>0.46064483524281086</v>
      </c>
      <c r="AF27" s="62"/>
      <c r="AG27" s="62"/>
      <c r="AH27" s="37">
        <v>0.58242618348722919</v>
      </c>
      <c r="AI27" s="43">
        <f t="shared" si="33"/>
        <v>0.53030146492965391</v>
      </c>
      <c r="AJ27" s="63">
        <f t="shared" si="3"/>
        <v>8050713.0166514972</v>
      </c>
      <c r="AK27" s="63">
        <f t="shared" si="4"/>
        <v>4342193.6455089152</v>
      </c>
      <c r="AL27" s="38">
        <v>3356690310.8696609</v>
      </c>
      <c r="AM27" s="39">
        <f t="shared" si="34"/>
        <v>1.7351204000000004E-10</v>
      </c>
      <c r="AN27" s="39"/>
      <c r="AO27" s="39"/>
      <c r="AP27" s="98">
        <f t="shared" si="5"/>
        <v>3.6941149917364215E-10</v>
      </c>
      <c r="AQ27" s="39">
        <f t="shared" si="35"/>
        <v>3.6941149917364205E-10</v>
      </c>
      <c r="AR27" s="39">
        <f t="shared" si="36"/>
        <v>1.129025162597604</v>
      </c>
      <c r="AS27" s="44">
        <f t="shared" si="37"/>
        <v>2.5114095916909632E-4</v>
      </c>
      <c r="AT27" s="45">
        <f t="shared" si="6"/>
        <v>2319.1206460873409</v>
      </c>
      <c r="AU27" s="45"/>
      <c r="AV27" s="46">
        <f t="shared" si="38"/>
        <v>4937.466210619561</v>
      </c>
      <c r="AW27" s="46">
        <f t="shared" si="17"/>
        <v>1.1290251625976038</v>
      </c>
      <c r="AX27" s="40">
        <f t="shared" si="7"/>
        <v>7.9274661762207006E-3</v>
      </c>
      <c r="AY27" s="41">
        <v>73.469400000000007</v>
      </c>
      <c r="AZ27" s="70">
        <f t="shared" si="8"/>
        <v>4342193.6455089152</v>
      </c>
      <c r="BA27" s="41">
        <f t="shared" si="39"/>
        <v>156.41820128094841</v>
      </c>
      <c r="BB27" s="48">
        <f t="shared" si="18"/>
        <v>1.1290251625976038</v>
      </c>
      <c r="BC27" s="236">
        <f t="shared" si="19"/>
        <v>10070070932.608982</v>
      </c>
      <c r="BD27" s="236">
        <f t="shared" si="20"/>
        <v>0.66880040429891452</v>
      </c>
      <c r="BE27"/>
      <c r="BF27"/>
      <c r="BG27" s="8"/>
      <c r="BH27" s="8"/>
    </row>
    <row r="28" spans="1:60" x14ac:dyDescent="0.25">
      <c r="A28" s="4" t="s">
        <v>41</v>
      </c>
      <c r="B28" s="31"/>
      <c r="C28" s="11">
        <v>2</v>
      </c>
      <c r="D28" s="25">
        <v>12.27</v>
      </c>
      <c r="E28" s="25">
        <v>11.73</v>
      </c>
      <c r="F28" s="22">
        <f t="shared" si="0"/>
        <v>2.0523070712999998E-26</v>
      </c>
      <c r="G28" s="22">
        <f t="shared" si="1"/>
        <v>1.0685309308799999E-29</v>
      </c>
      <c r="H28" s="24">
        <f t="shared" si="10"/>
        <v>2009.1011113290388</v>
      </c>
      <c r="I28" s="24">
        <f t="shared" si="11"/>
        <v>1.0460358056265984</v>
      </c>
      <c r="J28" s="26">
        <f t="shared" si="12"/>
        <v>2.0512385403691198E-26</v>
      </c>
      <c r="K28" s="4">
        <v>31.62816999999999</v>
      </c>
      <c r="L28" s="11">
        <f>0.118*EXP(30100/(8.3144598*N28))/1000</f>
        <v>1.6585959930776259E-2</v>
      </c>
      <c r="M28" s="27">
        <f t="shared" si="13"/>
        <v>1.366120218579235E-3</v>
      </c>
      <c r="N28" s="4">
        <v>732</v>
      </c>
      <c r="O28" s="4">
        <v>1.59424661503112E-5</v>
      </c>
      <c r="P28" s="4">
        <v>1.6222658639521151E-4</v>
      </c>
      <c r="T28" s="22">
        <f>0.73*T2+0.27*T10</f>
        <v>1.9765999999999999E-10</v>
      </c>
      <c r="U28" s="8">
        <v>1989043.9480000001</v>
      </c>
      <c r="V28" s="4">
        <v>2547.687552638462</v>
      </c>
      <c r="Z28" s="4">
        <v>2</v>
      </c>
      <c r="AA28" s="4">
        <v>3</v>
      </c>
      <c r="AB28" s="11">
        <f t="shared" si="15"/>
        <v>5</v>
      </c>
      <c r="AC28" s="37">
        <v>0.98602842355479869</v>
      </c>
      <c r="AD28" s="62">
        <f t="shared" si="2"/>
        <v>0.74333870635594579</v>
      </c>
      <c r="AE28" s="62">
        <f t="shared" si="16"/>
        <v>0.24612852064032351</v>
      </c>
      <c r="AF28" s="62"/>
      <c r="AG28" s="62"/>
      <c r="AH28" s="37">
        <v>0.66180310738547476</v>
      </c>
      <c r="AI28" s="43">
        <f t="shared" si="33"/>
        <v>0.32881944214187764</v>
      </c>
      <c r="AJ28" s="63">
        <f t="shared" si="3"/>
        <v>5874159.4732041424</v>
      </c>
      <c r="AK28" s="63">
        <f t="shared" si="4"/>
        <v>4428361.2920590648</v>
      </c>
      <c r="AL28" s="38">
        <v>3760693647.4549508</v>
      </c>
      <c r="AM28" s="39">
        <f t="shared" si="34"/>
        <v>1.7597899999999999E-10</v>
      </c>
      <c r="AN28" s="39"/>
      <c r="AO28" s="39"/>
      <c r="AP28" s="98">
        <f t="shared" si="5"/>
        <v>2.6219323241660301E-10</v>
      </c>
      <c r="AQ28" s="39">
        <f t="shared" si="35"/>
        <v>2.6219323241660306E-10</v>
      </c>
      <c r="AR28" s="39">
        <f t="shared" si="36"/>
        <v>0.48991204869105448</v>
      </c>
      <c r="AS28" s="44">
        <f t="shared" si="37"/>
        <v>2.5976619727175398E-4</v>
      </c>
      <c r="AT28" s="45">
        <f t="shared" si="6"/>
        <v>2547.687552638462</v>
      </c>
      <c r="AU28" s="45"/>
      <c r="AV28" s="46">
        <f t="shared" si="38"/>
        <v>3795.8303809762697</v>
      </c>
      <c r="AW28" s="46">
        <f t="shared" si="17"/>
        <v>0.48991204869105454</v>
      </c>
      <c r="AX28" s="40">
        <f t="shared" si="7"/>
        <v>9.3741144688377284E-3</v>
      </c>
      <c r="AY28" s="41">
        <v>70.599000000000004</v>
      </c>
      <c r="AZ28" s="70">
        <f t="shared" si="8"/>
        <v>4428361.2920590648</v>
      </c>
      <c r="BA28" s="41">
        <f t="shared" si="39"/>
        <v>105.18630072553975</v>
      </c>
      <c r="BB28" s="48">
        <f t="shared" si="18"/>
        <v>0.48991204869105437</v>
      </c>
      <c r="BC28" s="236">
        <f t="shared" si="19"/>
        <v>11282080942.364857</v>
      </c>
      <c r="BD28" s="236">
        <f t="shared" si="20"/>
        <v>0.74333870635594579</v>
      </c>
      <c r="BE28"/>
      <c r="BF28"/>
      <c r="BG28" s="8">
        <f>L28/(U28/1000*(V28+W28*N28))</f>
        <v>3.2730306153599925E-9</v>
      </c>
      <c r="BH28" s="8"/>
    </row>
    <row r="29" spans="1:60" x14ac:dyDescent="0.25">
      <c r="A29" s="4" t="s">
        <v>42</v>
      </c>
      <c r="B29" s="31"/>
      <c r="C29" s="11">
        <v>3</v>
      </c>
      <c r="D29" s="25">
        <v>13.154999999999999</v>
      </c>
      <c r="E29" s="25">
        <v>12.86</v>
      </c>
      <c r="F29" s="22">
        <f t="shared" si="0"/>
        <v>2.2003341094499998E-26</v>
      </c>
      <c r="G29" s="22">
        <f t="shared" si="1"/>
        <v>1.1714669881599998E-29</v>
      </c>
      <c r="H29" s="24">
        <f t="shared" si="10"/>
        <v>1921.3587403123072</v>
      </c>
      <c r="I29" s="24">
        <f t="shared" si="11"/>
        <v>1.0229393468118195</v>
      </c>
      <c r="J29" s="26">
        <f t="shared" si="12"/>
        <v>2.1991626424618399E-26</v>
      </c>
      <c r="K29" s="4">
        <v>34.403649999999985</v>
      </c>
      <c r="L29" s="11">
        <f>0.123*EXP(29800/(8.3144598*N29))/1000</f>
        <v>1.6457220475546555E-2</v>
      </c>
      <c r="M29" s="27">
        <f t="shared" si="13"/>
        <v>1.366120218579235E-3</v>
      </c>
      <c r="N29" s="4">
        <v>732</v>
      </c>
      <c r="O29" s="4">
        <v>1.6204764243863241E-5</v>
      </c>
      <c r="P29" s="4">
        <v>1.625831359942148E-4</v>
      </c>
      <c r="T29" s="22">
        <f>0.725*T2+0.265*T10+0.01*T21</f>
        <v>1.9799999999999999E-10</v>
      </c>
      <c r="U29" s="8">
        <v>2039490.53</v>
      </c>
      <c r="V29" s="4">
        <v>2441.8705732183512</v>
      </c>
      <c r="Z29" s="4">
        <v>3</v>
      </c>
      <c r="AA29" s="4">
        <v>7</v>
      </c>
      <c r="AB29" s="11">
        <f t="shared" si="15"/>
        <v>10</v>
      </c>
      <c r="AC29" s="37">
        <v>0.89056771657477962</v>
      </c>
      <c r="AD29" s="62">
        <f t="shared" si="2"/>
        <v>0.71187944439400763</v>
      </c>
      <c r="AE29" s="62">
        <f t="shared" si="16"/>
        <v>0.2006453511115657</v>
      </c>
      <c r="AF29" s="62"/>
      <c r="AG29" s="62"/>
      <c r="AH29" s="37">
        <v>0.63042335803936922</v>
      </c>
      <c r="AI29" s="43">
        <f t="shared" si="33"/>
        <v>0.29211069938168649</v>
      </c>
      <c r="AJ29" s="63">
        <f t="shared" si="3"/>
        <v>5525866.2760937605</v>
      </c>
      <c r="AK29" s="63">
        <f t="shared" si="4"/>
        <v>4417126.896931367</v>
      </c>
      <c r="AL29" s="38">
        <v>3595350729.2626648</v>
      </c>
      <c r="AM29" s="39">
        <f t="shared" si="34"/>
        <v>1.7534405000000001E-10</v>
      </c>
      <c r="AN29" s="39"/>
      <c r="AO29" s="39"/>
      <c r="AP29" s="98">
        <f t="shared" si="5"/>
        <v>2.4769981669004444E-10</v>
      </c>
      <c r="AQ29" s="39">
        <f t="shared" si="35"/>
        <v>2.4769981669004444E-10</v>
      </c>
      <c r="AR29" s="39">
        <f t="shared" si="36"/>
        <v>0.41265025354464224</v>
      </c>
      <c r="AS29" s="44">
        <f t="shared" si="37"/>
        <v>2.5817230649062621E-4</v>
      </c>
      <c r="AT29" s="45">
        <f t="shared" si="6"/>
        <v>2441.8705732183512</v>
      </c>
      <c r="AU29" s="45"/>
      <c r="AV29" s="46">
        <f t="shared" si="38"/>
        <v>3449.509084380104</v>
      </c>
      <c r="AW29" s="46">
        <f t="shared" si="17"/>
        <v>0.41265025354464197</v>
      </c>
      <c r="AX29" s="40">
        <f t="shared" si="7"/>
        <v>8.8074401955806451E-3</v>
      </c>
      <c r="AY29" s="41">
        <v>71.578500000000005</v>
      </c>
      <c r="AZ29" s="70">
        <f t="shared" si="8"/>
        <v>4417126.896931367</v>
      </c>
      <c r="BA29" s="41">
        <f t="shared" si="39"/>
        <v>101.11538617334517</v>
      </c>
      <c r="BB29" s="48">
        <f t="shared" si="18"/>
        <v>0.41265025354464208</v>
      </c>
      <c r="BC29" s="236">
        <f t="shared" si="19"/>
        <v>10786052187.787994</v>
      </c>
      <c r="BD29" s="236">
        <f t="shared" si="20"/>
        <v>0.71187944439400763</v>
      </c>
      <c r="BE29"/>
      <c r="BF29"/>
      <c r="BG29" s="8">
        <f>L29/(U29/1000*(V29+W29*N29))</f>
        <v>3.304548673097048E-9</v>
      </c>
      <c r="BH29" s="8"/>
    </row>
    <row r="30" spans="1:60" x14ac:dyDescent="0.25">
      <c r="A30" s="4" t="s">
        <v>43</v>
      </c>
      <c r="B30" s="31"/>
      <c r="C30" s="11">
        <v>3</v>
      </c>
      <c r="D30" s="25">
        <v>14.04</v>
      </c>
      <c r="E30" s="25">
        <v>13.72</v>
      </c>
      <c r="F30" s="22">
        <f t="shared" si="0"/>
        <v>2.3483611476E-26</v>
      </c>
      <c r="G30" s="22">
        <f t="shared" si="1"/>
        <v>1.2498077043199999E-29</v>
      </c>
      <c r="H30" s="24">
        <f t="shared" si="10"/>
        <v>1922.802532707738</v>
      </c>
      <c r="I30" s="24">
        <f t="shared" si="11"/>
        <v>1.0233236151603498</v>
      </c>
      <c r="J30" s="26">
        <f t="shared" si="12"/>
        <v>2.3471113398956799E-26</v>
      </c>
      <c r="K30" s="4">
        <v>37.179130000000008</v>
      </c>
      <c r="L30" s="11">
        <f>0.123*EXP(29800/(8.3144598*N30))/1000</f>
        <v>1.6457220475546555E-2</v>
      </c>
      <c r="M30" s="27">
        <f t="shared" si="13"/>
        <v>1.366120218579235E-3</v>
      </c>
      <c r="N30" s="4">
        <v>732</v>
      </c>
      <c r="O30" s="4">
        <v>1.6467062337415279E-5</v>
      </c>
      <c r="P30" s="4">
        <v>1.629283268847662E-4</v>
      </c>
      <c r="T30" s="22">
        <f>0.72*T2+0.26*T10+0.02*T21</f>
        <v>1.9834000000000001E-10</v>
      </c>
      <c r="U30" s="8">
        <v>2089937.112</v>
      </c>
      <c r="V30" s="4">
        <v>2348.7520215904742</v>
      </c>
      <c r="Z30" s="4">
        <v>3</v>
      </c>
      <c r="AA30" s="4">
        <v>7</v>
      </c>
      <c r="AB30" s="11">
        <f t="shared" si="15"/>
        <v>10</v>
      </c>
      <c r="AC30" s="37">
        <v>0.80397278022492213</v>
      </c>
      <c r="AD30" s="62">
        <f t="shared" si="2"/>
        <v>0.68421941732878677</v>
      </c>
      <c r="AE30" s="62">
        <f t="shared" si="16"/>
        <v>0.14895201161242394</v>
      </c>
      <c r="AF30" s="62"/>
      <c r="AG30" s="62"/>
      <c r="AH30" s="37">
        <v>0.60277957505526136</v>
      </c>
      <c r="AI30" s="43">
        <f t="shared" si="33"/>
        <v>0.25024877722026145</v>
      </c>
      <c r="AJ30" s="63">
        <f t="shared" si="3"/>
        <v>5177440.5902498215</v>
      </c>
      <c r="AK30" s="63">
        <f t="shared" si="4"/>
        <v>4406250.3993282951</v>
      </c>
      <c r="AL30" s="38">
        <v>3449729844.352057</v>
      </c>
      <c r="AM30" s="39">
        <f t="shared" si="34"/>
        <v>1.7473239999999999E-10</v>
      </c>
      <c r="AN30" s="39"/>
      <c r="AO30" s="39"/>
      <c r="AP30" s="98">
        <f t="shared" si="5"/>
        <v>2.3305383798131243E-10</v>
      </c>
      <c r="AQ30" s="39">
        <f t="shared" si="35"/>
        <v>2.3305383798131233E-10</v>
      </c>
      <c r="AR30" s="39">
        <f t="shared" si="36"/>
        <v>0.33377575069828114</v>
      </c>
      <c r="AS30" s="44">
        <f t="shared" si="37"/>
        <v>2.5663823575853054E-4</v>
      </c>
      <c r="AT30" s="45">
        <f t="shared" si="6"/>
        <v>2348.7520215904742</v>
      </c>
      <c r="AU30" s="45"/>
      <c r="AV30" s="46">
        <f t="shared" si="38"/>
        <v>3132.7084908009401</v>
      </c>
      <c r="AW30" s="46">
        <f t="shared" si="17"/>
        <v>0.33377575069828114</v>
      </c>
      <c r="AX30" s="40">
        <f t="shared" si="7"/>
        <v>8.3075549912519815E-3</v>
      </c>
      <c r="AY30" s="41">
        <v>72.558000000000007</v>
      </c>
      <c r="AZ30" s="70">
        <f t="shared" si="8"/>
        <v>4406250.3993282951</v>
      </c>
      <c r="BA30" s="41">
        <f t="shared" si="39"/>
        <v>96.776100919165899</v>
      </c>
      <c r="BB30" s="48">
        <f t="shared" si="18"/>
        <v>0.33377575069828125</v>
      </c>
      <c r="BC30" s="236">
        <f t="shared" si="19"/>
        <v>10349189533.056168</v>
      </c>
      <c r="BD30" s="236">
        <f t="shared" si="20"/>
        <v>0.68421941732878677</v>
      </c>
      <c r="BE30"/>
      <c r="BF30"/>
      <c r="BG30" s="8">
        <f>L30/(U30/1000*(V30+W30*N30))</f>
        <v>3.352633671505172E-9</v>
      </c>
      <c r="BH30" s="8"/>
    </row>
    <row r="31" spans="1:60" x14ac:dyDescent="0.25">
      <c r="A31" s="4" t="s">
        <v>44</v>
      </c>
      <c r="B31" s="31"/>
      <c r="C31" s="11">
        <v>2</v>
      </c>
      <c r="D31" s="25">
        <v>31.24</v>
      </c>
      <c r="E31" s="25">
        <v>30.56</v>
      </c>
      <c r="F31" s="22">
        <f t="shared" si="0"/>
        <v>5.2252708155999992E-26</v>
      </c>
      <c r="G31" s="22">
        <f t="shared" si="1"/>
        <v>2.7838282393599999E-29</v>
      </c>
      <c r="H31" s="24">
        <f t="shared" si="10"/>
        <v>1918.7749643041277</v>
      </c>
      <c r="I31" s="24">
        <f t="shared" si="11"/>
        <v>1.0222513089005236</v>
      </c>
      <c r="J31" s="26">
        <f t="shared" si="12"/>
        <v>5.2224869873606396E-26</v>
      </c>
      <c r="K31" s="4">
        <v>88.599896000000015</v>
      </c>
      <c r="L31" s="11"/>
      <c r="M31" s="27">
        <f t="shared" si="13"/>
        <v>1.4335889900365566E-3</v>
      </c>
      <c r="N31" s="4">
        <v>697.55</v>
      </c>
      <c r="O31" s="4">
        <v>5.0411903343394867E-5</v>
      </c>
      <c r="P31" s="4">
        <v>2.3528262366250769E-4</v>
      </c>
      <c r="T31" s="22">
        <f>0.32*T9+0.68*T14</f>
        <v>2.7411999999999998E-10</v>
      </c>
      <c r="U31" s="8">
        <v>1755710.5584</v>
      </c>
      <c r="V31" s="4">
        <v>2039.5014589190009</v>
      </c>
      <c r="Z31" s="4">
        <v>2</v>
      </c>
      <c r="AA31" s="4">
        <v>3</v>
      </c>
      <c r="AB31" s="11">
        <f t="shared" si="15"/>
        <v>5</v>
      </c>
      <c r="AC31" s="37">
        <v>0.45966666666666672</v>
      </c>
      <c r="AD31" s="62">
        <f t="shared" si="2"/>
        <v>0.31844809429710103</v>
      </c>
      <c r="AE31" s="62">
        <f t="shared" si="16"/>
        <v>0.30721951929564689</v>
      </c>
      <c r="AF31" s="62"/>
      <c r="AG31" s="62"/>
      <c r="AH31" s="37">
        <v>0.26536256928250768</v>
      </c>
      <c r="AI31" s="43">
        <f t="shared" si="33"/>
        <v>0.42270652077772086</v>
      </c>
      <c r="AJ31" s="63">
        <f t="shared" si="3"/>
        <v>2466604.5183689054</v>
      </c>
      <c r="AK31" s="63">
        <f t="shared" si="4"/>
        <v>1708815.4639431399</v>
      </c>
      <c r="AL31" s="38">
        <v>1161710543.9117939</v>
      </c>
      <c r="AM31" s="39">
        <f t="shared" si="34"/>
        <v>2.2842400000000006E-10</v>
      </c>
      <c r="AN31" s="39"/>
      <c r="AO31" s="39"/>
      <c r="AP31" s="98">
        <f t="shared" si="5"/>
        <v>3.9568089407094861E-10</v>
      </c>
      <c r="AQ31" s="39">
        <f t="shared" si="35"/>
        <v>3.9568089407094871E-10</v>
      </c>
      <c r="AR31" s="39">
        <f t="shared" si="36"/>
        <v>0.732221194230679</v>
      </c>
      <c r="AS31" s="44">
        <f t="shared" si="37"/>
        <v>1.3011148784524923E-4</v>
      </c>
      <c r="AT31" s="45">
        <f t="shared" si="6"/>
        <v>2039.5014589190009</v>
      </c>
      <c r="AU31" s="45"/>
      <c r="AV31" s="46">
        <f t="shared" si="38"/>
        <v>3532.8676528038841</v>
      </c>
      <c r="AW31" s="46">
        <f t="shared" si="17"/>
        <v>0.73222119423067911</v>
      </c>
      <c r="AX31" s="40">
        <f t="shared" si="7"/>
        <v>3.0804304165936228E-3</v>
      </c>
      <c r="AY31" s="41">
        <v>86.14464000000001</v>
      </c>
      <c r="AZ31" s="70">
        <f t="shared" si="8"/>
        <v>1708815.4639431396</v>
      </c>
      <c r="BA31" s="41">
        <f t="shared" si="39"/>
        <v>149.22157117737191</v>
      </c>
      <c r="BB31" s="48">
        <f t="shared" si="18"/>
        <v>0.73222119423067877</v>
      </c>
      <c r="BC31" s="236">
        <f t="shared" si="19"/>
        <v>3485131631.7353826</v>
      </c>
      <c r="BD31" s="236">
        <f t="shared" si="20"/>
        <v>0.31844809429710103</v>
      </c>
      <c r="BE31"/>
      <c r="BF31"/>
      <c r="BG31" s="8"/>
      <c r="BH31" s="8"/>
    </row>
    <row r="32" spans="1:60" x14ac:dyDescent="0.25">
      <c r="A32" s="4" t="s">
        <v>48</v>
      </c>
      <c r="B32" s="31"/>
      <c r="C32" s="11">
        <v>3</v>
      </c>
      <c r="D32" s="25">
        <v>31.2639</v>
      </c>
      <c r="E32" s="25">
        <v>31.1128</v>
      </c>
      <c r="F32" s="22">
        <f t="shared" si="0"/>
        <v>5.2292683819409995E-26</v>
      </c>
      <c r="G32" s="22">
        <f t="shared" si="1"/>
        <v>2.8341849229567998E-29</v>
      </c>
      <c r="H32" s="24">
        <f t="shared" si="10"/>
        <v>1854.0301999029296</v>
      </c>
      <c r="I32" s="24">
        <f t="shared" si="11"/>
        <v>1.004856522074516</v>
      </c>
      <c r="J32" s="26">
        <f t="shared" si="12"/>
        <v>5.2264341970180427E-26</v>
      </c>
      <c r="K32" s="4">
        <v>70.265004930000003</v>
      </c>
      <c r="L32" s="11"/>
      <c r="M32" s="27">
        <f t="shared" si="13"/>
        <v>1.4824697946779336E-3</v>
      </c>
      <c r="N32" s="4">
        <v>674.55</v>
      </c>
      <c r="O32" s="4">
        <v>3.9907749542334093E-5</v>
      </c>
      <c r="P32" s="4">
        <v>3.2881887812902358E-4</v>
      </c>
      <c r="T32" s="22">
        <f>0.4598*T8+0.3891*T9+0.1511*T14</f>
        <v>2.9247459999999999E-10</v>
      </c>
      <c r="U32" s="8">
        <v>1761444.9958345001</v>
      </c>
      <c r="V32" s="4">
        <v>2024.776905844504</v>
      </c>
      <c r="Z32" s="4">
        <v>3</v>
      </c>
      <c r="AA32" s="4">
        <v>4</v>
      </c>
      <c r="AB32" s="11">
        <f t="shared" si="15"/>
        <v>7</v>
      </c>
      <c r="AC32" s="37">
        <v>0.46554761904761921</v>
      </c>
      <c r="AD32" s="62">
        <f t="shared" si="2"/>
        <v>0.36878913157884635</v>
      </c>
      <c r="AE32" s="62">
        <f t="shared" si="16"/>
        <v>0.20783800305264966</v>
      </c>
      <c r="AF32" s="62"/>
      <c r="AG32" s="62"/>
      <c r="AH32" s="37">
        <v>0.28383633978433381</v>
      </c>
      <c r="AI32" s="43">
        <f t="shared" si="33"/>
        <v>0.39031727760742513</v>
      </c>
      <c r="AJ32" s="63">
        <f t="shared" si="3"/>
        <v>2358413.9237225675</v>
      </c>
      <c r="AK32" s="63">
        <f t="shared" si="4"/>
        <v>1868245.883444505</v>
      </c>
      <c r="AL32" s="38">
        <v>1260927039.745832</v>
      </c>
      <c r="AM32" s="39">
        <f t="shared" si="34"/>
        <v>2.2510131898000011E-10</v>
      </c>
      <c r="AN32" s="39"/>
      <c r="AO32" s="39"/>
      <c r="AP32" s="98">
        <f t="shared" si="5"/>
        <v>3.692105921857784E-10</v>
      </c>
      <c r="AQ32" s="39">
        <f t="shared" si="35"/>
        <v>3.6921059218577845E-10</v>
      </c>
      <c r="AR32" s="39">
        <f t="shared" si="36"/>
        <v>0.64019737360393791</v>
      </c>
      <c r="AS32" s="44">
        <f t="shared" si="37"/>
        <v>1.4018153751410453E-4</v>
      </c>
      <c r="AT32" s="45">
        <f t="shared" si="6"/>
        <v>2024.776905844504</v>
      </c>
      <c r="AU32" s="45"/>
      <c r="AV32" s="46">
        <f t="shared" si="38"/>
        <v>3321.033763100063</v>
      </c>
      <c r="AW32" s="46">
        <f t="shared" si="17"/>
        <v>0.6401973736039378</v>
      </c>
      <c r="AX32" s="40">
        <f t="shared" si="7"/>
        <v>3.8069460808386811E-3</v>
      </c>
      <c r="AY32" s="41">
        <v>74.557488799999987</v>
      </c>
      <c r="AZ32" s="70">
        <f t="shared" si="8"/>
        <v>1868245.8834445048</v>
      </c>
      <c r="BA32" s="41">
        <f t="shared" si="39"/>
        <v>122.288997312265</v>
      </c>
      <c r="BB32" s="48">
        <f t="shared" si="18"/>
        <v>0.64019737360393791</v>
      </c>
      <c r="BC32" s="236">
        <f t="shared" si="19"/>
        <v>3782781119.2374964</v>
      </c>
      <c r="BD32" s="236">
        <f t="shared" si="20"/>
        <v>0.3687891315788463</v>
      </c>
      <c r="BE32"/>
      <c r="BF32"/>
      <c r="BG32" s="8"/>
      <c r="BH32" s="8"/>
    </row>
    <row r="33" spans="1:60" x14ac:dyDescent="0.25">
      <c r="A33" s="4" t="s">
        <v>49</v>
      </c>
      <c r="B33" s="31"/>
      <c r="C33" s="11">
        <v>3</v>
      </c>
      <c r="D33" s="25">
        <v>24.785</v>
      </c>
      <c r="E33" s="25">
        <v>24.72</v>
      </c>
      <c r="F33" s="22">
        <f t="shared" si="0"/>
        <v>4.1455933791499998E-26</v>
      </c>
      <c r="G33" s="22">
        <f t="shared" si="1"/>
        <v>2.2518401203199998E-29</v>
      </c>
      <c r="H33" s="24">
        <f t="shared" si="10"/>
        <v>1845.8211004781881</v>
      </c>
      <c r="I33" s="24">
        <f t="shared" si="11"/>
        <v>1.0026294498381878</v>
      </c>
      <c r="J33" s="26">
        <f t="shared" si="12"/>
        <v>4.1433415390296795E-26</v>
      </c>
      <c r="K33" s="4">
        <v>52.812707000000003</v>
      </c>
      <c r="L33" s="11"/>
      <c r="M33" s="27">
        <f t="shared" si="13"/>
        <v>1.0416666666666667E-3</v>
      </c>
      <c r="N33" s="4">
        <v>960</v>
      </c>
      <c r="O33" s="4">
        <v>2.5195547395480521E-5</v>
      </c>
      <c r="P33" s="4">
        <v>3.1944977764052052E-4</v>
      </c>
      <c r="T33" s="22">
        <f>0.345*T3+0.59*T4+0.065*T11</f>
        <v>2.5429000000000001E-10</v>
      </c>
      <c r="U33" s="8">
        <v>2110100.6</v>
      </c>
      <c r="V33" s="4">
        <v>1885.1934295243609</v>
      </c>
      <c r="Z33" s="4">
        <v>3</v>
      </c>
      <c r="AA33" s="4">
        <v>4</v>
      </c>
      <c r="AB33" s="11">
        <f t="shared" si="15"/>
        <v>7</v>
      </c>
      <c r="AC33" s="37">
        <v>0.82855603900974906</v>
      </c>
      <c r="AD33" s="62">
        <f t="shared" si="2"/>
        <v>0.44305679600100989</v>
      </c>
      <c r="AE33" s="62">
        <f t="shared" si="16"/>
        <v>0.46526634875471984</v>
      </c>
      <c r="AF33" s="62"/>
      <c r="AG33" s="62"/>
      <c r="AH33" s="37">
        <v>0.33711022330844781</v>
      </c>
      <c r="AI33" s="43">
        <f t="shared" si="33"/>
        <v>0.59313527699183033</v>
      </c>
      <c r="AJ33" s="63">
        <f t="shared" si="3"/>
        <v>5185109.6218861248</v>
      </c>
      <c r="AK33" s="63">
        <f t="shared" si="4"/>
        <v>2772652.600218202</v>
      </c>
      <c r="AL33" s="38">
        <v>1742328821.428329</v>
      </c>
      <c r="AM33" s="39">
        <f t="shared" si="34"/>
        <v>1.9348255000000005E-10</v>
      </c>
      <c r="AN33" s="39"/>
      <c r="AO33" s="39"/>
      <c r="AP33" s="98">
        <f t="shared" si="5"/>
        <v>4.7554516048842826E-10</v>
      </c>
      <c r="AQ33" s="39">
        <f t="shared" si="35"/>
        <v>4.7554516048842846E-10</v>
      </c>
      <c r="AR33" s="39">
        <f t="shared" si="36"/>
        <v>1.4578193769331051</v>
      </c>
      <c r="AS33" s="44">
        <f t="shared" si="37"/>
        <v>1.7881996511811605E-4</v>
      </c>
      <c r="AT33" s="45">
        <f t="shared" si="6"/>
        <v>1885.1934295243609</v>
      </c>
      <c r="AU33" s="45"/>
      <c r="AV33" s="46">
        <f t="shared" si="38"/>
        <v>4633.4649403519479</v>
      </c>
      <c r="AW33" s="46">
        <f t="shared" si="17"/>
        <v>1.4578193769331049</v>
      </c>
      <c r="AX33" s="40">
        <f t="shared" si="7"/>
        <v>4.8256149689507762E-3</v>
      </c>
      <c r="AY33" s="41">
        <v>69.858500000000006</v>
      </c>
      <c r="AZ33" s="70">
        <f t="shared" si="8"/>
        <v>2772652.6002182015</v>
      </c>
      <c r="BA33" s="41">
        <f t="shared" si="39"/>
        <v>171.69957494348131</v>
      </c>
      <c r="BB33" s="48">
        <f t="shared" si="18"/>
        <v>1.4578193769331047</v>
      </c>
      <c r="BC33" s="236">
        <f t="shared" si="19"/>
        <v>5226986464.2849884</v>
      </c>
      <c r="BD33" s="236">
        <f t="shared" si="20"/>
        <v>0.44305679600100989</v>
      </c>
      <c r="BE33"/>
      <c r="BF33"/>
      <c r="BG33" s="8"/>
      <c r="BH33" s="8"/>
    </row>
    <row r="34" spans="1:60" x14ac:dyDescent="0.25">
      <c r="A34" s="4" t="s">
        <v>50</v>
      </c>
      <c r="B34" s="31"/>
      <c r="C34" s="11">
        <v>2</v>
      </c>
      <c r="D34" s="25">
        <v>26.687999999999999</v>
      </c>
      <c r="E34" s="25">
        <v>26.687999999999999</v>
      </c>
      <c r="F34" s="22">
        <f t="shared" si="0"/>
        <v>4.46389332672E-26</v>
      </c>
      <c r="G34" s="22">
        <f t="shared" si="1"/>
        <v>2.4311128289279996E-29</v>
      </c>
      <c r="H34" s="24">
        <f t="shared" si="10"/>
        <v>1836.1522647586687</v>
      </c>
      <c r="I34" s="24">
        <f t="shared" si="11"/>
        <v>1</v>
      </c>
      <c r="J34" s="26">
        <f t="shared" si="12"/>
        <v>4.4614622138910719E-26</v>
      </c>
      <c r="K34" s="4">
        <v>55.835751400000007</v>
      </c>
      <c r="L34" s="11">
        <f>0.087*EXP(20900/(8.3144598*N34))/1000</f>
        <v>4.643717802745531E-3</v>
      </c>
      <c r="M34" s="27">
        <f t="shared" si="13"/>
        <v>1.5822784810126582E-3</v>
      </c>
      <c r="N34" s="4">
        <v>632</v>
      </c>
      <c r="O34" s="4">
        <v>3.2950648962882389E-5</v>
      </c>
      <c r="P34" s="4">
        <v>3.3829968336054601E-4</v>
      </c>
      <c r="T34" s="22">
        <f>0.582*T7+0.418*T9</f>
        <v>2.8291599999999996E-10</v>
      </c>
      <c r="U34" s="8">
        <v>1676175.3472</v>
      </c>
      <c r="V34" s="4">
        <v>2084.8843456983841</v>
      </c>
      <c r="Z34" s="4">
        <v>2</v>
      </c>
      <c r="AA34" s="4">
        <v>2</v>
      </c>
      <c r="AB34" s="11">
        <f t="shared" si="15"/>
        <v>4</v>
      </c>
      <c r="AC34" s="37">
        <v>0.58438111223711209</v>
      </c>
      <c r="AD34" s="62">
        <f t="shared" si="2"/>
        <v>0.40937294269104435</v>
      </c>
      <c r="AE34" s="62">
        <f t="shared" si="16"/>
        <v>0.29947608826046096</v>
      </c>
      <c r="AF34" s="62"/>
      <c r="AG34" s="62"/>
      <c r="AH34" s="37">
        <v>0.33404178089988812</v>
      </c>
      <c r="AI34" s="43">
        <f t="shared" si="33"/>
        <v>0.42838367992230558</v>
      </c>
      <c r="AJ34" s="63">
        <f t="shared" si="3"/>
        <v>2972199.4380712733</v>
      </c>
      <c r="AK34" s="63">
        <f t="shared" si="4"/>
        <v>2082096.7768277484</v>
      </c>
      <c r="AL34" s="38">
        <v>1446976992.079078</v>
      </c>
      <c r="AM34" s="39">
        <f t="shared" si="34"/>
        <v>2.3085493600000004E-10</v>
      </c>
      <c r="AN34" s="39"/>
      <c r="AO34" s="39"/>
      <c r="AP34" s="98">
        <f t="shared" si="5"/>
        <v>4.0386344457174019E-10</v>
      </c>
      <c r="AQ34" s="39">
        <f t="shared" si="35"/>
        <v>4.0386344457174019E-10</v>
      </c>
      <c r="AR34" s="39">
        <f t="shared" si="36"/>
        <v>0.74942520861559625</v>
      </c>
      <c r="AS34" s="44">
        <f t="shared" si="37"/>
        <v>1.6022077272012539E-4</v>
      </c>
      <c r="AT34" s="45">
        <f t="shared" si="6"/>
        <v>2084.8843456983841</v>
      </c>
      <c r="AU34" s="45"/>
      <c r="AV34" s="46">
        <f t="shared" si="38"/>
        <v>3647.3492314127866</v>
      </c>
      <c r="AW34" s="46">
        <f t="shared" si="17"/>
        <v>0.74942520861559625</v>
      </c>
      <c r="AX34" s="40">
        <f t="shared" si="7"/>
        <v>4.8689566300173584E-3</v>
      </c>
      <c r="AY34" s="41">
        <v>68.606440000000006</v>
      </c>
      <c r="AZ34" s="70">
        <f t="shared" si="8"/>
        <v>2082096.7768277482</v>
      </c>
      <c r="BA34" s="41">
        <f t="shared" si="39"/>
        <v>120.0218356093734</v>
      </c>
      <c r="BB34" s="48">
        <f t="shared" si="18"/>
        <v>0.74942520861559625</v>
      </c>
      <c r="BC34" s="236">
        <f t="shared" si="19"/>
        <v>4340930976.2372341</v>
      </c>
      <c r="BD34" s="236">
        <f t="shared" si="20"/>
        <v>0.40937294269104435</v>
      </c>
      <c r="BE34"/>
      <c r="BF34"/>
      <c r="BG34" s="8">
        <f t="shared" ref="BG34:BG41" si="40">L34/(U34/1000*(V34+W34*N34))</f>
        <v>1.3288146350028744E-9</v>
      </c>
      <c r="BH34" s="8"/>
    </row>
    <row r="35" spans="1:60" x14ac:dyDescent="0.25">
      <c r="A35" s="4" t="s">
        <v>45</v>
      </c>
      <c r="B35" s="31"/>
      <c r="C35" s="11">
        <v>2</v>
      </c>
      <c r="D35" s="25">
        <v>15.2</v>
      </c>
      <c r="E35" s="25">
        <v>15.2</v>
      </c>
      <c r="F35" s="22">
        <f t="shared" si="0"/>
        <v>2.5423852879999997E-26</v>
      </c>
      <c r="G35" s="22">
        <f t="shared" si="1"/>
        <v>1.3846266111999999E-29</v>
      </c>
      <c r="H35" s="24">
        <f t="shared" si="10"/>
        <v>1836.152264758668</v>
      </c>
      <c r="I35" s="24">
        <f t="shared" si="11"/>
        <v>1</v>
      </c>
      <c r="J35" s="26">
        <f t="shared" si="12"/>
        <v>2.5410006613887998E-26</v>
      </c>
      <c r="K35" s="4">
        <v>32.358600000000003</v>
      </c>
      <c r="L35" s="11">
        <f>0.116*EXP(26800/(8.3144598*N35))/1000</f>
        <v>3.9071251973790879E-3</v>
      </c>
      <c r="M35" s="27">
        <f t="shared" si="13"/>
        <v>1.0911074740861974E-3</v>
      </c>
      <c r="N35" s="4">
        <v>916.5</v>
      </c>
      <c r="O35" s="4">
        <v>1.5885583505580338E-5</v>
      </c>
      <c r="P35" s="4">
        <v>2.7773488865206569E-4</v>
      </c>
      <c r="T35" s="22">
        <f>0.6*T2+0.4*T3</f>
        <v>2.1940000000000001E-10</v>
      </c>
      <c r="U35" s="8">
        <v>2014141.42</v>
      </c>
      <c r="V35" s="4">
        <v>2298.228366828082</v>
      </c>
      <c r="Z35" s="4">
        <v>2</v>
      </c>
      <c r="AA35" s="4">
        <v>2</v>
      </c>
      <c r="AB35" s="11">
        <f t="shared" si="15"/>
        <v>4</v>
      </c>
      <c r="AC35" s="37">
        <v>0.86544945017475028</v>
      </c>
      <c r="AD35" s="62">
        <f t="shared" si="2"/>
        <v>0.7046599791446102</v>
      </c>
      <c r="AE35" s="62">
        <f t="shared" si="16"/>
        <v>0.18578724730563259</v>
      </c>
      <c r="AF35" s="62">
        <f>1/3*AZ35*AT35*AN35</f>
        <v>0.61490801049838506</v>
      </c>
      <c r="AG35" s="62">
        <f>1/3*AZ35*AT35*AO35</f>
        <v>0.73223097949286997</v>
      </c>
      <c r="AH35" s="37">
        <v>0.56745362404407373</v>
      </c>
      <c r="AI35" s="43">
        <f t="shared" si="33"/>
        <v>0.34432493552397042</v>
      </c>
      <c r="AJ35" s="63">
        <f t="shared" si="3"/>
        <v>5149121.7057821807</v>
      </c>
      <c r="AK35" s="63">
        <f t="shared" si="4"/>
        <v>4192480.558023226</v>
      </c>
      <c r="AL35" s="38">
        <v>3211759248.6080689</v>
      </c>
      <c r="AM35" s="39">
        <f t="shared" si="34"/>
        <v>1.7668000000000003E-10</v>
      </c>
      <c r="AN35" s="39">
        <v>1.9145520037495888E-10</v>
      </c>
      <c r="AO35" s="39">
        <v>2.2798439198399093E-10</v>
      </c>
      <c r="AP35" s="98">
        <f t="shared" si="5"/>
        <v>2.6946274087941807E-10</v>
      </c>
      <c r="AQ35" s="39">
        <f t="shared" si="35"/>
        <v>2.6946274087941797E-10</v>
      </c>
      <c r="AR35" s="39">
        <f t="shared" si="36"/>
        <v>0.52514569209541506</v>
      </c>
      <c r="AS35" s="44">
        <f t="shared" si="37"/>
        <v>2.4690915499718129E-4</v>
      </c>
      <c r="AT35" s="45">
        <f t="shared" si="6"/>
        <v>2298.228366828082</v>
      </c>
      <c r="AU35" s="45"/>
      <c r="AV35" s="46">
        <f t="shared" si="38"/>
        <v>3505.1330931193306</v>
      </c>
      <c r="AW35" s="46">
        <f t="shared" si="17"/>
        <v>0.52514569209541506</v>
      </c>
      <c r="AX35" s="40">
        <f t="shared" si="7"/>
        <v>8.5203246853464507E-3</v>
      </c>
      <c r="AY35" s="41">
        <v>66.600000000000009</v>
      </c>
      <c r="AZ35" s="70">
        <f t="shared" si="8"/>
        <v>4192480.558023226</v>
      </c>
      <c r="BA35" s="41">
        <f t="shared" si="39"/>
        <v>101.57470309355466</v>
      </c>
      <c r="BB35" s="48">
        <f t="shared" si="18"/>
        <v>0.52514569209541517</v>
      </c>
      <c r="BC35" s="236">
        <f t="shared" si="19"/>
        <v>9635277745.8242054</v>
      </c>
      <c r="BD35" s="236">
        <f t="shared" si="20"/>
        <v>0.70465997914461032</v>
      </c>
      <c r="BE35"/>
      <c r="BF35"/>
      <c r="BG35" s="8">
        <f t="shared" si="40"/>
        <v>8.4406168446792717E-10</v>
      </c>
      <c r="BH35" s="8"/>
    </row>
    <row r="36" spans="1:60" x14ac:dyDescent="0.25">
      <c r="A36" s="4" t="s">
        <v>75</v>
      </c>
      <c r="B36" s="31"/>
      <c r="C36" s="11">
        <v>2</v>
      </c>
      <c r="D36" s="25">
        <v>57.97</v>
      </c>
      <c r="E36" s="25">
        <v>57.23</v>
      </c>
      <c r="F36" s="22">
        <f t="shared" si="0"/>
        <v>9.6961891543000003E-26</v>
      </c>
      <c r="G36" s="22">
        <f t="shared" si="1"/>
        <v>5.2133013788799995E-29</v>
      </c>
      <c r="H36" s="24">
        <f t="shared" si="10"/>
        <v>1883.9431857125064</v>
      </c>
      <c r="I36" s="24">
        <f t="shared" si="11"/>
        <v>1.0129302813209855</v>
      </c>
      <c r="J36" s="26">
        <f t="shared" si="12"/>
        <v>9.6909758529211207E-26</v>
      </c>
      <c r="K36" s="4">
        <v>164.240723</v>
      </c>
      <c r="L36" s="11">
        <f>10^(-1.2675+1704/N36+0/N36^2)/1000</f>
        <v>8.0532167424896099E-3</v>
      </c>
      <c r="M36" s="27">
        <f t="shared" si="13"/>
        <v>1.2755102040816326E-3</v>
      </c>
      <c r="N36" s="4">
        <v>784</v>
      </c>
      <c r="O36" s="4">
        <v>4.607843109406244E-5</v>
      </c>
      <c r="P36" s="4">
        <v>3.4092675768507421E-4</v>
      </c>
      <c r="T36" s="22">
        <f>0.63*T8+0.37*T22</f>
        <v>2.8818000000000003E-10</v>
      </c>
      <c r="U36" s="8">
        <v>2996639.6639999989</v>
      </c>
      <c r="V36" s="4">
        <v>1451.7494609289899</v>
      </c>
      <c r="Z36" s="4">
        <v>2</v>
      </c>
      <c r="AA36" s="4">
        <v>4</v>
      </c>
      <c r="AB36" s="11">
        <f t="shared" si="15"/>
        <v>6</v>
      </c>
      <c r="AC36" s="37">
        <v>0.23926257714495269</v>
      </c>
      <c r="AD36" s="62">
        <f t="shared" si="2"/>
        <v>0.30071201279338977</v>
      </c>
      <c r="AE36" s="62">
        <f t="shared" si="16"/>
        <v>0.2568284450568678</v>
      </c>
      <c r="AF36" s="62">
        <f>1/3*AZ36*AT36*AN36</f>
        <v>0.2841819778633502</v>
      </c>
      <c r="AG36" s="62">
        <f>1/3*AZ36*AT36*AO36</f>
        <v>0.29301529878909899</v>
      </c>
      <c r="AH36" s="37">
        <v>0.24768639859495001</v>
      </c>
      <c r="AI36" s="43">
        <f t="shared" si="33"/>
        <v>-3.5207434236127544E-2</v>
      </c>
      <c r="AJ36" s="63">
        <f t="shared" si="3"/>
        <v>1715696.7182316666</v>
      </c>
      <c r="AK36" s="63">
        <f t="shared" si="4"/>
        <v>2156336.4385642759</v>
      </c>
      <c r="AL36" s="38">
        <v>1043486754.089075</v>
      </c>
      <c r="AM36" s="39">
        <f t="shared" si="34"/>
        <v>2.3736419999999999E-10</v>
      </c>
      <c r="AN36" s="39">
        <v>2.7233884546184811E-10</v>
      </c>
      <c r="AO36" s="39">
        <v>2.8080404244794684E-10</v>
      </c>
      <c r="AP36" s="98">
        <f t="shared" si="5"/>
        <v>2.2929143681734602E-10</v>
      </c>
      <c r="AQ36" s="39">
        <f t="shared" si="35"/>
        <v>2.292914368173461E-10</v>
      </c>
      <c r="AR36" s="39">
        <f t="shared" si="36"/>
        <v>-3.4010028397938236E-2</v>
      </c>
      <c r="AS36" s="44">
        <f t="shared" si="37"/>
        <v>1.7061235789021947E-4</v>
      </c>
      <c r="AT36" s="45">
        <f t="shared" si="6"/>
        <v>1451.7494609289899</v>
      </c>
      <c r="AU36" s="45"/>
      <c r="AV36" s="46">
        <f t="shared" si="38"/>
        <v>1402.3754205361033</v>
      </c>
      <c r="AW36" s="46">
        <f t="shared" si="17"/>
        <v>-3.401002839793834E-2</v>
      </c>
      <c r="AX36" s="40">
        <f t="shared" si="7"/>
        <v>2.4928029681277083E-3</v>
      </c>
      <c r="AY36" s="41">
        <v>99.360600000000005</v>
      </c>
      <c r="AZ36" s="70">
        <f t="shared" si="8"/>
        <v>2156336.4385642763</v>
      </c>
      <c r="BA36" s="41">
        <f t="shared" si="39"/>
        <v>95.981343172363822</v>
      </c>
      <c r="BB36" s="48">
        <f t="shared" si="18"/>
        <v>-3.401002839793825E-2</v>
      </c>
      <c r="BC36" s="236">
        <f t="shared" si="19"/>
        <v>3130460262.2672262</v>
      </c>
      <c r="BD36" s="236">
        <f t="shared" si="20"/>
        <v>0.30071201279338977</v>
      </c>
      <c r="BE36"/>
      <c r="BF36"/>
      <c r="BG36" s="8">
        <f t="shared" si="40"/>
        <v>1.8511567318115176E-9</v>
      </c>
      <c r="BH36" s="8"/>
    </row>
    <row r="37" spans="1:60" x14ac:dyDescent="0.25">
      <c r="A37" s="4" t="s">
        <v>76</v>
      </c>
      <c r="B37" s="31"/>
      <c r="C37" s="11">
        <v>2</v>
      </c>
      <c r="D37" s="25">
        <v>55.701999999999998</v>
      </c>
      <c r="E37" s="25">
        <v>55.018000000000001</v>
      </c>
      <c r="F37" s="22">
        <f t="shared" si="0"/>
        <v>9.3168385073799999E-26</v>
      </c>
      <c r="G37" s="22">
        <f t="shared" si="1"/>
        <v>5.0118017694079994E-29</v>
      </c>
      <c r="H37" s="24">
        <f t="shared" si="10"/>
        <v>1882.0912368640552</v>
      </c>
      <c r="I37" s="24">
        <f t="shared" si="11"/>
        <v>1.0124322948853102</v>
      </c>
      <c r="J37" s="26">
        <f t="shared" si="12"/>
        <v>9.3118267056105916E-26</v>
      </c>
      <c r="K37" s="4">
        <v>156.23418179999999</v>
      </c>
      <c r="L37" s="11">
        <f>10^(-1.2179+1557/N37+0/N37^2)/1000</f>
        <v>5.8623181999963962E-3</v>
      </c>
      <c r="M37" s="27">
        <f>N37^-1</f>
        <v>1.2755102040816326E-3</v>
      </c>
      <c r="N37" s="4">
        <v>784</v>
      </c>
      <c r="O37" s="4">
        <v>4.5172248870240592E-5</v>
      </c>
      <c r="P37" s="4">
        <v>3.4144514086291769E-4</v>
      </c>
      <c r="T37" s="22">
        <f>0.658*T8+0.342*T22</f>
        <v>2.8778800000000003E-10</v>
      </c>
      <c r="U37" s="8">
        <v>2899543.8624</v>
      </c>
      <c r="V37" s="4">
        <v>1470.4555590061771</v>
      </c>
      <c r="Z37" s="4">
        <v>2</v>
      </c>
      <c r="AA37" s="4">
        <v>4</v>
      </c>
      <c r="AB37" s="11">
        <f t="shared" si="15"/>
        <v>6</v>
      </c>
      <c r="AC37" s="37">
        <v>0.27567442291687039</v>
      </c>
      <c r="AD37" s="62">
        <f t="shared" si="2"/>
        <v>0.30324621782896993</v>
      </c>
      <c r="AE37" s="62">
        <f t="shared" si="16"/>
        <v>0.10001578898893286</v>
      </c>
      <c r="AF37" s="62">
        <f>1/3*AZ37*AT37*AN37</f>
        <v>0.28696722884280707</v>
      </c>
      <c r="AG37" s="62">
        <f>1/3*AZ37*AT37*AO37</f>
        <v>0.316517898560285</v>
      </c>
      <c r="AH37" s="37">
        <v>0.25155328115048259</v>
      </c>
      <c r="AI37" s="43">
        <f t="shared" si="33"/>
        <v>8.7498656970659658E-2</v>
      </c>
      <c r="AJ37" s="63">
        <f t="shared" si="3"/>
        <v>1954308.6049635103</v>
      </c>
      <c r="AK37" s="63">
        <f t="shared" si="4"/>
        <v>2149770.3220167966</v>
      </c>
      <c r="AL37" s="38">
        <v>1053713906.865366</v>
      </c>
      <c r="AM37" s="39">
        <f t="shared" si="34"/>
        <v>2.3873015199999994E-10</v>
      </c>
      <c r="AN37" s="39">
        <v>2.7233884546184811E-10</v>
      </c>
      <c r="AO37" s="39">
        <v>3.0038314622028315E-10</v>
      </c>
      <c r="AP37" s="98">
        <f t="shared" si="5"/>
        <v>2.6162169932534978E-10</v>
      </c>
      <c r="AQ37" s="39">
        <f t="shared" si="35"/>
        <v>2.6162169932534978E-10</v>
      </c>
      <c r="AR37" s="39">
        <f t="shared" si="36"/>
        <v>9.5888798015551224E-2</v>
      </c>
      <c r="AS37" s="44">
        <f t="shared" si="37"/>
        <v>1.7107166524671954E-4</v>
      </c>
      <c r="AT37" s="45">
        <f t="shared" si="6"/>
        <v>1470.4555590061771</v>
      </c>
      <c r="AU37" s="45"/>
      <c r="AV37" s="46">
        <f t="shared" si="38"/>
        <v>1611.4557750945648</v>
      </c>
      <c r="AW37" s="46">
        <f t="shared" si="17"/>
        <v>9.5888798015551238E-2</v>
      </c>
      <c r="AX37" s="40">
        <f t="shared" si="7"/>
        <v>2.5903963007551708E-3</v>
      </c>
      <c r="AY37" s="41">
        <v>97.109960000000001</v>
      </c>
      <c r="AZ37" s="70">
        <f t="shared" si="8"/>
        <v>2149770.3220167966</v>
      </c>
      <c r="BA37" s="41">
        <f t="shared" si="39"/>
        <v>106.42171733973825</v>
      </c>
      <c r="BB37" s="48">
        <f t="shared" si="18"/>
        <v>9.5888798015551127E-2</v>
      </c>
      <c r="BC37" s="236">
        <f t="shared" si="19"/>
        <v>3161141720.5960979</v>
      </c>
      <c r="BD37" s="236">
        <f t="shared" si="20"/>
        <v>0.30324621782896999</v>
      </c>
      <c r="BE37"/>
      <c r="BF37"/>
      <c r="BG37" s="8">
        <f t="shared" si="40"/>
        <v>1.3749528367298905E-9</v>
      </c>
      <c r="BH37" s="8"/>
    </row>
    <row r="38" spans="1:60" s="32" customFormat="1" ht="18" x14ac:dyDescent="0.35">
      <c r="A38" s="32" t="s">
        <v>79</v>
      </c>
      <c r="K38" s="32">
        <v>128.10887</v>
      </c>
      <c r="L38" s="11">
        <f>0.0767*EXP(39300/(8.3144598*N38))/1000</f>
        <v>9.0410766995504526E-3</v>
      </c>
      <c r="N38" s="32">
        <v>991</v>
      </c>
      <c r="O38" s="32">
        <v>3.02434243367421E-5</v>
      </c>
      <c r="P38" s="32">
        <v>2.3876282234647119E-4</v>
      </c>
      <c r="R38" s="33"/>
      <c r="S38" s="33"/>
      <c r="T38" s="236">
        <f>0.582*T3+0.388*T4+0.3*T21</f>
        <v>3.0851800000000002E-10</v>
      </c>
      <c r="U38" s="32">
        <v>3498633.56</v>
      </c>
      <c r="V38" s="32">
        <f>AT38</f>
        <v>1348.6175138087231</v>
      </c>
      <c r="Z38" s="32">
        <v>3</v>
      </c>
      <c r="AA38" s="32">
        <v>6</v>
      </c>
      <c r="AB38" s="11">
        <f t="shared" si="15"/>
        <v>9</v>
      </c>
      <c r="AC38" s="51">
        <v>0.49395061728395051</v>
      </c>
      <c r="AD38" s="62">
        <f t="shared" si="2"/>
        <v>0.46048978694812209</v>
      </c>
      <c r="AE38" s="62">
        <f t="shared" si="16"/>
        <v>6.7741246118522933E-2</v>
      </c>
      <c r="AF38" s="62"/>
      <c r="AG38" s="62"/>
      <c r="AH38" s="51">
        <v>0.25347401642401401</v>
      </c>
      <c r="AI38" s="43">
        <f t="shared" si="33"/>
        <v>0.48684340588989905</v>
      </c>
      <c r="AJ38" s="63">
        <f t="shared" si="3"/>
        <v>3561520.7957820492</v>
      </c>
      <c r="AK38" s="63">
        <f t="shared" si="4"/>
        <v>3320258.9389987397</v>
      </c>
      <c r="AL38" s="52">
        <v>1492586451.837889</v>
      </c>
      <c r="AM38" s="39">
        <f t="shared" si="34"/>
        <v>1.6982200000000003E-10</v>
      </c>
      <c r="AN38" s="39"/>
      <c r="AO38" s="39"/>
      <c r="AP38" s="98">
        <f t="shared" si="5"/>
        <v>3.3093601826261161E-10</v>
      </c>
      <c r="AQ38" s="39">
        <f t="shared" si="35"/>
        <v>3.3093601826261176E-10</v>
      </c>
      <c r="AR38" s="39">
        <f t="shared" si="36"/>
        <v>0.94872288786265446</v>
      </c>
      <c r="AS38" s="44">
        <f t="shared" si="37"/>
        <v>1.8795100451288126E-4</v>
      </c>
      <c r="AT38" s="53">
        <v>1348.6175138087231</v>
      </c>
      <c r="AU38" s="53"/>
      <c r="AV38" s="46">
        <f t="shared" si="38"/>
        <v>2628.0818161314883</v>
      </c>
      <c r="AW38" s="46">
        <f t="shared" si="17"/>
        <v>0.94872288786265457</v>
      </c>
      <c r="AX38" s="40">
        <f t="shared" si="7"/>
        <v>2.5242393286330268E-3</v>
      </c>
      <c r="AY38" s="42">
        <v>100.416</v>
      </c>
      <c r="AZ38" s="70">
        <f t="shared" si="8"/>
        <v>3320258.9389987402</v>
      </c>
      <c r="BA38" s="41">
        <f t="shared" si="39"/>
        <v>195.68295750761632</v>
      </c>
      <c r="BB38" s="48">
        <f t="shared" si="18"/>
        <v>0.94872288786265468</v>
      </c>
      <c r="BC38" s="236">
        <f t="shared" si="19"/>
        <v>4477759355.51367</v>
      </c>
      <c r="BD38" s="236">
        <f t="shared" si="20"/>
        <v>0.46048978694812215</v>
      </c>
      <c r="BG38" s="8">
        <f t="shared" si="40"/>
        <v>1.9161649880499741E-9</v>
      </c>
      <c r="BH38" s="8"/>
    </row>
    <row r="39" spans="1:60" s="32" customFormat="1" ht="18" x14ac:dyDescent="0.35">
      <c r="A39" s="32" t="s">
        <v>78</v>
      </c>
      <c r="G39" s="33"/>
      <c r="H39" s="33"/>
      <c r="K39" s="32">
        <v>154.66795999999999</v>
      </c>
      <c r="L39" s="11">
        <f>0.0767*EXP(39300/(8.3144598*N39))/1000</f>
        <v>8.1514268008243823E-3</v>
      </c>
      <c r="N39" s="32">
        <v>1013</v>
      </c>
      <c r="O39" s="32">
        <v>3.2645143022437789E-5</v>
      </c>
      <c r="P39" s="32">
        <v>2.2077562764566649E-4</v>
      </c>
      <c r="T39" s="236">
        <f>0.576*T3+0.384*T4+0.4*T21</f>
        <v>3.2822400000000001E-10</v>
      </c>
      <c r="U39" s="32">
        <v>3957693.64</v>
      </c>
      <c r="V39" s="32">
        <f>AT39</f>
        <v>1272.126022947567</v>
      </c>
      <c r="Z39" s="32">
        <v>3</v>
      </c>
      <c r="AA39" s="32">
        <v>6</v>
      </c>
      <c r="AB39" s="11">
        <f t="shared" si="15"/>
        <v>9</v>
      </c>
      <c r="AC39" s="51">
        <v>0.45693693693693682</v>
      </c>
      <c r="AD39" s="62">
        <f t="shared" si="2"/>
        <v>0.47293540020198699</v>
      </c>
      <c r="AE39" s="62">
        <f t="shared" si="16"/>
        <v>3.5012409748039611E-2</v>
      </c>
      <c r="AF39" s="62"/>
      <c r="AG39" s="62"/>
      <c r="AH39" s="51">
        <v>0.24265777297582219</v>
      </c>
      <c r="AI39" s="43">
        <f t="shared" si="33"/>
        <v>0.46894690851111454</v>
      </c>
      <c r="AJ39" s="63">
        <f t="shared" si="3"/>
        <v>3283046.6227647751</v>
      </c>
      <c r="AK39" s="63">
        <f t="shared" si="4"/>
        <v>3397993.9963429333</v>
      </c>
      <c r="AL39" s="52">
        <v>1440892196.1891489</v>
      </c>
      <c r="AM39" s="39">
        <f t="shared" si="34"/>
        <v>1.68408E-10</v>
      </c>
      <c r="AN39" s="39"/>
      <c r="AO39" s="39"/>
      <c r="AP39" s="98">
        <f t="shared" si="5"/>
        <v>3.1712083537230426E-10</v>
      </c>
      <c r="AQ39" s="39">
        <f t="shared" si="35"/>
        <v>3.171208353723041E-10</v>
      </c>
      <c r="AR39" s="39">
        <f t="shared" si="36"/>
        <v>0.88305089646753188</v>
      </c>
      <c r="AS39" s="44">
        <f t="shared" si="37"/>
        <v>1.9074979097870697E-4</v>
      </c>
      <c r="AT39" s="53">
        <v>1272.126022947567</v>
      </c>
      <c r="AU39" s="53"/>
      <c r="AV39" s="46">
        <f t="shared" si="38"/>
        <v>2395.4780479310921</v>
      </c>
      <c r="AW39" s="46">
        <f t="shared" si="17"/>
        <v>0.88305089646753188</v>
      </c>
      <c r="AX39" s="40">
        <f t="shared" si="7"/>
        <v>2.1875249979790693E-3</v>
      </c>
      <c r="AY39" s="42">
        <v>110.928</v>
      </c>
      <c r="AZ39" s="70">
        <f t="shared" si="8"/>
        <v>3397993.9963429328</v>
      </c>
      <c r="BA39" s="41">
        <f t="shared" si="39"/>
        <v>208.88306984335037</v>
      </c>
      <c r="BB39" s="48">
        <f t="shared" si="18"/>
        <v>0.88305089646753188</v>
      </c>
      <c r="BC39" s="236">
        <f t="shared" si="19"/>
        <v>4322676588.5674448</v>
      </c>
      <c r="BD39" s="236">
        <f t="shared" si="20"/>
        <v>0.47293540020198699</v>
      </c>
      <c r="BG39" s="8">
        <f t="shared" si="40"/>
        <v>1.619053960080521E-9</v>
      </c>
      <c r="BH39" s="8"/>
    </row>
    <row r="40" spans="1:60" s="32" customFormat="1" ht="18" x14ac:dyDescent="0.35">
      <c r="A40" s="32" t="s">
        <v>77</v>
      </c>
      <c r="G40" s="33"/>
      <c r="H40" s="33"/>
      <c r="K40" s="32">
        <v>181.22704999999999</v>
      </c>
      <c r="L40" s="11">
        <f>0.0767*EXP(39300/(8.3144598*N40))/1000</f>
        <v>7.8587878713746243E-3</v>
      </c>
      <c r="N40" s="32">
        <v>1021</v>
      </c>
      <c r="O40" s="32">
        <v>3.4949140082044292E-5</v>
      </c>
      <c r="P40" s="32">
        <v>2.050117820240356E-4</v>
      </c>
      <c r="T40" s="236">
        <f>0.57*T3+0.38*T4+0.5*T21</f>
        <v>3.4792999999999996E-10</v>
      </c>
      <c r="U40" s="32">
        <v>4426131.4000000004</v>
      </c>
      <c r="V40" s="32">
        <f>AT40</f>
        <v>1215.1718333840431</v>
      </c>
      <c r="Z40" s="32">
        <v>3</v>
      </c>
      <c r="AA40" s="32">
        <v>6</v>
      </c>
      <c r="AB40" s="11">
        <f t="shared" si="15"/>
        <v>9</v>
      </c>
      <c r="AC40" s="51">
        <v>0.43928571428571439</v>
      </c>
      <c r="AD40" s="62">
        <f t="shared" si="2"/>
        <v>0.48970392040175686</v>
      </c>
      <c r="AE40" s="62">
        <f t="shared" si="16"/>
        <v>0.1147731521340804</v>
      </c>
      <c r="AF40" s="62"/>
      <c r="AG40" s="62"/>
      <c r="AH40" s="51">
        <v>0.23920093487850599</v>
      </c>
      <c r="AI40" s="43">
        <f t="shared" si="33"/>
        <v>0.45547754661803525</v>
      </c>
      <c r="AJ40" s="63">
        <f t="shared" si="3"/>
        <v>3117014.0748641295</v>
      </c>
      <c r="AK40" s="63">
        <f t="shared" si="4"/>
        <v>3474763.6054825806</v>
      </c>
      <c r="AL40" s="52">
        <v>1407478287.0168049</v>
      </c>
      <c r="AM40" s="39">
        <f t="shared" si="34"/>
        <v>1.6994999999999999E-10</v>
      </c>
      <c r="AN40" s="39"/>
      <c r="AO40" s="39"/>
      <c r="AP40" s="98">
        <f t="shared" si="5"/>
        <v>3.1210834180383304E-10</v>
      </c>
      <c r="AQ40" s="39">
        <f t="shared" si="35"/>
        <v>3.1210834180383304E-10</v>
      </c>
      <c r="AR40" s="39">
        <f t="shared" si="36"/>
        <v>0.83647156106992093</v>
      </c>
      <c r="AS40" s="44">
        <f t="shared" si="37"/>
        <v>1.9684535825058817E-4</v>
      </c>
      <c r="AT40" s="53">
        <v>1215.1718333840431</v>
      </c>
      <c r="AU40" s="53"/>
      <c r="AV40" s="46">
        <f t="shared" si="38"/>
        <v>2231.6285138229914</v>
      </c>
      <c r="AW40" s="46">
        <f t="shared" si="17"/>
        <v>0.83647156106992082</v>
      </c>
      <c r="AX40" s="40">
        <f t="shared" si="7"/>
        <v>1.9697046679718875E-3</v>
      </c>
      <c r="AY40" s="42">
        <v>121.44</v>
      </c>
      <c r="AZ40" s="70">
        <f t="shared" si="8"/>
        <v>3474763.6054825806</v>
      </c>
      <c r="BA40" s="41">
        <f t="shared" si="39"/>
        <v>223.02110637633118</v>
      </c>
      <c r="BB40" s="48">
        <f t="shared" si="18"/>
        <v>0.83647156106992082</v>
      </c>
      <c r="BC40" s="236">
        <f t="shared" si="19"/>
        <v>4222434861.0504155</v>
      </c>
      <c r="BD40" s="236">
        <f t="shared" si="20"/>
        <v>0.48970392040175698</v>
      </c>
      <c r="BG40" s="8">
        <f t="shared" si="40"/>
        <v>1.4611458502924743E-9</v>
      </c>
      <c r="BH40" s="8"/>
    </row>
    <row r="41" spans="1:60" x14ac:dyDescent="0.25">
      <c r="A41" s="19" t="s">
        <v>54</v>
      </c>
      <c r="B41" s="31">
        <v>0.01</v>
      </c>
      <c r="C41" s="23">
        <v>1</v>
      </c>
      <c r="D41" s="23">
        <v>10</v>
      </c>
      <c r="E41" s="23">
        <v>10</v>
      </c>
      <c r="F41" s="22">
        <f>D41*1.6726219E-27</f>
        <v>1.6726219000000001E-26</v>
      </c>
      <c r="G41" s="22">
        <f t="shared" si="1"/>
        <v>9.1093856E-30</v>
      </c>
      <c r="H41" s="24">
        <f t="shared" si="10"/>
        <v>1836.1522647586683</v>
      </c>
      <c r="I41" s="24">
        <f t="shared" si="11"/>
        <v>1</v>
      </c>
      <c r="J41" s="26">
        <f t="shared" si="12"/>
        <v>1.6717109614400002E-26</v>
      </c>
      <c r="K41" s="9">
        <v>18.015000000000001</v>
      </c>
      <c r="L41" s="21">
        <v>1.7930000000000001E-3</v>
      </c>
      <c r="M41" s="27">
        <f t="shared" si="13"/>
        <v>3.6609921288669233E-3</v>
      </c>
      <c r="N41" s="4">
        <v>273.14999999999998</v>
      </c>
      <c r="O41" s="18">
        <v>1.802E-5</v>
      </c>
      <c r="P41" s="18">
        <v>5.1E-5</v>
      </c>
      <c r="T41" s="22">
        <v>3.1000000000000002E-10</v>
      </c>
      <c r="U41" s="8">
        <v>999840</v>
      </c>
      <c r="V41" s="4">
        <v>1403</v>
      </c>
      <c r="W41" s="4">
        <v>0</v>
      </c>
      <c r="X41" s="18">
        <v>999840</v>
      </c>
      <c r="Y41" s="4">
        <v>0</v>
      </c>
      <c r="AC41" s="54">
        <v>0.56100000000000005</v>
      </c>
      <c r="AD41" s="62">
        <f t="shared" si="2"/>
        <v>0.60645622271550126</v>
      </c>
      <c r="AE41" s="62">
        <f t="shared" si="16"/>
        <v>8.1027134965242775E-2</v>
      </c>
      <c r="AF41" s="62"/>
      <c r="AG41" s="62"/>
      <c r="AH41" s="54">
        <f>AL41*T41</f>
        <v>0.60645622271550126</v>
      </c>
      <c r="AI41" s="43">
        <f t="shared" si="33"/>
        <v>-8.1027134965242775E-2</v>
      </c>
      <c r="AJ41" s="63">
        <f t="shared" si="3"/>
        <v>3869588.2095969468</v>
      </c>
      <c r="AK41" s="63">
        <f t="shared" si="4"/>
        <v>4183129.8557158709</v>
      </c>
      <c r="AL41" s="38">
        <f>1/3*AY41/O41*V41</f>
        <v>1956310395.8564556</v>
      </c>
      <c r="AM41" s="55">
        <f>T41</f>
        <v>3.1000000000000002E-10</v>
      </c>
      <c r="AN41" s="55"/>
      <c r="AO41" s="55"/>
      <c r="AP41" s="98">
        <f t="shared" si="5"/>
        <v>2.8676430958411341E-10</v>
      </c>
      <c r="AQ41" s="39">
        <f>AC41/(1/3*AY41/O41*V41)</f>
        <v>2.8676430958411341E-10</v>
      </c>
      <c r="AR41" s="39">
        <f t="shared" si="36"/>
        <v>-7.4953840051247111E-2</v>
      </c>
      <c r="AS41" s="44">
        <f t="shared" si="37"/>
        <v>4.3225675175730669E-4</v>
      </c>
      <c r="AT41" s="45">
        <f>V41+W41*N41</f>
        <v>1403</v>
      </c>
      <c r="AU41" s="45"/>
      <c r="AV41" s="46">
        <f t="shared" si="38"/>
        <v>1297.8397624081001</v>
      </c>
      <c r="AW41" s="46">
        <f t="shared" si="17"/>
        <v>-7.495384005124725E-2</v>
      </c>
      <c r="AX41" s="40">
        <f t="shared" si="7"/>
        <v>8.0453200147983725E-3</v>
      </c>
      <c r="AY41" s="56">
        <v>75.38</v>
      </c>
      <c r="AZ41" s="70">
        <f t="shared" si="8"/>
        <v>4183129.8557158709</v>
      </c>
      <c r="BA41" s="41">
        <f t="shared" si="39"/>
        <v>69.72997953693698</v>
      </c>
      <c r="BB41" s="48">
        <f t="shared" si="18"/>
        <v>-7.4953840051247222E-2</v>
      </c>
      <c r="BC41" s="236">
        <f t="shared" si="19"/>
        <v>5868931187.5693665</v>
      </c>
      <c r="BD41" s="236">
        <f t="shared" si="20"/>
        <v>0.60645622271550115</v>
      </c>
      <c r="BE41"/>
      <c r="BF41"/>
      <c r="BG41" s="8">
        <f t="shared" si="40"/>
        <v>1.2781802750592626E-9</v>
      </c>
      <c r="BH41" s="8"/>
    </row>
    <row r="42" spans="1:60" x14ac:dyDescent="0.25">
      <c r="M42" s="4"/>
      <c r="N42" s="4"/>
      <c r="AE42" s="57">
        <f>AVERAGE(AE2:AE41)</f>
        <v>0.26496424665034751</v>
      </c>
    </row>
    <row r="43" spans="1:60" x14ac:dyDescent="0.25">
      <c r="M43" s="4"/>
      <c r="N43" s="4"/>
      <c r="AE43" s="57">
        <f>MAX(AE2:AE41)</f>
        <v>0.5544690106921496</v>
      </c>
    </row>
    <row r="44" spans="1:60" x14ac:dyDescent="0.25">
      <c r="M44" s="4"/>
      <c r="N44" s="4"/>
      <c r="AE44" s="57">
        <f>MIN(AE2:AE41)</f>
        <v>3.5012409748039611E-2</v>
      </c>
      <c r="AM44" s="57">
        <v>0</v>
      </c>
    </row>
    <row r="45" spans="1:60" x14ac:dyDescent="0.25">
      <c r="M45" s="4"/>
      <c r="N45" s="4"/>
      <c r="AM45" s="57">
        <v>250</v>
      </c>
    </row>
    <row r="46" spans="1:60" x14ac:dyDescent="0.25">
      <c r="M46" s="4"/>
      <c r="N46" s="4"/>
      <c r="AD46" s="57" t="s">
        <v>198</v>
      </c>
    </row>
    <row r="47" spans="1:60" x14ac:dyDescent="0.25">
      <c r="M47" s="4"/>
      <c r="N47" s="4"/>
      <c r="AD47" s="57" t="s">
        <v>194</v>
      </c>
    </row>
    <row r="48" spans="1:60" x14ac:dyDescent="0.25">
      <c r="K48" s="11"/>
      <c r="M48" s="4"/>
      <c r="N48" s="4"/>
      <c r="AD48" s="57" t="s">
        <v>207</v>
      </c>
    </row>
    <row r="49" spans="7:30" x14ac:dyDescent="0.25">
      <c r="M49" s="4"/>
      <c r="N49" s="4"/>
      <c r="AD49" s="57" t="s">
        <v>199</v>
      </c>
    </row>
    <row r="50" spans="7:30" x14ac:dyDescent="0.25">
      <c r="M50" s="4"/>
      <c r="N50" s="4"/>
      <c r="AD50" s="57" t="s">
        <v>206</v>
      </c>
    </row>
    <row r="51" spans="7:30" x14ac:dyDescent="0.25">
      <c r="G51" s="23" t="s">
        <v>21</v>
      </c>
      <c r="H51" s="23">
        <v>5.6672851556149997</v>
      </c>
      <c r="M51" s="4"/>
      <c r="N51" s="4"/>
      <c r="AD51" s="57" t="s">
        <v>195</v>
      </c>
    </row>
    <row r="52" spans="7:30" x14ac:dyDescent="0.25">
      <c r="G52" s="23" t="s">
        <v>22</v>
      </c>
      <c r="H52" s="23">
        <v>3.6125286079999999</v>
      </c>
      <c r="M52" s="4"/>
      <c r="N52" s="4"/>
      <c r="AD52" s="57" t="s">
        <v>196</v>
      </c>
    </row>
    <row r="53" spans="7:30" x14ac:dyDescent="0.25">
      <c r="G53" s="23" t="s">
        <v>23</v>
      </c>
      <c r="H53" s="23">
        <v>2.1603079999999997</v>
      </c>
      <c r="M53" s="4"/>
      <c r="N53" s="4"/>
      <c r="AD53" s="57" t="s">
        <v>205</v>
      </c>
    </row>
    <row r="54" spans="7:30" x14ac:dyDescent="0.25">
      <c r="M54" s="4"/>
      <c r="N54" s="4"/>
      <c r="AD54" s="57" t="s">
        <v>200</v>
      </c>
    </row>
    <row r="55" spans="7:30" x14ac:dyDescent="0.25">
      <c r="M55" s="4"/>
      <c r="N55" s="4"/>
      <c r="AD55" s="57" t="s">
        <v>197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B26C2-D637-4241-9CD3-E5456AE0D5E6}">
  <sheetPr codeName="Sheet2">
    <outlinePr summaryBelow="0"/>
  </sheetPr>
  <dimension ref="A1:BR56"/>
  <sheetViews>
    <sheetView zoomScale="70" zoomScaleNormal="70" workbookViewId="0">
      <pane xSplit="3" topLeftCell="AK1" activePane="topRight" state="frozen"/>
      <selection pane="topRight" activeCell="AF34" sqref="AF34"/>
    </sheetView>
  </sheetViews>
  <sheetFormatPr defaultRowHeight="15" x14ac:dyDescent="0.25"/>
  <cols>
    <col min="1" max="1" width="35.42578125" style="19" customWidth="1"/>
    <col min="2" max="2" width="7.85546875" style="23" hidden="1" customWidth="1"/>
    <col min="3" max="3" width="6.42578125" style="23" hidden="1" customWidth="1"/>
    <col min="4" max="4" width="8.42578125" style="23" customWidth="1"/>
    <col min="5" max="5" width="9" style="23" customWidth="1"/>
    <col min="6" max="6" width="10.42578125" style="23" customWidth="1"/>
    <col min="7" max="7" width="11.140625" style="23" customWidth="1"/>
    <col min="8" max="8" width="12.7109375" style="23" customWidth="1"/>
    <col min="9" max="9" width="13" style="23" customWidth="1"/>
    <col min="10" max="10" width="10.5703125" style="23" customWidth="1"/>
    <col min="11" max="11" width="12.140625" style="9" customWidth="1"/>
    <col min="12" max="12" width="16" style="20" customWidth="1"/>
    <col min="13" max="13" width="22" style="18" customWidth="1"/>
    <col min="14" max="14" width="14.5703125" style="18" customWidth="1"/>
    <col min="15" max="15" width="13.140625" style="18" customWidth="1"/>
    <col min="16" max="16" width="12" style="18" customWidth="1"/>
    <col min="18" max="18" width="11.5703125" style="18" customWidth="1"/>
    <col min="19" max="19" width="12.5703125" style="18" customWidth="1"/>
    <col min="20" max="20" width="12.5703125" style="13" customWidth="1"/>
    <col min="21" max="21" width="12" style="13" customWidth="1"/>
    <col min="22" max="22" width="12.140625" style="8" customWidth="1"/>
    <col min="23" max="24" width="12.140625" style="22" customWidth="1"/>
    <col min="25" max="25" width="10.140625" style="4" customWidth="1"/>
    <col min="26" max="26" width="7.5703125" style="4" customWidth="1"/>
    <col min="27" max="27" width="6.28515625" style="4" customWidth="1"/>
    <col min="28" max="28" width="8.42578125" style="4" customWidth="1"/>
    <col min="29" max="29" width="7.85546875" style="4" customWidth="1"/>
    <col min="30" max="30" width="6.140625" style="4" customWidth="1"/>
    <col min="31" max="31" width="8.85546875" style="11" customWidth="1"/>
    <col min="32" max="35" width="14.85546875" style="57" customWidth="1"/>
    <col min="36" max="36" width="19" style="57" customWidth="1"/>
    <col min="37" max="40" width="15.5703125" style="57" customWidth="1"/>
    <col min="41" max="41" width="12.85546875" style="57" customWidth="1"/>
    <col min="42" max="42" width="13.7109375" style="57" customWidth="1"/>
    <col min="43" max="43" width="14.42578125" style="57" bestFit="1" customWidth="1"/>
    <col min="44" max="44" width="15.42578125" style="57" customWidth="1"/>
    <col min="45" max="45" width="11.140625" style="58" customWidth="1"/>
    <col min="46" max="47" width="10.5703125" style="57" customWidth="1"/>
    <col min="48" max="50" width="18" style="57" customWidth="1"/>
    <col min="51" max="51" width="11" style="59" customWidth="1"/>
    <col min="52" max="52" width="14.28515625" style="57" customWidth="1"/>
    <col min="53" max="53" width="11.5703125" style="60" customWidth="1"/>
    <col min="55" max="56" width="9.140625" style="32"/>
    <col min="59" max="60" width="9.140625" style="32"/>
    <col min="62" max="62" width="11.85546875" style="4" customWidth="1"/>
    <col min="63" max="16384" width="9.140625" style="4"/>
  </cols>
  <sheetData>
    <row r="1" spans="1:70" s="80" customFormat="1" ht="20.25" customHeight="1" thickBot="1" x14ac:dyDescent="0.3">
      <c r="A1" s="73" t="s">
        <v>0</v>
      </c>
      <c r="B1" s="74" t="s">
        <v>72</v>
      </c>
      <c r="C1" s="73" t="s">
        <v>56</v>
      </c>
      <c r="D1" s="73" t="s">
        <v>57</v>
      </c>
      <c r="E1" s="73" t="s">
        <v>58</v>
      </c>
      <c r="F1" s="75" t="s">
        <v>60</v>
      </c>
      <c r="G1" s="75" t="s">
        <v>61</v>
      </c>
      <c r="H1" s="73" t="s">
        <v>64</v>
      </c>
      <c r="I1" s="73" t="s">
        <v>59</v>
      </c>
      <c r="J1" s="73" t="s">
        <v>62</v>
      </c>
      <c r="K1" s="76" t="s">
        <v>1</v>
      </c>
      <c r="L1" s="76" t="s">
        <v>52</v>
      </c>
      <c r="M1" s="77" t="s">
        <v>74</v>
      </c>
      <c r="N1" s="77" t="s">
        <v>2</v>
      </c>
      <c r="O1" s="77" t="s">
        <v>3</v>
      </c>
      <c r="P1" s="78" t="s">
        <v>4</v>
      </c>
      <c r="Q1" s="74"/>
      <c r="R1" s="77" t="s">
        <v>6</v>
      </c>
      <c r="S1" s="77" t="s">
        <v>7</v>
      </c>
      <c r="T1" s="77"/>
      <c r="U1" s="77" t="s">
        <v>55</v>
      </c>
      <c r="V1" s="79" t="s">
        <v>8</v>
      </c>
      <c r="W1" s="79"/>
      <c r="X1" s="79"/>
      <c r="Y1" s="80" t="s">
        <v>9</v>
      </c>
      <c r="Z1" s="80" t="s">
        <v>10</v>
      </c>
      <c r="AA1" s="80" t="s">
        <v>11</v>
      </c>
      <c r="AB1" s="80" t="s">
        <v>12</v>
      </c>
      <c r="AC1" s="80" t="s">
        <v>13</v>
      </c>
      <c r="AD1" s="80" t="s">
        <v>14</v>
      </c>
      <c r="AE1" s="80" t="s">
        <v>51</v>
      </c>
      <c r="AF1" s="81" t="s">
        <v>15</v>
      </c>
      <c r="AG1" s="103" t="s">
        <v>65</v>
      </c>
      <c r="AH1" s="110" t="s">
        <v>65</v>
      </c>
      <c r="AI1" s="160"/>
      <c r="AJ1" s="106" t="s">
        <v>65</v>
      </c>
      <c r="AK1" s="82" t="s">
        <v>67</v>
      </c>
      <c r="AL1" s="113" t="s">
        <v>96</v>
      </c>
      <c r="AM1" s="117" t="s">
        <v>97</v>
      </c>
      <c r="AN1" s="115" t="s">
        <v>98</v>
      </c>
      <c r="AO1" s="83" t="s">
        <v>66</v>
      </c>
      <c r="AP1" s="83" t="s">
        <v>46</v>
      </c>
      <c r="AQ1" s="83" t="s">
        <v>91</v>
      </c>
      <c r="AR1" s="120" t="s">
        <v>70</v>
      </c>
      <c r="AS1" s="124" t="s">
        <v>70</v>
      </c>
      <c r="AT1" s="122" t="s">
        <v>70</v>
      </c>
      <c r="AU1" s="85" t="s">
        <v>63</v>
      </c>
      <c r="AV1" s="127" t="s">
        <v>71</v>
      </c>
      <c r="AW1" s="163"/>
      <c r="AX1" s="163"/>
      <c r="AY1" s="132" t="s">
        <v>71</v>
      </c>
      <c r="AZ1" s="129" t="s">
        <v>71</v>
      </c>
      <c r="BA1" s="135" t="s">
        <v>68</v>
      </c>
      <c r="BB1" s="139" t="s">
        <v>68</v>
      </c>
      <c r="BC1" s="154"/>
      <c r="BD1" s="154"/>
      <c r="BE1" s="137" t="s">
        <v>68</v>
      </c>
      <c r="BF1" s="88" t="s">
        <v>5</v>
      </c>
      <c r="BG1" s="164"/>
      <c r="BH1" s="164"/>
      <c r="BI1" s="142" t="s">
        <v>69</v>
      </c>
      <c r="BJ1" s="147" t="s">
        <v>69</v>
      </c>
      <c r="BK1" s="144" t="s">
        <v>69</v>
      </c>
      <c r="BL1" s="80" t="s">
        <v>53</v>
      </c>
      <c r="BM1" s="74"/>
      <c r="BN1" s="74"/>
      <c r="BO1" s="74"/>
    </row>
    <row r="2" spans="1:70" s="80" customFormat="1" ht="20.25" customHeight="1" thickBot="1" x14ac:dyDescent="0.3">
      <c r="A2" s="73" t="s">
        <v>0</v>
      </c>
      <c r="B2" s="74" t="s">
        <v>72</v>
      </c>
      <c r="C2" s="73" t="s">
        <v>56</v>
      </c>
      <c r="D2" s="73" t="s">
        <v>57</v>
      </c>
      <c r="E2" s="73" t="s">
        <v>58</v>
      </c>
      <c r="F2" s="75" t="s">
        <v>60</v>
      </c>
      <c r="G2" s="75" t="s">
        <v>61</v>
      </c>
      <c r="H2" s="73" t="s">
        <v>64</v>
      </c>
      <c r="I2" s="73" t="s">
        <v>59</v>
      </c>
      <c r="J2" s="73" t="s">
        <v>62</v>
      </c>
      <c r="K2" s="76" t="s">
        <v>1</v>
      </c>
      <c r="L2" s="76" t="s">
        <v>52</v>
      </c>
      <c r="M2" s="77" t="s">
        <v>74</v>
      </c>
      <c r="N2" s="77" t="s">
        <v>2</v>
      </c>
      <c r="O2" s="77" t="s">
        <v>3</v>
      </c>
      <c r="P2" s="78" t="s">
        <v>4</v>
      </c>
      <c r="Q2" s="74"/>
      <c r="R2" s="77" t="s">
        <v>6</v>
      </c>
      <c r="S2" s="77" t="s">
        <v>7</v>
      </c>
      <c r="T2" s="77" t="s">
        <v>173</v>
      </c>
      <c r="U2" s="77" t="s">
        <v>55</v>
      </c>
      <c r="V2" s="79" t="s">
        <v>8</v>
      </c>
      <c r="W2" s="79" t="s">
        <v>174</v>
      </c>
      <c r="X2" s="79"/>
      <c r="Y2" s="80" t="s">
        <v>9</v>
      </c>
      <c r="Z2" s="80" t="s">
        <v>10</v>
      </c>
      <c r="AA2" s="80" t="s">
        <v>11</v>
      </c>
      <c r="AB2" s="80" t="s">
        <v>12</v>
      </c>
      <c r="AC2" s="80" t="s">
        <v>13</v>
      </c>
      <c r="AD2" s="80" t="s">
        <v>14</v>
      </c>
      <c r="AE2" s="80" t="s">
        <v>51</v>
      </c>
      <c r="AF2" s="81" t="s">
        <v>15</v>
      </c>
      <c r="AG2" s="81" t="s">
        <v>65</v>
      </c>
      <c r="AH2" s="81" t="s">
        <v>65</v>
      </c>
      <c r="AI2" s="81"/>
      <c r="AJ2" s="81" t="s">
        <v>65</v>
      </c>
      <c r="AK2" s="82" t="s">
        <v>67</v>
      </c>
      <c r="AL2" s="83" t="s">
        <v>96</v>
      </c>
      <c r="AM2" s="83" t="s">
        <v>97</v>
      </c>
      <c r="AN2" s="83" t="s">
        <v>98</v>
      </c>
      <c r="AO2" s="83" t="s">
        <v>66</v>
      </c>
      <c r="AP2" s="83" t="s">
        <v>46</v>
      </c>
      <c r="AQ2" s="83" t="s">
        <v>91</v>
      </c>
      <c r="AR2" s="84" t="s">
        <v>70</v>
      </c>
      <c r="AS2" s="84"/>
      <c r="AT2" s="84"/>
      <c r="AU2" s="85" t="s">
        <v>63</v>
      </c>
      <c r="AV2" s="86" t="s">
        <v>71</v>
      </c>
      <c r="AW2" s="86"/>
      <c r="AX2" s="86"/>
      <c r="AY2" s="86"/>
      <c r="AZ2" s="86"/>
      <c r="BA2" s="87" t="s">
        <v>68</v>
      </c>
      <c r="BB2" s="87"/>
      <c r="BC2" s="87"/>
      <c r="BD2" s="87"/>
      <c r="BE2" s="87"/>
      <c r="BF2" s="88" t="s">
        <v>5</v>
      </c>
      <c r="BG2" s="88"/>
      <c r="BH2" s="88"/>
      <c r="BI2" s="88"/>
      <c r="BJ2" s="88"/>
      <c r="BK2" s="89" t="s">
        <v>69</v>
      </c>
      <c r="BL2" s="80" t="s">
        <v>53</v>
      </c>
      <c r="BM2" s="74"/>
      <c r="BN2" s="74"/>
      <c r="BO2" s="74"/>
      <c r="BP2" s="74"/>
    </row>
    <row r="3" spans="1:70" s="11" customFormat="1" ht="20.25" customHeight="1" x14ac:dyDescent="0.25">
      <c r="A3" s="2" t="s">
        <v>16</v>
      </c>
      <c r="B3" s="61">
        <v>9.9499999999999993</v>
      </c>
      <c r="C3" s="2">
        <v>1</v>
      </c>
      <c r="D3" s="2">
        <v>12</v>
      </c>
      <c r="E3" s="2">
        <v>12</v>
      </c>
      <c r="F3" s="22">
        <f t="shared" ref="F3:F38" si="0">D3*1.6726219E-27</f>
        <v>2.0071462799999999E-26</v>
      </c>
      <c r="G3" s="22">
        <f t="shared" ref="G3:G42" si="1">E3*9.1093856E-31</f>
        <v>1.0931262719999999E-29</v>
      </c>
      <c r="H3" s="24">
        <f>((F3*D3)/(G3*E3))</f>
        <v>1836.1522647586683</v>
      </c>
      <c r="I3" s="24">
        <f>D3/E3</f>
        <v>1</v>
      </c>
      <c r="J3" s="26">
        <f>(F3)-(G3)</f>
        <v>2.0060531537279999E-26</v>
      </c>
      <c r="K3" s="3">
        <v>25.939</v>
      </c>
      <c r="L3" s="11">
        <f>0.115*EXP(27000/(8.3144598*N3))/1000</f>
        <v>2.0988673196732184E-3</v>
      </c>
      <c r="M3" s="27">
        <f>N3^-1</f>
        <v>8.9433439162902998E-4</v>
      </c>
      <c r="N3" s="3">
        <v>1118.1500000000001</v>
      </c>
      <c r="O3" s="5">
        <v>1.42E-5</v>
      </c>
      <c r="P3" s="5">
        <v>2.6800000000000001E-4</v>
      </c>
      <c r="Q3" s="32"/>
      <c r="R3" s="6">
        <v>7.5999999999999996E-11</v>
      </c>
      <c r="S3" s="6">
        <v>1.3300000000000001E-10</v>
      </c>
      <c r="T3" s="30">
        <f>PI()/ASIN(R3/(R3+S3)) - 2</f>
        <v>6.4413172176578879</v>
      </c>
      <c r="U3" s="6">
        <f>S3+R3</f>
        <v>2.09E-10</v>
      </c>
      <c r="V3" s="6">
        <v>1810000</v>
      </c>
      <c r="W3" s="6">
        <f>AP3/X3</f>
        <v>1.4792127854756368E-13</v>
      </c>
      <c r="X3" s="6">
        <f>Y3+Z3*N3</f>
        <v>2547.8000000000002</v>
      </c>
      <c r="Y3" s="28">
        <v>2547.8000000000002</v>
      </c>
      <c r="Z3" s="11">
        <v>0</v>
      </c>
      <c r="AA3" s="22">
        <v>2.3580999999999999</v>
      </c>
      <c r="AB3" s="22">
        <v>-4.9019999999999999E-4</v>
      </c>
      <c r="AC3" s="11">
        <v>1</v>
      </c>
      <c r="AD3" s="11">
        <v>1</v>
      </c>
      <c r="AE3" s="11">
        <f>AC3+AD3</f>
        <v>2</v>
      </c>
      <c r="AF3" s="62">
        <v>1.4326411999999999</v>
      </c>
      <c r="AG3" s="95"/>
      <c r="AH3" s="95"/>
      <c r="AI3" s="95"/>
      <c r="AJ3" s="95"/>
      <c r="AK3" s="64">
        <v>3801381451.0759559</v>
      </c>
      <c r="AL3" s="98"/>
      <c r="AM3" s="98"/>
      <c r="AN3" s="98"/>
      <c r="AO3" s="98"/>
      <c r="AP3" s="65">
        <f>AF3/AK3</f>
        <v>3.7687383348348277E-10</v>
      </c>
      <c r="AQ3" s="65" t="e">
        <f>(AP3-AO3)/AO3</f>
        <v>#DIV/0!</v>
      </c>
      <c r="AR3" s="66">
        <f>AJ3/AU3</f>
        <v>0</v>
      </c>
      <c r="AS3" s="66"/>
      <c r="AT3" s="66"/>
      <c r="AU3" s="67">
        <f t="shared" ref="AU3:AU38" si="2">Y3+Z3*N3</f>
        <v>2547.8000000000002</v>
      </c>
      <c r="AV3" s="68" t="e">
        <f>AF3/AR3</f>
        <v>#DIV/0!</v>
      </c>
      <c r="AW3" s="68"/>
      <c r="AX3" s="68"/>
      <c r="AY3" s="68"/>
      <c r="AZ3" s="68"/>
      <c r="BA3" s="69">
        <f t="shared" ref="BA3:BA42" si="3">AJ3/BF3</f>
        <v>0</v>
      </c>
      <c r="BB3" s="69"/>
      <c r="BC3" s="69"/>
      <c r="BD3" s="69"/>
      <c r="BE3" s="69"/>
      <c r="BF3" s="70">
        <v>64.2</v>
      </c>
      <c r="BG3" s="70"/>
      <c r="BH3" s="70"/>
      <c r="BI3" s="70"/>
      <c r="BJ3" s="70"/>
      <c r="BK3" s="71" t="e">
        <f>AF3/(BA3)</f>
        <v>#DIV/0!</v>
      </c>
      <c r="BL3" s="22">
        <f t="shared" ref="BL3:BL10" si="4">L3/(V3/1000*(Y3+Z3*N3))</f>
        <v>4.5513588360128237E-10</v>
      </c>
      <c r="BM3" s="32"/>
      <c r="BN3" s="32"/>
      <c r="BO3" s="32"/>
      <c r="BP3" s="32"/>
      <c r="BR3" s="22"/>
    </row>
    <row r="4" spans="1:70" ht="20.25" customHeight="1" x14ac:dyDescent="0.25">
      <c r="A4" s="2" t="s">
        <v>17</v>
      </c>
      <c r="B4" s="29">
        <v>6.9</v>
      </c>
      <c r="C4" s="2">
        <v>1</v>
      </c>
      <c r="D4" s="2">
        <v>20</v>
      </c>
      <c r="E4" s="2">
        <v>20</v>
      </c>
      <c r="F4" s="22">
        <f t="shared" si="0"/>
        <v>3.3452438000000001E-26</v>
      </c>
      <c r="G4" s="22">
        <f t="shared" si="1"/>
        <v>1.82187712E-29</v>
      </c>
      <c r="H4" s="24">
        <f t="shared" ref="H4:H42" si="5">((F4*D4)/(G4*E4))</f>
        <v>1836.1522647586683</v>
      </c>
      <c r="I4" s="24">
        <f t="shared" ref="I4:I42" si="6">D4/E4</f>
        <v>1</v>
      </c>
      <c r="J4" s="26">
        <f t="shared" ref="J4:J42" si="7">(F4)-(G4)</f>
        <v>3.3434219228800004E-26</v>
      </c>
      <c r="K4" s="3">
        <v>41.988</v>
      </c>
      <c r="L4" s="11">
        <f>0.12*EXP(26500/(8.3144598*N4))/1000</f>
        <v>1.4814456494713717E-3</v>
      </c>
      <c r="M4" s="27">
        <f t="shared" ref="M4:M42" si="8">N4^-1</f>
        <v>7.885502503647044E-4</v>
      </c>
      <c r="N4" s="3">
        <v>1268.1500000000001</v>
      </c>
      <c r="O4" s="5">
        <v>2.16E-5</v>
      </c>
      <c r="P4" s="5">
        <v>2.8800000000000001E-4</v>
      </c>
      <c r="R4" s="6">
        <v>1.02E-10</v>
      </c>
      <c r="S4" s="6">
        <v>1.3300000000000001E-10</v>
      </c>
      <c r="T4" s="30">
        <f t="shared" ref="T4:T22" si="9">PI()/ASIN(R4/(R4+S4)) - 2</f>
        <v>4.9972516420297648</v>
      </c>
      <c r="U4" s="6">
        <f t="shared" ref="U4:U23" si="10">S4+R4</f>
        <v>2.3500000000000002E-10</v>
      </c>
      <c r="V4" s="6">
        <v>1950000</v>
      </c>
      <c r="W4" s="6">
        <f t="shared" ref="W4:W42" si="11">AP4/X4</f>
        <v>1.9160477418651135E-13</v>
      </c>
      <c r="X4" s="6">
        <f t="shared" ref="X4:X42" si="12">Y4+Z4*N4</f>
        <v>2085.5</v>
      </c>
      <c r="Y4" s="7">
        <v>2085.5</v>
      </c>
      <c r="Z4" s="4">
        <v>0</v>
      </c>
      <c r="AA4" s="8">
        <v>2.7549999999999999</v>
      </c>
      <c r="AB4" s="4">
        <v>-6.3599999999999996E-4</v>
      </c>
      <c r="AC4" s="4">
        <v>1</v>
      </c>
      <c r="AD4" s="4">
        <v>1</v>
      </c>
      <c r="AE4" s="11">
        <f t="shared" ref="AE4:AE41" si="13">AC4+AD4</f>
        <v>2</v>
      </c>
      <c r="AF4" s="37">
        <v>0.90495999999999999</v>
      </c>
      <c r="AG4" s="96"/>
      <c r="AH4" s="96"/>
      <c r="AI4" s="96"/>
      <c r="AJ4" s="96"/>
      <c r="AK4" s="38">
        <v>2264711383.8811092</v>
      </c>
      <c r="AL4" s="94"/>
      <c r="AM4" s="94"/>
      <c r="AN4" s="94"/>
      <c r="AO4" s="94"/>
      <c r="AP4" s="39">
        <f>AF4/AK4</f>
        <v>3.9959175656596945E-10</v>
      </c>
      <c r="AQ4" s="39" t="e">
        <f>(AP4-AO4)/AO4</f>
        <v>#DIV/0!</v>
      </c>
      <c r="AR4" s="44">
        <f>AJ4/AU4</f>
        <v>0</v>
      </c>
      <c r="AS4" s="44"/>
      <c r="AT4" s="44"/>
      <c r="AU4" s="45">
        <f t="shared" si="2"/>
        <v>2085.5</v>
      </c>
      <c r="AV4" s="46" t="e">
        <f>AF4/AR4</f>
        <v>#DIV/0!</v>
      </c>
      <c r="AW4" s="46"/>
      <c r="AX4" s="46"/>
      <c r="AY4" s="46"/>
      <c r="AZ4" s="46"/>
      <c r="BA4" s="40">
        <f t="shared" si="3"/>
        <v>0</v>
      </c>
      <c r="BB4" s="40"/>
      <c r="BC4" s="40"/>
      <c r="BD4" s="40"/>
      <c r="BE4" s="40"/>
      <c r="BF4" s="47">
        <v>70.2</v>
      </c>
      <c r="BG4" s="47"/>
      <c r="BH4" s="47"/>
      <c r="BI4" s="47"/>
      <c r="BJ4" s="47"/>
      <c r="BK4" s="41" t="e">
        <f>AF4/(BA4)</f>
        <v>#DIV/0!</v>
      </c>
      <c r="BL4" s="8">
        <f t="shared" si="4"/>
        <v>3.6428468840931505E-10</v>
      </c>
      <c r="BM4"/>
      <c r="BN4"/>
      <c r="BO4"/>
      <c r="BP4"/>
      <c r="BR4" s="8"/>
    </row>
    <row r="5" spans="1:70" ht="20.25" customHeight="1" x14ac:dyDescent="0.25">
      <c r="A5" s="2" t="s">
        <v>18</v>
      </c>
      <c r="B5" s="30">
        <v>5.0999999999999996</v>
      </c>
      <c r="C5" s="2">
        <v>1</v>
      </c>
      <c r="D5" s="2">
        <v>28</v>
      </c>
      <c r="E5" s="2">
        <v>28</v>
      </c>
      <c r="F5" s="22">
        <f t="shared" si="0"/>
        <v>4.6833413199999998E-26</v>
      </c>
      <c r="G5" s="22">
        <f t="shared" si="1"/>
        <v>2.5506279679999997E-29</v>
      </c>
      <c r="H5" s="24">
        <f t="shared" si="5"/>
        <v>1836.1522647586683</v>
      </c>
      <c r="I5" s="24">
        <f t="shared" si="6"/>
        <v>1</v>
      </c>
      <c r="J5" s="26">
        <f t="shared" si="7"/>
        <v>4.680790692032E-26</v>
      </c>
      <c r="K5" s="3">
        <v>58.097000000000001</v>
      </c>
      <c r="L5" s="11">
        <f>0.107*EXP(23800/(8.3144598*N5))/1000</f>
        <v>1.3500630387524655E-3</v>
      </c>
      <c r="M5" s="27">
        <f t="shared" si="8"/>
        <v>8.856219279989372E-4</v>
      </c>
      <c r="N5" s="3">
        <v>1129.1500000000001</v>
      </c>
      <c r="O5" s="5">
        <v>3.04E-5</v>
      </c>
      <c r="P5" s="5">
        <v>3.4099999999999999E-4</v>
      </c>
      <c r="R5" s="6">
        <v>1.3799999999999999E-10</v>
      </c>
      <c r="S5" s="6">
        <v>1.3300000000000001E-10</v>
      </c>
      <c r="T5" s="30">
        <f t="shared" si="9"/>
        <v>3.8800033798801632</v>
      </c>
      <c r="U5" s="6">
        <f t="shared" si="10"/>
        <v>2.7099999999999999E-10</v>
      </c>
      <c r="V5" s="6">
        <v>1910000</v>
      </c>
      <c r="W5" s="6">
        <f t="shared" si="11"/>
        <v>2.3475972064260882E-13</v>
      </c>
      <c r="X5" s="6">
        <f t="shared" si="12"/>
        <v>1816.4</v>
      </c>
      <c r="Y5" s="7">
        <v>1816.4</v>
      </c>
      <c r="Z5" s="4">
        <v>0</v>
      </c>
      <c r="AA5" s="4">
        <v>2.6463999999999999</v>
      </c>
      <c r="AB5" s="4">
        <v>-6.5149999999999995E-4</v>
      </c>
      <c r="AC5" s="4">
        <v>1</v>
      </c>
      <c r="AD5" s="4">
        <v>1</v>
      </c>
      <c r="AE5" s="11">
        <f t="shared" si="13"/>
        <v>2</v>
      </c>
      <c r="AF5" s="37">
        <v>0.56767520000000005</v>
      </c>
      <c r="AG5" s="96"/>
      <c r="AH5" s="96"/>
      <c r="AI5" s="96"/>
      <c r="AJ5" s="96"/>
      <c r="AK5" s="38">
        <v>1331266012.0265069</v>
      </c>
      <c r="AL5" s="94"/>
      <c r="AM5" s="94"/>
      <c r="AN5" s="94"/>
      <c r="AO5" s="94"/>
      <c r="AP5" s="39">
        <f>AF5/AK5</f>
        <v>4.2641755657523466E-10</v>
      </c>
      <c r="AQ5" s="39" t="e">
        <f>(AP5-AO5)/AO5</f>
        <v>#DIV/0!</v>
      </c>
      <c r="AR5" s="44">
        <f>AJ5/AU5</f>
        <v>0</v>
      </c>
      <c r="AS5" s="44"/>
      <c r="AT5" s="44"/>
      <c r="AU5" s="45">
        <f t="shared" si="2"/>
        <v>1816.4</v>
      </c>
      <c r="AV5" s="46" t="e">
        <f>AF5/AR5</f>
        <v>#DIV/0!</v>
      </c>
      <c r="AW5" s="46"/>
      <c r="AX5" s="46"/>
      <c r="AY5" s="46"/>
      <c r="AZ5" s="46"/>
      <c r="BA5" s="40">
        <f t="shared" si="3"/>
        <v>0</v>
      </c>
      <c r="BB5" s="40"/>
      <c r="BC5" s="40"/>
      <c r="BD5" s="40"/>
      <c r="BE5" s="40"/>
      <c r="BF5" s="47">
        <v>66.900000000000006</v>
      </c>
      <c r="BG5" s="47"/>
      <c r="BH5" s="47"/>
      <c r="BI5" s="47"/>
      <c r="BJ5" s="47"/>
      <c r="BK5" s="41" t="e">
        <f>AF5/(BA5)</f>
        <v>#DIV/0!</v>
      </c>
      <c r="BL5" s="8">
        <f t="shared" si="4"/>
        <v>3.8914296812648964E-10</v>
      </c>
      <c r="BM5"/>
      <c r="BN5"/>
      <c r="BO5"/>
      <c r="BP5"/>
      <c r="BR5" s="8"/>
    </row>
    <row r="6" spans="1:70" ht="20.25" customHeight="1" x14ac:dyDescent="0.25">
      <c r="A6" s="2" t="s">
        <v>19</v>
      </c>
      <c r="B6" s="30"/>
      <c r="C6" s="2">
        <v>1</v>
      </c>
      <c r="D6" s="2">
        <v>46</v>
      </c>
      <c r="E6" s="2">
        <v>46</v>
      </c>
      <c r="F6" s="22">
        <f t="shared" si="0"/>
        <v>7.6940607399999996E-26</v>
      </c>
      <c r="G6" s="22">
        <f t="shared" si="1"/>
        <v>4.1903173759999999E-29</v>
      </c>
      <c r="H6" s="24">
        <f t="shared" si="5"/>
        <v>1836.1522647586683</v>
      </c>
      <c r="I6" s="24">
        <f t="shared" si="6"/>
        <v>1</v>
      </c>
      <c r="J6" s="26">
        <f t="shared" si="7"/>
        <v>7.689870422624E-26</v>
      </c>
      <c r="K6" s="9">
        <v>104.4662</v>
      </c>
      <c r="L6" s="11">
        <f>0.115*EXP(27000/(8.3144598*N6))/1000</f>
        <v>2.5481160758264749E-3</v>
      </c>
      <c r="M6" s="27">
        <f t="shared" si="8"/>
        <v>9.5406191861851825E-4</v>
      </c>
      <c r="N6" s="4">
        <v>1048.1500000000001</v>
      </c>
      <c r="O6" s="5">
        <v>3.57E-5</v>
      </c>
      <c r="P6" s="5">
        <v>3.4900000000000003E-4</v>
      </c>
      <c r="R6" s="6">
        <v>1.5199999999999999E-10</v>
      </c>
      <c r="S6" s="6">
        <v>1.3300000000000001E-10</v>
      </c>
      <c r="T6" s="30">
        <f t="shared" si="9"/>
        <v>3.5846937580657041</v>
      </c>
      <c r="U6" s="6">
        <f t="shared" si="10"/>
        <v>2.85E-10</v>
      </c>
      <c r="V6" s="6">
        <f>K6/O6</f>
        <v>2926224.0896358541</v>
      </c>
      <c r="W6" s="6">
        <f t="shared" si="11"/>
        <v>0</v>
      </c>
      <c r="X6" s="6">
        <f t="shared" si="12"/>
        <v>1760.4</v>
      </c>
      <c r="Y6" s="7">
        <v>1760.4</v>
      </c>
      <c r="Z6" s="4">
        <v>0</v>
      </c>
      <c r="AA6" s="6">
        <f>V6*100^3/1000</f>
        <v>2926224089.6358538</v>
      </c>
      <c r="AB6" s="4">
        <v>0</v>
      </c>
      <c r="AF6" s="37"/>
      <c r="AG6" s="96"/>
      <c r="AH6" s="96"/>
      <c r="AI6" s="96"/>
      <c r="AJ6" s="96"/>
      <c r="AK6" s="38"/>
      <c r="AL6" s="94"/>
      <c r="AM6" s="94"/>
      <c r="AN6" s="94"/>
      <c r="AO6" s="94"/>
      <c r="AP6" s="39"/>
      <c r="AQ6" s="39"/>
      <c r="AR6" s="44"/>
      <c r="AS6" s="44"/>
      <c r="AT6" s="44"/>
      <c r="AU6" s="45">
        <f t="shared" si="2"/>
        <v>1760.4</v>
      </c>
      <c r="AV6" s="46"/>
      <c r="AW6" s="46"/>
      <c r="AX6" s="46"/>
      <c r="AY6" s="46"/>
      <c r="AZ6" s="46"/>
      <c r="BA6" s="40">
        <f t="shared" si="3"/>
        <v>0</v>
      </c>
      <c r="BB6" s="40"/>
      <c r="BC6" s="40"/>
      <c r="BD6" s="40"/>
      <c r="BE6" s="40"/>
      <c r="BF6" s="47">
        <v>69.5</v>
      </c>
      <c r="BG6" s="47"/>
      <c r="BH6" s="47"/>
      <c r="BI6" s="47"/>
      <c r="BJ6" s="47"/>
      <c r="BK6" s="41"/>
      <c r="BL6" s="8">
        <f t="shared" si="4"/>
        <v>4.94652566383765E-10</v>
      </c>
      <c r="BM6"/>
      <c r="BN6"/>
      <c r="BO6"/>
      <c r="BP6"/>
      <c r="BR6" s="8"/>
    </row>
    <row r="7" spans="1:70" ht="20.25" customHeight="1" x14ac:dyDescent="0.25">
      <c r="A7" s="2" t="s">
        <v>20</v>
      </c>
      <c r="B7" s="30"/>
      <c r="C7" s="2">
        <v>1</v>
      </c>
      <c r="D7" s="2">
        <v>64</v>
      </c>
      <c r="E7" s="2">
        <v>64</v>
      </c>
      <c r="F7" s="22">
        <f t="shared" si="0"/>
        <v>1.070478016E-25</v>
      </c>
      <c r="G7" s="22">
        <f t="shared" si="1"/>
        <v>5.8300067839999996E-29</v>
      </c>
      <c r="H7" s="24">
        <f t="shared" si="5"/>
        <v>1836.1522647586685</v>
      </c>
      <c r="I7" s="24">
        <f t="shared" si="6"/>
        <v>1</v>
      </c>
      <c r="J7" s="26">
        <f t="shared" si="7"/>
        <v>1.0698950153215999E-25</v>
      </c>
      <c r="K7" s="3">
        <v>58.44</v>
      </c>
      <c r="L7" s="11">
        <f>0.115*EXP(27000/(8.3144598*N7))/1000</f>
        <v>3.4453112314492135E-3</v>
      </c>
      <c r="M7" s="27">
        <f t="shared" si="8"/>
        <v>1.0469559755012302E-3</v>
      </c>
      <c r="N7" s="3">
        <v>955.15</v>
      </c>
      <c r="O7" s="5">
        <v>4.57E-5</v>
      </c>
      <c r="P7" s="5">
        <v>3.8499999999999998E-4</v>
      </c>
      <c r="R7" s="6">
        <v>1.6699999999999999E-10</v>
      </c>
      <c r="S7" s="6">
        <v>1.3300000000000001E-10</v>
      </c>
      <c r="T7" s="30">
        <f t="shared" si="9"/>
        <v>3.3214153282335914</v>
      </c>
      <c r="U7" s="6">
        <f t="shared" si="10"/>
        <v>3E-10</v>
      </c>
      <c r="V7" s="6">
        <v>2196977.25</v>
      </c>
      <c r="W7" s="6">
        <f t="shared" si="11"/>
        <v>0</v>
      </c>
      <c r="X7" s="6">
        <f t="shared" si="12"/>
        <v>1858.9699999999998</v>
      </c>
      <c r="Y7" s="4">
        <v>2732.9322499999998</v>
      </c>
      <c r="Z7" s="4">
        <v>-0.91500000000000004</v>
      </c>
      <c r="AA7" s="4">
        <v>4.8985000000000003</v>
      </c>
      <c r="AB7" s="4">
        <v>-5.4299999999999997E-4</v>
      </c>
      <c r="AF7" s="37"/>
      <c r="AG7" s="96"/>
      <c r="AH7" s="96"/>
      <c r="AI7" s="96"/>
      <c r="AJ7" s="96"/>
      <c r="AK7" s="38"/>
      <c r="AL7" s="94"/>
      <c r="AM7" s="94"/>
      <c r="AN7" s="94"/>
      <c r="AO7" s="94"/>
      <c r="AP7" s="39"/>
      <c r="AQ7" s="39"/>
      <c r="AR7" s="44"/>
      <c r="AS7" s="44"/>
      <c r="AT7" s="44"/>
      <c r="AU7" s="45">
        <f t="shared" si="2"/>
        <v>1858.9699999999998</v>
      </c>
      <c r="AV7" s="46"/>
      <c r="AW7" s="46"/>
      <c r="AX7" s="46"/>
      <c r="AY7" s="46"/>
      <c r="AZ7" s="46"/>
      <c r="BA7" s="40">
        <f t="shared" si="3"/>
        <v>0</v>
      </c>
      <c r="BB7" s="40"/>
      <c r="BC7" s="40"/>
      <c r="BD7" s="40"/>
      <c r="BE7" s="40"/>
      <c r="BF7" s="47">
        <v>74.099999999999994</v>
      </c>
      <c r="BG7" s="47"/>
      <c r="BH7" s="47"/>
      <c r="BI7" s="47"/>
      <c r="BJ7" s="47"/>
      <c r="BK7" s="41"/>
      <c r="BL7" s="8">
        <f t="shared" si="4"/>
        <v>8.4358824408450485E-10</v>
      </c>
      <c r="BM7"/>
      <c r="BN7"/>
      <c r="BO7"/>
      <c r="BP7"/>
      <c r="BR7" s="8"/>
    </row>
    <row r="8" spans="1:70" ht="20.25" customHeight="1" x14ac:dyDescent="0.25">
      <c r="A8" s="2" t="s">
        <v>21</v>
      </c>
      <c r="B8" s="30">
        <v>3.67</v>
      </c>
      <c r="C8" s="2">
        <v>1</v>
      </c>
      <c r="D8" s="2">
        <v>20</v>
      </c>
      <c r="E8" s="2">
        <v>20</v>
      </c>
      <c r="F8" s="22">
        <f t="shared" si="0"/>
        <v>3.3452438000000001E-26</v>
      </c>
      <c r="G8" s="22">
        <f t="shared" si="1"/>
        <v>1.82187712E-29</v>
      </c>
      <c r="H8" s="24">
        <f t="shared" si="5"/>
        <v>1836.1522647586683</v>
      </c>
      <c r="I8" s="24">
        <f t="shared" si="6"/>
        <v>1</v>
      </c>
      <c r="J8" s="26">
        <f t="shared" si="7"/>
        <v>3.3434219228800004E-26</v>
      </c>
      <c r="K8" s="3">
        <v>42.393999999999998</v>
      </c>
      <c r="L8" s="11">
        <f>0.0726*EXP(22400/(8.3144598*N8))/1000</f>
        <v>1.5609788980515524E-3</v>
      </c>
      <c r="M8" s="27">
        <f t="shared" si="8"/>
        <v>1.1388224575788635E-3</v>
      </c>
      <c r="N8" s="3">
        <v>878.1</v>
      </c>
      <c r="O8" s="5">
        <f>K8/V8</f>
        <v>2.828152101400934E-5</v>
      </c>
      <c r="P8" s="5">
        <v>2.8800000000000001E-4</v>
      </c>
      <c r="R8" s="6">
        <v>7.5999999999999996E-11</v>
      </c>
      <c r="S8" s="6">
        <v>1.81E-10</v>
      </c>
      <c r="T8" s="30">
        <f t="shared" si="9"/>
        <v>8.4646858873030055</v>
      </c>
      <c r="U8" s="6">
        <f t="shared" si="10"/>
        <v>2.5699999999999999E-10</v>
      </c>
      <c r="V8" s="6">
        <v>1499000</v>
      </c>
      <c r="W8" s="6">
        <f t="shared" si="11"/>
        <v>1.958071889837766E-13</v>
      </c>
      <c r="X8" s="6">
        <f t="shared" si="12"/>
        <v>2042.3974499999999</v>
      </c>
      <c r="Y8" s="4">
        <v>2787.9043499999998</v>
      </c>
      <c r="Z8" s="4">
        <v>-0.84899999999999998</v>
      </c>
      <c r="AA8" s="4">
        <v>1.8842000000000001</v>
      </c>
      <c r="AB8" s="4">
        <v>-4.328E-4</v>
      </c>
      <c r="AC8" s="4">
        <v>1</v>
      </c>
      <c r="AD8" s="4">
        <v>1</v>
      </c>
      <c r="AE8" s="11">
        <f t="shared" si="13"/>
        <v>2</v>
      </c>
      <c r="AF8" s="37">
        <v>0.62592999999999999</v>
      </c>
      <c r="AG8" s="96"/>
      <c r="AH8" s="96"/>
      <c r="AI8" s="96"/>
      <c r="AJ8" s="96"/>
      <c r="AK8" s="38">
        <v>1565153277.313864</v>
      </c>
      <c r="AL8" s="94"/>
      <c r="AM8" s="94"/>
      <c r="AN8" s="94"/>
      <c r="AO8" s="94"/>
      <c r="AP8" s="39">
        <f t="shared" ref="AP8:AP15" si="14">AF8/AK8</f>
        <v>3.9991610347213343E-10</v>
      </c>
      <c r="AQ8" s="39" t="e">
        <f t="shared" ref="AQ8:AQ15" si="15">(AP8-AO8)/AO8</f>
        <v>#DIV/0!</v>
      </c>
      <c r="AR8" s="44">
        <f t="shared" ref="AR8:AR15" si="16">AJ8/AU8</f>
        <v>0</v>
      </c>
      <c r="AS8" s="44"/>
      <c r="AT8" s="44"/>
      <c r="AU8" s="45">
        <f t="shared" si="2"/>
        <v>2042.3974499999999</v>
      </c>
      <c r="AV8" s="46" t="e">
        <f t="shared" ref="AV8:AV15" si="17">AF8/AR8</f>
        <v>#DIV/0!</v>
      </c>
      <c r="AW8" s="46"/>
      <c r="AX8" s="46"/>
      <c r="AY8" s="46"/>
      <c r="AZ8" s="46"/>
      <c r="BA8" s="40">
        <f t="shared" si="3"/>
        <v>0</v>
      </c>
      <c r="BB8" s="40"/>
      <c r="BC8" s="40"/>
      <c r="BD8" s="40"/>
      <c r="BE8" s="40"/>
      <c r="BF8" s="47">
        <v>65.02</v>
      </c>
      <c r="BG8" s="47"/>
      <c r="BH8" s="47"/>
      <c r="BI8" s="47"/>
      <c r="BJ8" s="47"/>
      <c r="BK8" s="41" t="e">
        <f t="shared" ref="BK8:BK15" si="18">AF8/(BA8)</f>
        <v>#DIV/0!</v>
      </c>
      <c r="BL8" s="8">
        <f t="shared" si="4"/>
        <v>5.0986492855295244E-10</v>
      </c>
      <c r="BM8"/>
      <c r="BN8"/>
      <c r="BO8"/>
      <c r="BP8"/>
      <c r="BR8" s="8"/>
    </row>
    <row r="9" spans="1:70" ht="20.25" customHeight="1" x14ac:dyDescent="0.25">
      <c r="A9" s="2" t="s">
        <v>22</v>
      </c>
      <c r="B9" s="30">
        <v>3.94</v>
      </c>
      <c r="C9" s="2">
        <v>1</v>
      </c>
      <c r="D9" s="2">
        <v>28</v>
      </c>
      <c r="E9" s="2">
        <v>28</v>
      </c>
      <c r="F9" s="22">
        <f t="shared" si="0"/>
        <v>4.6833413199999998E-26</v>
      </c>
      <c r="G9" s="22">
        <f t="shared" si="1"/>
        <v>2.5506279679999997E-29</v>
      </c>
      <c r="H9" s="24">
        <f t="shared" si="5"/>
        <v>1836.1522647586683</v>
      </c>
      <c r="I9" s="24">
        <f t="shared" si="6"/>
        <v>1</v>
      </c>
      <c r="J9" s="26">
        <f t="shared" si="7"/>
        <v>4.680790692032E-26</v>
      </c>
      <c r="K9" s="3">
        <v>58.44</v>
      </c>
      <c r="L9" s="11">
        <f>0.0893*EXP(22000/(8.3144598*N9))/1000</f>
        <v>1.0321390978018604E-3</v>
      </c>
      <c r="M9" s="27">
        <f t="shared" si="8"/>
        <v>9.2494103500901812E-4</v>
      </c>
      <c r="N9" s="3">
        <v>1081.1500000000001</v>
      </c>
      <c r="O9" s="5">
        <v>3.765E-5</v>
      </c>
      <c r="P9" s="5">
        <v>3.5E-4</v>
      </c>
      <c r="R9" s="6">
        <v>1.02E-10</v>
      </c>
      <c r="S9" s="6">
        <v>1.81E-10</v>
      </c>
      <c r="T9" s="30">
        <f t="shared" si="9"/>
        <v>6.520210208362041</v>
      </c>
      <c r="U9" s="6">
        <f t="shared" si="10"/>
        <v>2.8300000000000001E-10</v>
      </c>
      <c r="V9" s="6">
        <v>1560000</v>
      </c>
      <c r="W9" s="6">
        <f t="shared" si="11"/>
        <v>2.529224151318515E-13</v>
      </c>
      <c r="X9" s="6">
        <f t="shared" si="12"/>
        <v>1743.6799999999998</v>
      </c>
      <c r="Y9" s="4">
        <v>2732.9322499999998</v>
      </c>
      <c r="Z9" s="4">
        <v>-0.91500000000000004</v>
      </c>
      <c r="AA9" s="4">
        <v>2.1393</v>
      </c>
      <c r="AB9" s="4">
        <v>-5.4299999999999997E-4</v>
      </c>
      <c r="AC9" s="4">
        <v>1</v>
      </c>
      <c r="AD9" s="4">
        <v>1</v>
      </c>
      <c r="AE9" s="11">
        <f t="shared" si="13"/>
        <v>2</v>
      </c>
      <c r="AF9" s="37">
        <v>0.47705461868503202</v>
      </c>
      <c r="AG9" s="96">
        <v>0.54204679187053895</v>
      </c>
      <c r="AH9" s="96">
        <v>0.45362362192157701</v>
      </c>
      <c r="AI9" s="96"/>
      <c r="AJ9" s="96">
        <v>0.35512727904679298</v>
      </c>
      <c r="AK9" s="38">
        <v>1081717855.4526589</v>
      </c>
      <c r="AL9" s="94">
        <v>4.0269415584248401E-10</v>
      </c>
      <c r="AM9" s="94">
        <v>3.3700334406471002E-10</v>
      </c>
      <c r="AN9" s="94">
        <v>2.63829030993587E-10</v>
      </c>
      <c r="AO9" s="94">
        <v>7.0750000000000001E-11</v>
      </c>
      <c r="AP9" s="39">
        <f t="shared" si="14"/>
        <v>4.4101575681710674E-10</v>
      </c>
      <c r="AQ9" s="39">
        <f t="shared" si="15"/>
        <v>5.2334382588990351</v>
      </c>
      <c r="AR9" s="44">
        <f t="shared" si="16"/>
        <v>2.0366539677394533E-4</v>
      </c>
      <c r="AS9" s="44"/>
      <c r="AT9" s="44"/>
      <c r="AU9" s="45">
        <f t="shared" si="2"/>
        <v>1743.6799999999998</v>
      </c>
      <c r="AV9" s="46">
        <f t="shared" si="17"/>
        <v>2342.3449748536814</v>
      </c>
      <c r="AW9" s="46"/>
      <c r="AX9" s="46"/>
      <c r="AY9" s="46"/>
      <c r="AZ9" s="46"/>
      <c r="BA9" s="40">
        <f t="shared" si="3"/>
        <v>5.1009376478999271E-3</v>
      </c>
      <c r="BB9" s="40"/>
      <c r="BC9" s="40"/>
      <c r="BD9" s="40"/>
      <c r="BE9" s="40"/>
      <c r="BF9" s="47">
        <v>69.62</v>
      </c>
      <c r="BG9" s="47"/>
      <c r="BH9" s="47"/>
      <c r="BI9" s="47"/>
      <c r="BJ9" s="47"/>
      <c r="BK9" s="41">
        <f t="shared" si="18"/>
        <v>93.522926884126292</v>
      </c>
      <c r="BL9" s="8">
        <f t="shared" si="4"/>
        <v>3.7944326183477726E-10</v>
      </c>
      <c r="BM9"/>
      <c r="BN9"/>
      <c r="BO9"/>
      <c r="BP9"/>
      <c r="BR9" s="8"/>
    </row>
    <row r="10" spans="1:70" ht="20.25" customHeight="1" x14ac:dyDescent="0.25">
      <c r="A10" s="2" t="s">
        <v>23</v>
      </c>
      <c r="B10" s="30">
        <v>3.34</v>
      </c>
      <c r="C10" s="2">
        <v>1</v>
      </c>
      <c r="D10" s="2">
        <v>36</v>
      </c>
      <c r="E10" s="2">
        <v>36</v>
      </c>
      <c r="F10" s="22">
        <f t="shared" si="0"/>
        <v>6.0214388399999996E-26</v>
      </c>
      <c r="G10" s="22">
        <f t="shared" si="1"/>
        <v>3.2793788159999999E-29</v>
      </c>
      <c r="H10" s="24">
        <f t="shared" si="5"/>
        <v>1836.1522647586683</v>
      </c>
      <c r="I10" s="24">
        <f t="shared" si="6"/>
        <v>1</v>
      </c>
      <c r="J10" s="26">
        <f t="shared" si="7"/>
        <v>6.0181594611840001E-26</v>
      </c>
      <c r="K10" s="3">
        <v>74.551299999999998</v>
      </c>
      <c r="L10" s="11">
        <f>0.0708*EXP(23900/(8.3144598*N10))/1000</f>
        <v>1.1078669041234444E-3</v>
      </c>
      <c r="M10" s="27">
        <f t="shared" si="8"/>
        <v>9.5680045926422035E-4</v>
      </c>
      <c r="N10" s="3">
        <v>1045.1500000000001</v>
      </c>
      <c r="O10" s="5">
        <v>4.884E-5</v>
      </c>
      <c r="P10" s="5">
        <v>3.8200000000000002E-4</v>
      </c>
      <c r="R10" s="6">
        <v>1.3799999999999999E-10</v>
      </c>
      <c r="S10" s="6">
        <v>1.81E-10</v>
      </c>
      <c r="T10" s="30">
        <f t="shared" si="9"/>
        <v>5.0222539112785745</v>
      </c>
      <c r="U10" s="6">
        <f t="shared" si="10"/>
        <v>3.1899999999999998E-10</v>
      </c>
      <c r="V10" s="6">
        <v>1530000</v>
      </c>
      <c r="W10" s="6">
        <f t="shared" si="11"/>
        <v>3.0266987335177441E-13</v>
      </c>
      <c r="X10" s="6">
        <f t="shared" si="12"/>
        <v>1597.1839999999997</v>
      </c>
      <c r="Y10" s="4">
        <v>2514.8256999999999</v>
      </c>
      <c r="Z10" s="4">
        <v>-0.878</v>
      </c>
      <c r="AA10" s="4">
        <v>2.1358999999999999</v>
      </c>
      <c r="AB10" s="4">
        <v>-5.8310000000000002E-4</v>
      </c>
      <c r="AC10" s="4">
        <v>1</v>
      </c>
      <c r="AD10" s="4">
        <v>1</v>
      </c>
      <c r="AE10" s="11">
        <f t="shared" si="13"/>
        <v>2</v>
      </c>
      <c r="AF10" s="37">
        <v>0.38874099999999989</v>
      </c>
      <c r="AG10" s="96"/>
      <c r="AH10" s="96"/>
      <c r="AI10" s="96"/>
      <c r="AJ10" s="96"/>
      <c r="AK10" s="38">
        <v>804148398.82862413</v>
      </c>
      <c r="AL10" s="94"/>
      <c r="AM10" s="94"/>
      <c r="AN10" s="94"/>
      <c r="AO10" s="94"/>
      <c r="AP10" s="39">
        <f t="shared" si="14"/>
        <v>4.8341947899948041E-10</v>
      </c>
      <c r="AQ10" s="39" t="e">
        <f t="shared" si="15"/>
        <v>#DIV/0!</v>
      </c>
      <c r="AR10" s="44">
        <f t="shared" si="16"/>
        <v>0</v>
      </c>
      <c r="AS10" s="44"/>
      <c r="AT10" s="44"/>
      <c r="AU10" s="45">
        <f t="shared" si="2"/>
        <v>1597.1839999999997</v>
      </c>
      <c r="AV10" s="46" t="e">
        <f t="shared" si="17"/>
        <v>#DIV/0!</v>
      </c>
      <c r="AW10" s="46"/>
      <c r="AX10" s="46"/>
      <c r="AY10" s="46"/>
      <c r="AZ10" s="46"/>
      <c r="BA10" s="40">
        <f t="shared" si="3"/>
        <v>0</v>
      </c>
      <c r="BB10" s="40"/>
      <c r="BC10" s="40"/>
      <c r="BD10" s="40"/>
      <c r="BE10" s="40"/>
      <c r="BF10" s="47">
        <v>73.599999999999994</v>
      </c>
      <c r="BG10" s="47"/>
      <c r="BH10" s="47"/>
      <c r="BI10" s="47"/>
      <c r="BJ10" s="47"/>
      <c r="BK10" s="41" t="e">
        <f t="shared" si="18"/>
        <v>#DIV/0!</v>
      </c>
      <c r="BL10" s="8">
        <f t="shared" si="4"/>
        <v>4.5335791979318428E-10</v>
      </c>
      <c r="BM10"/>
      <c r="BN10"/>
      <c r="BO10"/>
      <c r="BP10"/>
      <c r="BR10" s="8"/>
    </row>
    <row r="11" spans="1:70" ht="20.25" customHeight="1" x14ac:dyDescent="0.25">
      <c r="A11" s="2" t="s">
        <v>24</v>
      </c>
      <c r="B11" s="30">
        <v>0.52</v>
      </c>
      <c r="C11" s="2">
        <v>1</v>
      </c>
      <c r="D11" s="2">
        <v>13</v>
      </c>
      <c r="E11" s="2">
        <v>12</v>
      </c>
      <c r="F11" s="22">
        <f t="shared" si="0"/>
        <v>2.17440847E-26</v>
      </c>
      <c r="G11" s="22">
        <f t="shared" si="1"/>
        <v>1.0931262719999999E-29</v>
      </c>
      <c r="H11" s="24">
        <f t="shared" si="5"/>
        <v>2154.9286996126039</v>
      </c>
      <c r="I11" s="24">
        <f t="shared" si="6"/>
        <v>1.0833333333333333</v>
      </c>
      <c r="J11" s="26">
        <f t="shared" si="7"/>
        <v>2.1733153437280001E-26</v>
      </c>
      <c r="K11" s="3">
        <v>47.01</v>
      </c>
      <c r="L11" s="20">
        <f>10^(-8.12+11500/N11+639000/N11^2)/1000</f>
        <v>1.5280162636820758</v>
      </c>
      <c r="M11" s="27">
        <f t="shared" si="8"/>
        <v>9.3444844180722323E-4</v>
      </c>
      <c r="N11" s="3">
        <v>1070.1500000000001</v>
      </c>
      <c r="O11" s="5">
        <v>2.4000000000000001E-5</v>
      </c>
      <c r="P11" s="5">
        <v>7.4200000000000001E-6</v>
      </c>
      <c r="R11" s="10">
        <v>3.3999999999999999E-11</v>
      </c>
      <c r="S11" s="6">
        <v>1.3300000000000001E-10</v>
      </c>
      <c r="T11" s="30">
        <f t="shared" si="9"/>
        <v>13.322883633746624</v>
      </c>
      <c r="U11" s="6">
        <f t="shared" si="10"/>
        <v>1.6699999999999999E-10</v>
      </c>
      <c r="V11" s="6">
        <v>1960000</v>
      </c>
      <c r="W11" s="6">
        <f t="shared" si="11"/>
        <v>1.0078663394566488E-13</v>
      </c>
      <c r="X11" s="6">
        <f t="shared" si="12"/>
        <v>2547.8000000000002</v>
      </c>
      <c r="Y11" s="7">
        <v>2547.8000000000002</v>
      </c>
      <c r="Z11" s="4">
        <v>0</v>
      </c>
      <c r="AA11" s="4">
        <v>1.972</v>
      </c>
      <c r="AB11" s="8">
        <v>-1.45E-5</v>
      </c>
      <c r="AC11" s="4">
        <v>1</v>
      </c>
      <c r="AD11" s="4">
        <v>2</v>
      </c>
      <c r="AE11" s="11">
        <f t="shared" si="13"/>
        <v>3</v>
      </c>
      <c r="AF11" s="37">
        <v>0.79925905600000002</v>
      </c>
      <c r="AG11" s="96"/>
      <c r="AH11" s="96"/>
      <c r="AI11" s="96"/>
      <c r="AJ11" s="96"/>
      <c r="AK11" s="38">
        <v>3112571177.1964269</v>
      </c>
      <c r="AL11" s="94"/>
      <c r="AM11" s="94"/>
      <c r="AN11" s="94"/>
      <c r="AO11" s="94"/>
      <c r="AP11" s="39">
        <f t="shared" si="14"/>
        <v>2.5678418596676501E-10</v>
      </c>
      <c r="AQ11" s="39" t="e">
        <f t="shared" si="15"/>
        <v>#DIV/0!</v>
      </c>
      <c r="AR11" s="44">
        <f t="shared" si="16"/>
        <v>0</v>
      </c>
      <c r="AS11" s="44"/>
      <c r="AT11" s="44"/>
      <c r="AU11" s="45">
        <f t="shared" si="2"/>
        <v>2547.8000000000002</v>
      </c>
      <c r="AV11" s="46" t="e">
        <f t="shared" si="17"/>
        <v>#DIV/0!</v>
      </c>
      <c r="AW11" s="46"/>
      <c r="AX11" s="46"/>
      <c r="AY11" s="46"/>
      <c r="AZ11" s="46"/>
      <c r="BA11" s="40">
        <f t="shared" si="3"/>
        <v>0</v>
      </c>
      <c r="BB11" s="40"/>
      <c r="BC11" s="40"/>
      <c r="BD11" s="40"/>
      <c r="BE11" s="40"/>
      <c r="BF11" s="47">
        <v>87.9</v>
      </c>
      <c r="BG11" s="47"/>
      <c r="BH11" s="47"/>
      <c r="BI11" s="47"/>
      <c r="BJ11" s="47"/>
      <c r="BK11" s="41" t="e">
        <f t="shared" si="18"/>
        <v>#DIV/0!</v>
      </c>
      <c r="BL11" s="8"/>
      <c r="BM11"/>
      <c r="BN11"/>
      <c r="BO11"/>
      <c r="BP11"/>
      <c r="BR11" s="8"/>
    </row>
    <row r="12" spans="1:70" ht="20.25" customHeight="1" x14ac:dyDescent="0.25">
      <c r="A12" s="2" t="s">
        <v>25</v>
      </c>
      <c r="B12" s="30">
        <v>0.02</v>
      </c>
      <c r="C12" s="2">
        <v>1</v>
      </c>
      <c r="D12" s="2">
        <v>21</v>
      </c>
      <c r="E12" s="2">
        <v>20</v>
      </c>
      <c r="F12" s="22">
        <f t="shared" si="0"/>
        <v>3.51250599E-26</v>
      </c>
      <c r="G12" s="22">
        <f t="shared" si="1"/>
        <v>1.82187712E-29</v>
      </c>
      <c r="H12" s="24">
        <f t="shared" si="5"/>
        <v>2024.3578718964318</v>
      </c>
      <c r="I12" s="24">
        <f t="shared" si="6"/>
        <v>1.05</v>
      </c>
      <c r="J12" s="26">
        <f t="shared" si="7"/>
        <v>3.5106841128800003E-26</v>
      </c>
      <c r="K12" s="11">
        <v>62.3018</v>
      </c>
      <c r="L12" s="11">
        <f>0.187*EXP(32100/(8.3144598*N12))/1000</f>
        <v>2.3159210132636244E-3</v>
      </c>
      <c r="M12" s="27">
        <f t="shared" si="8"/>
        <v>6.5180550123843041E-4</v>
      </c>
      <c r="N12" s="11">
        <v>1534.2</v>
      </c>
      <c r="O12" s="5">
        <f t="shared" ref="O12:O17" si="19">K12/V12</f>
        <v>2.5574620069823672E-5</v>
      </c>
      <c r="P12" s="5">
        <v>2.1599999999999999E-4</v>
      </c>
      <c r="R12" s="6">
        <v>7.1999999999999997E-11</v>
      </c>
      <c r="S12" s="6">
        <v>1.3300000000000001E-10</v>
      </c>
      <c r="T12" s="30">
        <f t="shared" si="9"/>
        <v>6.7540445787782737</v>
      </c>
      <c r="U12" s="6">
        <f t="shared" si="10"/>
        <v>2.0500000000000002E-10</v>
      </c>
      <c r="V12" s="6">
        <f t="shared" ref="V12:V19" si="20">(AA12+N12*AB12)*1000000</f>
        <v>2436079.2000000002</v>
      </c>
      <c r="W12" s="6">
        <f t="shared" si="11"/>
        <v>1.1114044268026775E-13</v>
      </c>
      <c r="X12" s="6">
        <f t="shared" si="12"/>
        <v>2175.6</v>
      </c>
      <c r="Y12" s="7">
        <v>2175.6</v>
      </c>
      <c r="Z12" s="4">
        <v>0</v>
      </c>
      <c r="AA12" s="8">
        <v>3.24</v>
      </c>
      <c r="AB12" s="8">
        <v>-5.2400000000000005E-4</v>
      </c>
      <c r="AC12" s="4">
        <v>1</v>
      </c>
      <c r="AD12" s="4">
        <v>2</v>
      </c>
      <c r="AE12" s="11">
        <f t="shared" si="13"/>
        <v>3</v>
      </c>
      <c r="AF12" s="37">
        <v>0.65067779999999997</v>
      </c>
      <c r="AG12" s="96"/>
      <c r="AH12" s="96"/>
      <c r="AI12" s="96"/>
      <c r="AJ12" s="96"/>
      <c r="AK12" s="38">
        <v>2691006936.2557101</v>
      </c>
      <c r="AL12" s="94"/>
      <c r="AM12" s="94"/>
      <c r="AN12" s="94"/>
      <c r="AO12" s="94"/>
      <c r="AP12" s="39">
        <f t="shared" si="14"/>
        <v>2.4179714709519052E-10</v>
      </c>
      <c r="AQ12" s="39" t="e">
        <f t="shared" si="15"/>
        <v>#DIV/0!</v>
      </c>
      <c r="AR12" s="44">
        <f t="shared" si="16"/>
        <v>0</v>
      </c>
      <c r="AS12" s="44"/>
      <c r="AT12" s="44"/>
      <c r="AU12" s="45">
        <f t="shared" si="2"/>
        <v>2175.6</v>
      </c>
      <c r="AV12" s="46" t="e">
        <f t="shared" si="17"/>
        <v>#DIV/0!</v>
      </c>
      <c r="AW12" s="46"/>
      <c r="AX12" s="46"/>
      <c r="AY12" s="46"/>
      <c r="AZ12" s="46"/>
      <c r="BA12" s="40">
        <f t="shared" si="3"/>
        <v>0</v>
      </c>
      <c r="BB12" s="40"/>
      <c r="BC12" s="40"/>
      <c r="BD12" s="40"/>
      <c r="BE12" s="40"/>
      <c r="BF12" s="47">
        <v>94.9</v>
      </c>
      <c r="BG12" s="47"/>
      <c r="BH12" s="47"/>
      <c r="BI12" s="47"/>
      <c r="BJ12" s="47"/>
      <c r="BK12" s="41" t="e">
        <f t="shared" si="18"/>
        <v>#DIV/0!</v>
      </c>
      <c r="BL12" s="8">
        <f t="shared" ref="BL12:BL17" si="21">L12/(V12/1000*(Y12+Z12*N12))</f>
        <v>4.369716780765129E-10</v>
      </c>
      <c r="BM12"/>
      <c r="BN12"/>
      <c r="BO12"/>
      <c r="BP12"/>
      <c r="BR12" s="8"/>
    </row>
    <row r="13" spans="1:70" ht="20.25" customHeight="1" x14ac:dyDescent="0.25">
      <c r="A13" s="2" t="s">
        <v>26</v>
      </c>
      <c r="B13" s="30">
        <v>0.12</v>
      </c>
      <c r="C13" s="2">
        <v>1</v>
      </c>
      <c r="D13" s="2">
        <v>29</v>
      </c>
      <c r="E13" s="2">
        <v>28</v>
      </c>
      <c r="F13" s="22">
        <f t="shared" si="0"/>
        <v>4.8506035099999997E-26</v>
      </c>
      <c r="G13" s="22">
        <f t="shared" si="1"/>
        <v>2.5506279679999997E-29</v>
      </c>
      <c r="H13" s="24">
        <f t="shared" si="5"/>
        <v>1969.6480289056633</v>
      </c>
      <c r="I13" s="24">
        <f t="shared" si="6"/>
        <v>1.0357142857142858</v>
      </c>
      <c r="J13" s="26">
        <f t="shared" si="7"/>
        <v>4.8480528820319999E-26</v>
      </c>
      <c r="K13" s="11">
        <v>78.074799999999996</v>
      </c>
      <c r="L13" s="11">
        <f>0.1*EXP(47600/(8.3144598*N13))/1000</f>
        <v>2.9475212895614506E-3</v>
      </c>
      <c r="M13" s="27">
        <f t="shared" si="8"/>
        <v>5.9101654846335696E-4</v>
      </c>
      <c r="N13" s="11">
        <v>1692</v>
      </c>
      <c r="O13" s="5">
        <f t="shared" si="19"/>
        <v>3.1001402462170846E-5</v>
      </c>
      <c r="P13" s="5">
        <v>1.55E-4</v>
      </c>
      <c r="R13" s="6">
        <v>1E-10</v>
      </c>
      <c r="S13" s="6">
        <v>1.3300000000000001E-10</v>
      </c>
      <c r="T13" s="30">
        <f t="shared" si="9"/>
        <v>5.0822029299481404</v>
      </c>
      <c r="U13" s="6">
        <f t="shared" si="10"/>
        <v>2.3300000000000002E-10</v>
      </c>
      <c r="V13" s="6">
        <f t="shared" si="20"/>
        <v>2518428</v>
      </c>
      <c r="W13" s="6">
        <f t="shared" si="11"/>
        <v>1.7973340709187075E-13</v>
      </c>
      <c r="X13" s="6">
        <f t="shared" si="12"/>
        <v>1710.3</v>
      </c>
      <c r="Y13" s="7">
        <v>1710.3</v>
      </c>
      <c r="Z13" s="4">
        <v>0</v>
      </c>
      <c r="AA13" s="8">
        <v>3.18</v>
      </c>
      <c r="AB13" s="8">
        <v>-3.9100000000000002E-4</v>
      </c>
      <c r="AC13" s="4">
        <v>1</v>
      </c>
      <c r="AD13" s="4">
        <v>2</v>
      </c>
      <c r="AE13" s="11">
        <f t="shared" si="13"/>
        <v>3</v>
      </c>
      <c r="AF13" s="37">
        <v>0.56480320000000006</v>
      </c>
      <c r="AG13" s="96"/>
      <c r="AH13" s="96"/>
      <c r="AI13" s="96"/>
      <c r="AJ13" s="96"/>
      <c r="AK13" s="38">
        <v>1837367566.4998081</v>
      </c>
      <c r="AL13" s="94"/>
      <c r="AM13" s="94"/>
      <c r="AN13" s="94"/>
      <c r="AO13" s="94"/>
      <c r="AP13" s="39">
        <f t="shared" si="14"/>
        <v>3.0739804614922655E-10</v>
      </c>
      <c r="AQ13" s="39" t="e">
        <f t="shared" si="15"/>
        <v>#DIV/0!</v>
      </c>
      <c r="AR13" s="44">
        <f t="shared" si="16"/>
        <v>0</v>
      </c>
      <c r="AS13" s="44"/>
      <c r="AT13" s="44"/>
      <c r="AU13" s="45">
        <f t="shared" si="2"/>
        <v>1710.3</v>
      </c>
      <c r="AV13" s="46" t="e">
        <f t="shared" si="17"/>
        <v>#DIV/0!</v>
      </c>
      <c r="AW13" s="46"/>
      <c r="AX13" s="46"/>
      <c r="AY13" s="46"/>
      <c r="AZ13" s="46"/>
      <c r="BA13" s="40">
        <f t="shared" si="3"/>
        <v>0</v>
      </c>
      <c r="BB13" s="40"/>
      <c r="BC13" s="40"/>
      <c r="BD13" s="40"/>
      <c r="BE13" s="40"/>
      <c r="BF13" s="41">
        <v>99.914000000000001</v>
      </c>
      <c r="BG13" s="41"/>
      <c r="BH13" s="41"/>
      <c r="BI13" s="41"/>
      <c r="BJ13" s="41"/>
      <c r="BK13" s="41" t="e">
        <f t="shared" si="18"/>
        <v>#DIV/0!</v>
      </c>
      <c r="BL13" s="8">
        <f t="shared" si="21"/>
        <v>6.843135125098611E-10</v>
      </c>
      <c r="BM13"/>
      <c r="BN13"/>
      <c r="BO13"/>
      <c r="BP13"/>
      <c r="BR13" s="8"/>
    </row>
    <row r="14" spans="1:70" ht="20.25" customHeight="1" x14ac:dyDescent="0.25">
      <c r="A14" s="2" t="s">
        <v>27</v>
      </c>
      <c r="B14" s="30"/>
      <c r="C14" s="2">
        <v>1</v>
      </c>
      <c r="D14" s="2">
        <v>47</v>
      </c>
      <c r="E14" s="2">
        <v>46</v>
      </c>
      <c r="F14" s="22">
        <f t="shared" si="0"/>
        <v>7.8613229299999995E-26</v>
      </c>
      <c r="G14" s="22">
        <f t="shared" si="1"/>
        <v>4.1903173759999999E-29</v>
      </c>
      <c r="H14" s="24">
        <f t="shared" si="5"/>
        <v>1916.8527187390821</v>
      </c>
      <c r="I14" s="24">
        <f t="shared" si="6"/>
        <v>1.0217391304347827</v>
      </c>
      <c r="J14" s="26">
        <f t="shared" si="7"/>
        <v>7.8571326126239999E-26</v>
      </c>
      <c r="K14" s="11">
        <v>125.6168</v>
      </c>
      <c r="L14" s="11">
        <f>0.0703*EXP(54500/(8.3144598*N14))/1000</f>
        <v>3.0018345111633513E-3</v>
      </c>
      <c r="M14" s="27">
        <f t="shared" si="8"/>
        <v>5.7273768613974802E-4</v>
      </c>
      <c r="N14" s="11">
        <v>1746</v>
      </c>
      <c r="O14" s="5">
        <f t="shared" si="19"/>
        <v>3.6213810492182497E-5</v>
      </c>
      <c r="P14" s="5">
        <v>2.13E-4</v>
      </c>
      <c r="R14" s="6">
        <v>1.1800000000000001E-10</v>
      </c>
      <c r="S14" s="6">
        <v>1.3300000000000001E-10</v>
      </c>
      <c r="T14" s="30">
        <f t="shared" si="9"/>
        <v>4.4189303694811981</v>
      </c>
      <c r="U14" s="6">
        <f t="shared" si="10"/>
        <v>2.5100000000000001E-10</v>
      </c>
      <c r="V14" s="6">
        <f t="shared" si="20"/>
        <v>3468754</v>
      </c>
      <c r="W14" s="6">
        <f t="shared" si="11"/>
        <v>2.1902804769358307E-13</v>
      </c>
      <c r="X14" s="6">
        <f t="shared" si="12"/>
        <v>1398.6</v>
      </c>
      <c r="Y14" s="7">
        <v>1398.6</v>
      </c>
      <c r="Z14" s="4">
        <v>0</v>
      </c>
      <c r="AA14" s="8">
        <v>4.78</v>
      </c>
      <c r="AB14" s="8">
        <v>-7.5100000000000004E-4</v>
      </c>
      <c r="AC14" s="4">
        <v>1</v>
      </c>
      <c r="AD14" s="4">
        <v>2</v>
      </c>
      <c r="AE14" s="11">
        <f t="shared" si="13"/>
        <v>3</v>
      </c>
      <c r="AF14" s="37">
        <v>0.39041500000000001</v>
      </c>
      <c r="AG14" s="96"/>
      <c r="AH14" s="96"/>
      <c r="AI14" s="96"/>
      <c r="AJ14" s="96"/>
      <c r="AK14" s="38">
        <v>1274480629.7023959</v>
      </c>
      <c r="AL14" s="94"/>
      <c r="AM14" s="94"/>
      <c r="AN14" s="94"/>
      <c r="AO14" s="94"/>
      <c r="AP14" s="39">
        <f t="shared" si="14"/>
        <v>3.0633262750424528E-10</v>
      </c>
      <c r="AQ14" s="39" t="e">
        <f t="shared" si="15"/>
        <v>#DIV/0!</v>
      </c>
      <c r="AR14" s="44">
        <f t="shared" si="16"/>
        <v>0</v>
      </c>
      <c r="AS14" s="44"/>
      <c r="AT14" s="44"/>
      <c r="AU14" s="45">
        <f t="shared" si="2"/>
        <v>1398.6</v>
      </c>
      <c r="AV14" s="46" t="e">
        <f t="shared" si="17"/>
        <v>#DIV/0!</v>
      </c>
      <c r="AW14" s="46"/>
      <c r="AX14" s="46"/>
      <c r="AY14" s="46"/>
      <c r="AZ14" s="46"/>
      <c r="BA14" s="40">
        <f t="shared" si="3"/>
        <v>0</v>
      </c>
      <c r="BB14" s="40"/>
      <c r="BC14" s="40"/>
      <c r="BD14" s="40"/>
      <c r="BE14" s="40"/>
      <c r="BF14" s="47">
        <v>99</v>
      </c>
      <c r="BG14" s="47"/>
      <c r="BH14" s="47"/>
      <c r="BI14" s="47"/>
      <c r="BJ14" s="47"/>
      <c r="BK14" s="41" t="e">
        <f t="shared" si="18"/>
        <v>#DIV/0!</v>
      </c>
      <c r="BL14" s="8">
        <f t="shared" si="21"/>
        <v>6.1875642429403127E-10</v>
      </c>
      <c r="BM14"/>
      <c r="BN14"/>
      <c r="BO14"/>
      <c r="BP14"/>
      <c r="BR14" s="8"/>
    </row>
    <row r="15" spans="1:70" ht="20.25" customHeight="1" x14ac:dyDescent="0.25">
      <c r="A15" s="2" t="s">
        <v>28</v>
      </c>
      <c r="B15" s="30">
        <v>0.8</v>
      </c>
      <c r="C15" s="2">
        <v>1</v>
      </c>
      <c r="D15" s="2">
        <v>29</v>
      </c>
      <c r="E15" s="2">
        <v>28</v>
      </c>
      <c r="F15" s="22">
        <f t="shared" si="0"/>
        <v>4.8506035099999997E-26</v>
      </c>
      <c r="G15" s="22">
        <f t="shared" si="1"/>
        <v>2.5506279679999997E-29</v>
      </c>
      <c r="H15" s="24">
        <f t="shared" si="5"/>
        <v>1969.6480289056633</v>
      </c>
      <c r="I15" s="24">
        <f t="shared" si="6"/>
        <v>1.0357142857142858</v>
      </c>
      <c r="J15" s="26">
        <f t="shared" si="7"/>
        <v>4.8480528820319999E-26</v>
      </c>
      <c r="K15" s="11">
        <v>95.210999999999999</v>
      </c>
      <c r="L15" s="11">
        <f>0.18*EXP(20500/(8.3144598*N15))/1000</f>
        <v>2.1885964575678765E-3</v>
      </c>
      <c r="M15" s="27">
        <f t="shared" si="8"/>
        <v>1.0131712259371835E-3</v>
      </c>
      <c r="N15" s="11">
        <v>987</v>
      </c>
      <c r="O15" s="5">
        <f t="shared" si="19"/>
        <v>5.651027632231827E-5</v>
      </c>
      <c r="P15" s="5">
        <v>1.8000000000000001E-4</v>
      </c>
      <c r="R15" s="6">
        <v>7.1999999999999997E-11</v>
      </c>
      <c r="S15" s="6">
        <v>1.81E-10</v>
      </c>
      <c r="T15" s="30">
        <f t="shared" si="9"/>
        <v>8.8866298362160965</v>
      </c>
      <c r="U15" s="6">
        <f t="shared" si="10"/>
        <v>2.5300000000000001E-10</v>
      </c>
      <c r="V15" s="6">
        <f t="shared" si="20"/>
        <v>1684844</v>
      </c>
      <c r="W15" s="6">
        <f t="shared" si="11"/>
        <v>8.5224713846657846E-14</v>
      </c>
      <c r="X15" s="6">
        <f t="shared" si="12"/>
        <v>2101</v>
      </c>
      <c r="Y15" s="7">
        <v>2101</v>
      </c>
      <c r="Z15" s="4">
        <v>0</v>
      </c>
      <c r="AA15" s="8">
        <v>1.9691000000000001</v>
      </c>
      <c r="AB15" s="8">
        <v>-2.8800000000000001E-4</v>
      </c>
      <c r="AC15" s="4">
        <v>1</v>
      </c>
      <c r="AD15" s="4">
        <v>2</v>
      </c>
      <c r="AE15" s="11">
        <f t="shared" si="13"/>
        <v>3</v>
      </c>
      <c r="AF15" s="37">
        <v>0.20426</v>
      </c>
      <c r="AG15" s="96"/>
      <c r="AH15" s="96"/>
      <c r="AI15" s="96"/>
      <c r="AJ15" s="96"/>
      <c r="AK15" s="38">
        <v>1140753272.891129</v>
      </c>
      <c r="AL15" s="94"/>
      <c r="AM15" s="94"/>
      <c r="AN15" s="94"/>
      <c r="AO15" s="94"/>
      <c r="AP15" s="39">
        <f t="shared" si="14"/>
        <v>1.7905712379182813E-10</v>
      </c>
      <c r="AQ15" s="39" t="e">
        <f t="shared" si="15"/>
        <v>#DIV/0!</v>
      </c>
      <c r="AR15" s="44">
        <f t="shared" si="16"/>
        <v>0</v>
      </c>
      <c r="AS15" s="44"/>
      <c r="AT15" s="44"/>
      <c r="AU15" s="45">
        <f t="shared" si="2"/>
        <v>2101</v>
      </c>
      <c r="AV15" s="46" t="e">
        <f t="shared" si="17"/>
        <v>#DIV/0!</v>
      </c>
      <c r="AW15" s="46"/>
      <c r="AX15" s="46"/>
      <c r="AY15" s="46"/>
      <c r="AZ15" s="46"/>
      <c r="BA15" s="40">
        <f t="shared" si="3"/>
        <v>0</v>
      </c>
      <c r="BB15" s="40"/>
      <c r="BC15" s="40"/>
      <c r="BD15" s="40"/>
      <c r="BE15" s="40"/>
      <c r="BF15" s="41">
        <v>92.048000000000002</v>
      </c>
      <c r="BG15" s="41"/>
      <c r="BH15" s="41"/>
      <c r="BI15" s="41"/>
      <c r="BJ15" s="41"/>
      <c r="BK15" s="41" t="e">
        <f t="shared" si="18"/>
        <v>#DIV/0!</v>
      </c>
      <c r="BL15" s="8">
        <f t="shared" si="21"/>
        <v>6.1827251968353004E-10</v>
      </c>
      <c r="BM15"/>
      <c r="BN15"/>
      <c r="BO15"/>
      <c r="BP15"/>
      <c r="BR15" s="8"/>
    </row>
    <row r="16" spans="1:70" ht="20.25" customHeight="1" x14ac:dyDescent="0.25">
      <c r="A16" s="2" t="s">
        <v>29</v>
      </c>
      <c r="B16" s="30">
        <v>2.5</v>
      </c>
      <c r="C16" s="2">
        <v>1</v>
      </c>
      <c r="D16" s="2">
        <v>37</v>
      </c>
      <c r="E16" s="2">
        <v>36</v>
      </c>
      <c r="F16" s="22">
        <f t="shared" si="0"/>
        <v>6.1887010299999994E-26</v>
      </c>
      <c r="G16" s="22">
        <f t="shared" si="1"/>
        <v>3.2793788159999999E-29</v>
      </c>
      <c r="H16" s="24">
        <f t="shared" si="5"/>
        <v>1939.5775080668341</v>
      </c>
      <c r="I16" s="24">
        <f t="shared" si="6"/>
        <v>1.0277777777777777</v>
      </c>
      <c r="J16" s="26">
        <f t="shared" si="7"/>
        <v>6.185421651184E-26</v>
      </c>
      <c r="K16" s="4">
        <v>110.98399999999999</v>
      </c>
      <c r="L16" s="11">
        <f>10^(-0.545+597/N16+546000/N16^2)/1000</f>
        <v>3.3595446651079881E-3</v>
      </c>
      <c r="M16" s="27">
        <f t="shared" si="8"/>
        <v>9.5693779904306223E-4</v>
      </c>
      <c r="N16" s="4">
        <v>1045</v>
      </c>
      <c r="O16" s="5">
        <f t="shared" si="19"/>
        <v>5.3154147698835956E-5</v>
      </c>
      <c r="P16" s="5">
        <v>2.03E-4</v>
      </c>
      <c r="R16" s="6">
        <v>1E-10</v>
      </c>
      <c r="S16" s="6">
        <v>1.81E-10</v>
      </c>
      <c r="T16" s="30">
        <f t="shared" si="9"/>
        <v>6.6343815493145009</v>
      </c>
      <c r="U16" s="6">
        <f t="shared" si="10"/>
        <v>2.8100000000000001E-10</v>
      </c>
      <c r="V16" s="6">
        <f t="shared" si="20"/>
        <v>2087964.9999999995</v>
      </c>
      <c r="W16" s="6">
        <f t="shared" si="11"/>
        <v>0</v>
      </c>
      <c r="X16" s="6">
        <f t="shared" si="12"/>
        <v>2065.0300000000002</v>
      </c>
      <c r="Y16" s="7">
        <v>2065.0300000000002</v>
      </c>
      <c r="Z16" s="4">
        <v>0</v>
      </c>
      <c r="AA16" s="8">
        <v>2.5299999999999998</v>
      </c>
      <c r="AB16" s="8">
        <v>-4.2299999999999998E-4</v>
      </c>
      <c r="AF16" s="37"/>
      <c r="AG16" s="96"/>
      <c r="AH16" s="96"/>
      <c r="AI16" s="96"/>
      <c r="AJ16" s="96"/>
      <c r="AK16" s="38"/>
      <c r="AL16" s="94"/>
      <c r="AM16" s="94"/>
      <c r="AN16" s="94"/>
      <c r="AO16" s="94"/>
      <c r="AP16" s="39"/>
      <c r="AQ16" s="39"/>
      <c r="AR16" s="44"/>
      <c r="AS16" s="44"/>
      <c r="AT16" s="44"/>
      <c r="AU16" s="45">
        <f t="shared" si="2"/>
        <v>2065.0300000000002</v>
      </c>
      <c r="AV16" s="46"/>
      <c r="AW16" s="46"/>
      <c r="AX16" s="46"/>
      <c r="AY16" s="46"/>
      <c r="AZ16" s="46"/>
      <c r="BA16" s="40">
        <f t="shared" si="3"/>
        <v>0</v>
      </c>
      <c r="BB16" s="40"/>
      <c r="BC16" s="40"/>
      <c r="BD16" s="40"/>
      <c r="BE16" s="40"/>
      <c r="BF16" s="41">
        <v>102.533</v>
      </c>
      <c r="BG16" s="41"/>
      <c r="BH16" s="41"/>
      <c r="BI16" s="41"/>
      <c r="BJ16" s="41"/>
      <c r="BK16" s="41"/>
      <c r="BL16" s="8">
        <f t="shared" si="21"/>
        <v>7.7916751857846874E-10</v>
      </c>
      <c r="BM16"/>
      <c r="BN16"/>
      <c r="BO16"/>
      <c r="BP16"/>
      <c r="BR16" s="8"/>
    </row>
    <row r="17" spans="1:70" ht="20.25" customHeight="1" x14ac:dyDescent="0.25">
      <c r="A17" s="2" t="s">
        <v>30</v>
      </c>
      <c r="B17" s="30"/>
      <c r="C17" s="2">
        <v>1</v>
      </c>
      <c r="D17" s="2">
        <v>55</v>
      </c>
      <c r="E17" s="2">
        <v>54</v>
      </c>
      <c r="F17" s="22">
        <f t="shared" si="0"/>
        <v>9.1994204499999998E-26</v>
      </c>
      <c r="G17" s="22">
        <f t="shared" si="1"/>
        <v>4.9190682239999996E-29</v>
      </c>
      <c r="H17" s="24">
        <f t="shared" si="5"/>
        <v>1904.7875860407996</v>
      </c>
      <c r="I17" s="24">
        <f t="shared" si="6"/>
        <v>1.0185185185185186</v>
      </c>
      <c r="J17" s="26">
        <f t="shared" si="7"/>
        <v>9.1945013817760001E-26</v>
      </c>
      <c r="K17" s="4">
        <v>158.52600000000001</v>
      </c>
      <c r="L17" s="11">
        <f>10^(-0.439+398/N17+879000/N17^2)/1000</f>
        <v>3.78088190424221E-3</v>
      </c>
      <c r="M17" s="27">
        <f t="shared" si="8"/>
        <v>8.7260034904013963E-4</v>
      </c>
      <c r="N17" s="4">
        <v>1146</v>
      </c>
      <c r="O17" s="5">
        <f t="shared" si="19"/>
        <v>5.811897000013199E-5</v>
      </c>
      <c r="P17" s="5">
        <v>2.12E-4</v>
      </c>
      <c r="R17" s="6">
        <v>1.1800000000000001E-10</v>
      </c>
      <c r="S17" s="6">
        <v>1.81E-10</v>
      </c>
      <c r="T17" s="30">
        <f t="shared" si="9"/>
        <v>5.7439091798197985</v>
      </c>
      <c r="U17" s="6">
        <f t="shared" si="10"/>
        <v>2.99E-10</v>
      </c>
      <c r="V17" s="6">
        <f t="shared" si="20"/>
        <v>2727612</v>
      </c>
      <c r="W17" s="6">
        <f t="shared" si="11"/>
        <v>1.8089919955334219E-13</v>
      </c>
      <c r="X17" s="6">
        <f t="shared" si="12"/>
        <v>1873.13</v>
      </c>
      <c r="Y17" s="7">
        <v>1873.13</v>
      </c>
      <c r="Z17" s="4">
        <v>0</v>
      </c>
      <c r="AA17" s="8">
        <v>3.39</v>
      </c>
      <c r="AB17" s="8">
        <v>-5.7799999999999995E-4</v>
      </c>
      <c r="AC17" s="4">
        <v>1</v>
      </c>
      <c r="AD17" s="4">
        <v>2</v>
      </c>
      <c r="AE17" s="11">
        <f t="shared" si="13"/>
        <v>3</v>
      </c>
      <c r="AF17" s="37">
        <v>0.380772</v>
      </c>
      <c r="AG17" s="96"/>
      <c r="AH17" s="96"/>
      <c r="AI17" s="96"/>
      <c r="AJ17" s="96"/>
      <c r="AK17" s="38">
        <v>1123726028.406646</v>
      </c>
      <c r="AL17" s="94"/>
      <c r="AM17" s="94"/>
      <c r="AN17" s="94"/>
      <c r="AO17" s="94"/>
      <c r="AP17" s="39">
        <f>AF17/AK17</f>
        <v>3.3884771765935189E-10</v>
      </c>
      <c r="AQ17" s="39" t="e">
        <f>(AP17-AO17)/AO17</f>
        <v>#DIV/0!</v>
      </c>
      <c r="AR17" s="44">
        <f>AJ17/AU17</f>
        <v>0</v>
      </c>
      <c r="AS17" s="44"/>
      <c r="AT17" s="44"/>
      <c r="AU17" s="45">
        <f t="shared" si="2"/>
        <v>1873.13</v>
      </c>
      <c r="AV17" s="46" t="e">
        <f>AF17/AR17</f>
        <v>#DIV/0!</v>
      </c>
      <c r="AW17" s="46"/>
      <c r="AX17" s="46"/>
      <c r="AY17" s="46"/>
      <c r="AZ17" s="46"/>
      <c r="BA17" s="40">
        <f t="shared" si="3"/>
        <v>0</v>
      </c>
      <c r="BB17" s="40"/>
      <c r="BC17" s="40"/>
      <c r="BD17" s="40"/>
      <c r="BE17" s="40"/>
      <c r="BF17" s="47">
        <v>104.6</v>
      </c>
      <c r="BG17" s="47"/>
      <c r="BH17" s="47"/>
      <c r="BI17" s="47"/>
      <c r="BJ17" s="47"/>
      <c r="BK17" s="41" t="e">
        <f>AF17/(BA17)</f>
        <v>#DIV/0!</v>
      </c>
      <c r="BL17" s="8">
        <f t="shared" si="21"/>
        <v>7.4001853993764589E-10</v>
      </c>
      <c r="BM17"/>
      <c r="BN17"/>
      <c r="BO17"/>
      <c r="BP17"/>
      <c r="BR17" s="8"/>
    </row>
    <row r="18" spans="1:70" ht="20.25" customHeight="1" x14ac:dyDescent="0.25">
      <c r="A18" s="2" t="s">
        <v>31</v>
      </c>
      <c r="B18" s="30">
        <v>0.3</v>
      </c>
      <c r="C18" s="2">
        <v>1</v>
      </c>
      <c r="D18" s="2">
        <v>26</v>
      </c>
      <c r="E18" s="2">
        <v>25</v>
      </c>
      <c r="F18" s="22">
        <f t="shared" si="0"/>
        <v>4.3488169400000001E-26</v>
      </c>
      <c r="G18" s="22">
        <f t="shared" si="1"/>
        <v>2.2773463999999997E-29</v>
      </c>
      <c r="H18" s="24">
        <f t="shared" si="5"/>
        <v>1985.9822895629759</v>
      </c>
      <c r="I18" s="24">
        <f t="shared" si="6"/>
        <v>1.04</v>
      </c>
      <c r="J18" s="26">
        <f t="shared" si="7"/>
        <v>4.3465395936000002E-26</v>
      </c>
      <c r="K18" s="4">
        <v>84.99</v>
      </c>
      <c r="L18" s="11"/>
      <c r="M18" s="27">
        <f t="shared" si="8"/>
        <v>1.7148246591785991E-3</v>
      </c>
      <c r="N18" s="1">
        <v>583.15</v>
      </c>
      <c r="O18" s="11">
        <v>4.4669999999999998E-5</v>
      </c>
      <c r="P18" s="13">
        <v>3.7599999999999998E-4</v>
      </c>
      <c r="R18" s="6">
        <v>1.02E-10</v>
      </c>
      <c r="S18" s="6">
        <v>2.31E-10</v>
      </c>
      <c r="T18" s="30">
        <f t="shared" si="9"/>
        <v>8.0915122488885451</v>
      </c>
      <c r="U18" s="6">
        <f t="shared" si="10"/>
        <v>3.3299999999999999E-10</v>
      </c>
      <c r="V18" s="6">
        <f t="shared" si="20"/>
        <v>1886915.5249999999</v>
      </c>
      <c r="W18" s="6">
        <f t="shared" si="11"/>
        <v>1.5641130015821327E-13</v>
      </c>
      <c r="X18" s="6">
        <f t="shared" si="12"/>
        <v>1816.9499999999998</v>
      </c>
      <c r="Y18" s="4">
        <v>2490.4882499999999</v>
      </c>
      <c r="Z18" s="4">
        <v>-1.155</v>
      </c>
      <c r="AA18" s="14">
        <v>2.3338999999999999</v>
      </c>
      <c r="AB18" s="8">
        <v>-7.6650000000000004E-4</v>
      </c>
      <c r="AC18" s="4">
        <v>2</v>
      </c>
      <c r="AD18" s="4">
        <v>3</v>
      </c>
      <c r="AE18" s="11">
        <f t="shared" si="13"/>
        <v>5</v>
      </c>
      <c r="AF18" s="37">
        <v>0.59593560000000001</v>
      </c>
      <c r="AG18" s="96"/>
      <c r="AH18" s="96"/>
      <c r="AI18" s="96"/>
      <c r="AJ18" s="96"/>
      <c r="AK18" s="38">
        <v>2096950736.418479</v>
      </c>
      <c r="AL18" s="94"/>
      <c r="AM18" s="94"/>
      <c r="AN18" s="94"/>
      <c r="AO18" s="94"/>
      <c r="AP18" s="39">
        <f>AF18/AK18</f>
        <v>2.8419151182246556E-10</v>
      </c>
      <c r="AQ18" s="39" t="e">
        <f>(AP18-AO18)/AO18</f>
        <v>#DIV/0!</v>
      </c>
      <c r="AR18" s="44">
        <f>AJ18/AU18</f>
        <v>0</v>
      </c>
      <c r="AS18" s="44"/>
      <c r="AT18" s="44"/>
      <c r="AU18" s="45">
        <f t="shared" si="2"/>
        <v>1816.9499999999998</v>
      </c>
      <c r="AV18" s="46" t="e">
        <f>AF18/AR18</f>
        <v>#DIV/0!</v>
      </c>
      <c r="AW18" s="46"/>
      <c r="AX18" s="46"/>
      <c r="AY18" s="46"/>
      <c r="AZ18" s="46"/>
      <c r="BA18" s="40">
        <f t="shared" si="3"/>
        <v>0</v>
      </c>
      <c r="BB18" s="40"/>
      <c r="BC18" s="40"/>
      <c r="BD18" s="40"/>
      <c r="BE18" s="40"/>
      <c r="BF18" s="41">
        <v>155.6</v>
      </c>
      <c r="BG18" s="41"/>
      <c r="BH18" s="41"/>
      <c r="BI18" s="41"/>
      <c r="BJ18" s="41"/>
      <c r="BK18" s="41" t="e">
        <f>AF18/(BA18)</f>
        <v>#DIV/0!</v>
      </c>
      <c r="BL18" s="8"/>
      <c r="BM18"/>
      <c r="BN18"/>
      <c r="BO18"/>
      <c r="BP18"/>
      <c r="BR18" s="8"/>
    </row>
    <row r="19" spans="1:70" ht="20.25" customHeight="1" x14ac:dyDescent="0.25">
      <c r="A19" s="2" t="s">
        <v>32</v>
      </c>
      <c r="B19" s="30">
        <v>0.2</v>
      </c>
      <c r="C19" s="2">
        <v>1</v>
      </c>
      <c r="D19" s="2">
        <v>34</v>
      </c>
      <c r="E19" s="2">
        <v>33</v>
      </c>
      <c r="F19" s="22">
        <f t="shared" si="0"/>
        <v>5.6869144599999998E-26</v>
      </c>
      <c r="G19" s="22">
        <f t="shared" si="1"/>
        <v>3.0060972479999997E-29</v>
      </c>
      <c r="H19" s="24">
        <f t="shared" si="5"/>
        <v>1949.1203104325261</v>
      </c>
      <c r="I19" s="24">
        <f t="shared" si="6"/>
        <v>1.0303030303030303</v>
      </c>
      <c r="J19" s="26">
        <f t="shared" si="7"/>
        <v>5.6839083627519992E-26</v>
      </c>
      <c r="K19" s="4">
        <v>101.1</v>
      </c>
      <c r="L19" s="11"/>
      <c r="M19" s="27">
        <f t="shared" si="8"/>
        <v>1.6389412439564042E-3</v>
      </c>
      <c r="N19" s="4">
        <v>610.15</v>
      </c>
      <c r="O19" s="11">
        <v>5.4060000000000001E-5</v>
      </c>
      <c r="P19" s="13">
        <v>3.8999999999999999E-4</v>
      </c>
      <c r="R19" s="6">
        <v>1.3799999999999999E-10</v>
      </c>
      <c r="S19" s="6">
        <v>2.31E-10</v>
      </c>
      <c r="T19" s="30">
        <f t="shared" si="9"/>
        <v>6.1961556134064661</v>
      </c>
      <c r="U19" s="6">
        <f t="shared" si="10"/>
        <v>3.6899999999999997E-10</v>
      </c>
      <c r="V19" s="6">
        <f t="shared" si="20"/>
        <v>1870200.65</v>
      </c>
      <c r="W19" s="6">
        <f t="shared" si="11"/>
        <v>5.7448015454974298E-14</v>
      </c>
      <c r="X19" s="6">
        <f t="shared" si="12"/>
        <v>1766.56</v>
      </c>
      <c r="Y19" s="4">
        <v>2449.9279999999999</v>
      </c>
      <c r="Z19" s="4">
        <v>-1.1200000000000001</v>
      </c>
      <c r="AA19" s="14">
        <v>2.3149999999999999</v>
      </c>
      <c r="AB19" s="8">
        <v>-7.2900000000000005E-4</v>
      </c>
      <c r="AC19" s="4">
        <v>2</v>
      </c>
      <c r="AD19" s="4">
        <v>3</v>
      </c>
      <c r="AE19" s="11">
        <f t="shared" si="13"/>
        <v>5</v>
      </c>
      <c r="AF19" s="37">
        <v>0.14599400000000001</v>
      </c>
      <c r="AG19" s="96"/>
      <c r="AH19" s="96"/>
      <c r="AI19" s="96"/>
      <c r="AJ19" s="96"/>
      <c r="AK19" s="38">
        <v>1438571938.91363</v>
      </c>
      <c r="AL19" s="94"/>
      <c r="AM19" s="94"/>
      <c r="AN19" s="94"/>
      <c r="AO19" s="94"/>
      <c r="AP19" s="39">
        <f>AF19/AK19</f>
        <v>1.014853661821394E-10</v>
      </c>
      <c r="AQ19" s="39" t="e">
        <f>(AP19-AO19)/AO19</f>
        <v>#DIV/0!</v>
      </c>
      <c r="AR19" s="44">
        <f>AJ19/AU19</f>
        <v>0</v>
      </c>
      <c r="AS19" s="44"/>
      <c r="AT19" s="44"/>
      <c r="AU19" s="45">
        <f t="shared" si="2"/>
        <v>1766.56</v>
      </c>
      <c r="AV19" s="46" t="e">
        <f>AF19/AR19</f>
        <v>#DIV/0!</v>
      </c>
      <c r="AW19" s="46"/>
      <c r="AX19" s="46"/>
      <c r="AY19" s="46"/>
      <c r="AZ19" s="46"/>
      <c r="BA19" s="40">
        <f t="shared" si="3"/>
        <v>0</v>
      </c>
      <c r="BB19" s="40"/>
      <c r="BC19" s="40"/>
      <c r="BD19" s="40"/>
      <c r="BE19" s="40"/>
      <c r="BF19" s="41">
        <v>141</v>
      </c>
      <c r="BG19" s="41"/>
      <c r="BH19" s="41"/>
      <c r="BI19" s="41"/>
      <c r="BJ19" s="41"/>
      <c r="BK19" s="41" t="e">
        <f>AF19/(BA19)</f>
        <v>#DIV/0!</v>
      </c>
      <c r="BL19" s="8"/>
      <c r="BM19"/>
      <c r="BN19"/>
      <c r="BO19"/>
      <c r="BP19"/>
      <c r="BR19" s="8"/>
    </row>
    <row r="20" spans="1:70" ht="20.25" customHeight="1" x14ac:dyDescent="0.25">
      <c r="A20" s="2" t="s">
        <v>33</v>
      </c>
      <c r="B20" s="30">
        <v>0.05</v>
      </c>
      <c r="C20" s="2">
        <v>1</v>
      </c>
      <c r="D20" s="2">
        <v>49</v>
      </c>
      <c r="E20" s="2">
        <v>46</v>
      </c>
      <c r="F20" s="22">
        <f t="shared" si="0"/>
        <v>8.1958473100000004E-26</v>
      </c>
      <c r="G20" s="22">
        <f t="shared" si="1"/>
        <v>4.1903173759999999E-29</v>
      </c>
      <c r="H20" s="24">
        <f t="shared" si="5"/>
        <v>2083.4601076018726</v>
      </c>
      <c r="I20" s="24">
        <f t="shared" si="6"/>
        <v>1.0652173913043479</v>
      </c>
      <c r="J20" s="26">
        <f t="shared" si="7"/>
        <v>8.1916569926240009E-26</v>
      </c>
      <c r="K20" s="12">
        <v>167.21</v>
      </c>
      <c r="L20" s="11"/>
      <c r="M20" s="27">
        <f t="shared" si="8"/>
        <v>8.3963056255247689E-4</v>
      </c>
      <c r="N20" s="15">
        <v>1191</v>
      </c>
      <c r="O20" s="5">
        <f>K20/V20</f>
        <v>4.292862515949649E-5</v>
      </c>
      <c r="P20" s="5">
        <v>3.0899999999999998E-4</v>
      </c>
      <c r="R20" s="6">
        <v>7.1999999999999997E-11</v>
      </c>
      <c r="S20" s="6">
        <v>1.3300000000000001E-10</v>
      </c>
      <c r="T20" s="30">
        <f t="shared" si="9"/>
        <v>6.7540445787782737</v>
      </c>
      <c r="U20" s="6">
        <f t="shared" si="10"/>
        <v>2.0500000000000002E-10</v>
      </c>
      <c r="V20" s="6">
        <f>(5.36-0.00123*N20)*1000000</f>
        <v>3895070.0000000005</v>
      </c>
      <c r="W20" s="6">
        <f t="shared" si="11"/>
        <v>0</v>
      </c>
      <c r="X20" s="6">
        <f t="shared" si="12"/>
        <v>1700</v>
      </c>
      <c r="Y20" s="7">
        <v>1700</v>
      </c>
      <c r="Z20" s="4">
        <v>0</v>
      </c>
      <c r="AA20" s="4">
        <v>5.36</v>
      </c>
      <c r="AB20" s="4">
        <v>-1.23E-3</v>
      </c>
      <c r="AF20" s="37"/>
      <c r="AG20" s="96"/>
      <c r="AH20" s="96"/>
      <c r="AI20" s="96"/>
      <c r="AJ20" s="96"/>
      <c r="AK20" s="38"/>
      <c r="AL20" s="94"/>
      <c r="AM20" s="94"/>
      <c r="AN20" s="94"/>
      <c r="AO20" s="94"/>
      <c r="AP20" s="39"/>
      <c r="AQ20" s="39"/>
      <c r="AR20" s="44"/>
      <c r="AS20" s="44"/>
      <c r="AT20" s="44"/>
      <c r="AU20" s="45">
        <f t="shared" si="2"/>
        <v>1700</v>
      </c>
      <c r="AV20" s="46"/>
      <c r="AW20" s="46"/>
      <c r="AX20" s="46"/>
      <c r="AY20" s="46"/>
      <c r="AZ20" s="46"/>
      <c r="BA20" s="40">
        <f t="shared" si="3"/>
        <v>0</v>
      </c>
      <c r="BB20" s="40"/>
      <c r="BC20" s="40"/>
      <c r="BD20" s="40"/>
      <c r="BE20" s="40"/>
      <c r="BF20" s="49">
        <v>123</v>
      </c>
      <c r="BG20" s="49"/>
      <c r="BH20" s="49"/>
      <c r="BI20" s="49"/>
      <c r="BJ20" s="49"/>
      <c r="BK20" s="41"/>
      <c r="BL20" s="8"/>
      <c r="BM20"/>
      <c r="BN20"/>
      <c r="BO20"/>
      <c r="BP20"/>
      <c r="BR20" s="8"/>
    </row>
    <row r="21" spans="1:70" ht="20.25" customHeight="1" x14ac:dyDescent="0.25">
      <c r="A21" s="2" t="s">
        <v>34</v>
      </c>
      <c r="B21" s="30">
        <v>0.08</v>
      </c>
      <c r="C21" s="2">
        <v>1</v>
      </c>
      <c r="D21" s="2">
        <v>99</v>
      </c>
      <c r="E21" s="2">
        <v>96</v>
      </c>
      <c r="F21" s="22">
        <f t="shared" si="0"/>
        <v>1.6558956810000001E-25</v>
      </c>
      <c r="G21" s="22">
        <f t="shared" si="1"/>
        <v>8.7450101759999993E-29</v>
      </c>
      <c r="H21" s="24">
        <f t="shared" si="5"/>
        <v>1952.7048987521384</v>
      </c>
      <c r="I21" s="24">
        <f t="shared" si="6"/>
        <v>1.03125</v>
      </c>
      <c r="J21" s="26">
        <f t="shared" si="7"/>
        <v>1.6550211799824002E-25</v>
      </c>
      <c r="K21" s="12">
        <v>308.0317</v>
      </c>
      <c r="L21" s="11"/>
      <c r="M21" s="27">
        <f t="shared" si="8"/>
        <v>7.2254335260115603E-4</v>
      </c>
      <c r="N21" s="15">
        <v>1384</v>
      </c>
      <c r="O21" s="5">
        <f>K21/V21</f>
        <v>5.0331977124183008E-5</v>
      </c>
      <c r="P21" s="5">
        <v>1.21E-4</v>
      </c>
      <c r="R21" s="6">
        <v>9.3999999999999999E-11</v>
      </c>
      <c r="S21" s="6">
        <v>1.3300000000000001E-10</v>
      </c>
      <c r="T21" s="30">
        <f t="shared" si="9"/>
        <v>5.3582140014410387</v>
      </c>
      <c r="U21" s="6">
        <f t="shared" si="10"/>
        <v>2.2699999999999999E-10</v>
      </c>
      <c r="V21" s="6">
        <v>6120000</v>
      </c>
      <c r="W21" s="6">
        <f t="shared" si="11"/>
        <v>0</v>
      </c>
      <c r="X21" s="6">
        <f t="shared" si="12"/>
        <v>1362</v>
      </c>
      <c r="Y21" s="7">
        <v>1362</v>
      </c>
      <c r="Z21" s="4">
        <v>0</v>
      </c>
      <c r="AA21" s="4">
        <v>7.34</v>
      </c>
      <c r="AB21" s="4">
        <v>-8.0800000000000002E-4</v>
      </c>
      <c r="AF21" s="37"/>
      <c r="AG21" s="96"/>
      <c r="AH21" s="96"/>
      <c r="AI21" s="96"/>
      <c r="AJ21" s="96"/>
      <c r="AK21" s="38"/>
      <c r="AL21" s="94"/>
      <c r="AM21" s="94"/>
      <c r="AN21" s="94"/>
      <c r="AO21" s="94"/>
      <c r="AP21" s="39"/>
      <c r="AQ21" s="39"/>
      <c r="AR21" s="44"/>
      <c r="AS21" s="44"/>
      <c r="AT21" s="44"/>
      <c r="AU21" s="45">
        <f t="shared" si="2"/>
        <v>1362</v>
      </c>
      <c r="AV21" s="46"/>
      <c r="AW21" s="46"/>
      <c r="AX21" s="46"/>
      <c r="AY21" s="46"/>
      <c r="AZ21" s="46"/>
      <c r="BA21" s="40">
        <f t="shared" si="3"/>
        <v>0</v>
      </c>
      <c r="BB21" s="40"/>
      <c r="BC21" s="40"/>
      <c r="BD21" s="40"/>
      <c r="BE21" s="40"/>
      <c r="BF21" s="50">
        <v>168</v>
      </c>
      <c r="BG21" s="50"/>
      <c r="BH21" s="50"/>
      <c r="BI21" s="50"/>
      <c r="BJ21" s="50"/>
      <c r="BK21" s="41"/>
      <c r="BL21" s="8"/>
      <c r="BM21"/>
      <c r="BN21"/>
      <c r="BO21"/>
      <c r="BP21"/>
      <c r="BR21" s="8"/>
    </row>
    <row r="22" spans="1:70" x14ac:dyDescent="0.25">
      <c r="A22" s="2" t="s">
        <v>35</v>
      </c>
      <c r="B22" s="30">
        <v>0.09</v>
      </c>
      <c r="C22" s="2">
        <v>1</v>
      </c>
      <c r="D22" s="2">
        <v>101</v>
      </c>
      <c r="E22" s="2">
        <v>98</v>
      </c>
      <c r="F22" s="22">
        <f t="shared" si="0"/>
        <v>1.6893481190000001E-25</v>
      </c>
      <c r="G22" s="22">
        <f t="shared" si="1"/>
        <v>8.9271978879999991E-29</v>
      </c>
      <c r="H22" s="24">
        <f t="shared" si="5"/>
        <v>1950.2904261560993</v>
      </c>
      <c r="I22" s="24">
        <f t="shared" si="6"/>
        <v>1.0306122448979591</v>
      </c>
      <c r="J22" s="26">
        <f t="shared" si="7"/>
        <v>1.6884553992112001E-25</v>
      </c>
      <c r="K22" s="12">
        <v>314.02249999999998</v>
      </c>
      <c r="L22" s="11">
        <f>10^(11.4-35400/N22+27700000/N22^2)/1000</f>
        <v>3.3294860215237095E-3</v>
      </c>
      <c r="M22" s="27">
        <f t="shared" si="8"/>
        <v>7.6394194041252863E-4</v>
      </c>
      <c r="N22" s="15">
        <v>1309</v>
      </c>
      <c r="O22" s="5">
        <f>K22/V22</f>
        <v>4.8535162287480677E-5</v>
      </c>
      <c r="P22" s="17">
        <v>1.4899999999999999E-4</v>
      </c>
      <c r="R22" s="6">
        <v>8.9000000000000003E-11</v>
      </c>
      <c r="S22" s="6">
        <v>1.3300000000000001E-10</v>
      </c>
      <c r="T22" s="30">
        <f t="shared" si="9"/>
        <v>5.6159818095953007</v>
      </c>
      <c r="U22" s="6">
        <f t="shared" si="10"/>
        <v>2.2200000000000001E-10</v>
      </c>
      <c r="V22" s="6">
        <v>6470000</v>
      </c>
      <c r="W22" s="6">
        <f t="shared" si="11"/>
        <v>0</v>
      </c>
      <c r="X22" s="6">
        <f t="shared" si="12"/>
        <v>1062</v>
      </c>
      <c r="Y22" s="7">
        <v>1062</v>
      </c>
      <c r="Z22" s="4">
        <v>0</v>
      </c>
      <c r="AA22" s="11">
        <v>7.6040000000000001</v>
      </c>
      <c r="AB22" s="4">
        <v>-7.9100000000000004E-4</v>
      </c>
      <c r="AF22" s="37"/>
      <c r="AG22" s="96"/>
      <c r="AH22" s="96"/>
      <c r="AI22" s="96"/>
      <c r="AJ22" s="96"/>
      <c r="AK22" s="38"/>
      <c r="AL22" s="94"/>
      <c r="AM22" s="94"/>
      <c r="AN22" s="94"/>
      <c r="AO22" s="94"/>
      <c r="AP22" s="39"/>
      <c r="AQ22" s="39"/>
      <c r="AR22" s="44"/>
      <c r="AS22" s="44"/>
      <c r="AT22" s="44"/>
      <c r="AU22" s="45">
        <f t="shared" si="2"/>
        <v>1062</v>
      </c>
      <c r="AV22" s="46"/>
      <c r="AW22" s="46"/>
      <c r="AX22" s="46"/>
      <c r="AY22" s="46"/>
      <c r="AZ22" s="46"/>
      <c r="BA22" s="40">
        <f t="shared" si="3"/>
        <v>0</v>
      </c>
      <c r="BB22" s="40"/>
      <c r="BC22" s="40"/>
      <c r="BD22" s="40"/>
      <c r="BE22" s="40"/>
      <c r="BF22" s="50">
        <v>174</v>
      </c>
      <c r="BG22" s="50"/>
      <c r="BH22" s="50"/>
      <c r="BI22" s="50"/>
      <c r="BJ22" s="50"/>
      <c r="BK22" s="41"/>
      <c r="BL22" s="8">
        <f t="shared" ref="BL22:BL27" si="22">L22/(V22/1000*(Y22+Z22*N22))</f>
        <v>4.8456093479738579E-10</v>
      </c>
      <c r="BM22"/>
      <c r="BN22"/>
      <c r="BO22"/>
      <c r="BP22"/>
      <c r="BR22" s="8"/>
    </row>
    <row r="23" spans="1:70" x14ac:dyDescent="0.25">
      <c r="A23" s="2" t="s">
        <v>36</v>
      </c>
      <c r="B23" s="30"/>
      <c r="C23" s="2">
        <v>1</v>
      </c>
      <c r="D23" s="2">
        <v>109</v>
      </c>
      <c r="E23" s="2">
        <v>107</v>
      </c>
      <c r="F23" s="22">
        <f t="shared" si="0"/>
        <v>1.823157871E-25</v>
      </c>
      <c r="G23" s="22">
        <f t="shared" si="1"/>
        <v>9.7470425919999998E-29</v>
      </c>
      <c r="H23" s="24">
        <f t="shared" si="5"/>
        <v>1905.4349775174894</v>
      </c>
      <c r="I23" s="24">
        <f t="shared" si="6"/>
        <v>1.0186915887850467</v>
      </c>
      <c r="J23" s="26">
        <f t="shared" si="7"/>
        <v>1.8221831667407999E-25</v>
      </c>
      <c r="K23" s="12">
        <v>344.3879</v>
      </c>
      <c r="L23" s="11">
        <f>0.478*EXP(10900/(8.3144598*N23))/1000</f>
        <v>1.5506403023444345E-3</v>
      </c>
      <c r="M23" s="27">
        <f t="shared" si="8"/>
        <v>8.9766606822262122E-4</v>
      </c>
      <c r="N23" s="16">
        <v>1114</v>
      </c>
      <c r="O23" s="5">
        <f>K23/V23</f>
        <v>7.5193864628820956E-5</v>
      </c>
      <c r="P23" s="17">
        <v>3.3300000000000002E-4</v>
      </c>
      <c r="R23" s="6">
        <v>1.16E-10</v>
      </c>
      <c r="S23" s="6">
        <v>1.81E-10</v>
      </c>
      <c r="T23" s="30">
        <f>PI()/ASIN(R23/(R23+S23)) - 2</f>
        <v>5.8294502500167731</v>
      </c>
      <c r="U23" s="6">
        <f t="shared" si="10"/>
        <v>2.9700000000000001E-10</v>
      </c>
      <c r="V23" s="6">
        <v>4580000</v>
      </c>
      <c r="W23" s="6">
        <f t="shared" si="11"/>
        <v>0</v>
      </c>
      <c r="X23" s="6">
        <f t="shared" si="12"/>
        <v>1248</v>
      </c>
      <c r="Y23" s="7">
        <v>1248</v>
      </c>
      <c r="Z23" s="4">
        <v>0</v>
      </c>
      <c r="AA23" s="11">
        <v>6.3746999999999998</v>
      </c>
      <c r="AB23" s="4">
        <v>-1.5222E-3</v>
      </c>
      <c r="AF23" s="37"/>
      <c r="AG23" s="96"/>
      <c r="AH23" s="96"/>
      <c r="AI23" s="96"/>
      <c r="AJ23" s="96"/>
      <c r="AK23" s="38"/>
      <c r="AL23" s="94"/>
      <c r="AM23" s="94"/>
      <c r="AN23" s="94"/>
      <c r="AO23" s="94"/>
      <c r="AP23" s="39"/>
      <c r="AQ23" s="39"/>
      <c r="AR23" s="44"/>
      <c r="AS23" s="44"/>
      <c r="AT23" s="44"/>
      <c r="AU23" s="45">
        <f t="shared" si="2"/>
        <v>1248</v>
      </c>
      <c r="AV23" s="46"/>
      <c r="AW23" s="46"/>
      <c r="AX23" s="46"/>
      <c r="AY23" s="46"/>
      <c r="AZ23" s="46"/>
      <c r="BA23" s="40">
        <f t="shared" si="3"/>
        <v>0</v>
      </c>
      <c r="BB23" s="40"/>
      <c r="BC23" s="40"/>
      <c r="BD23" s="40"/>
      <c r="BE23" s="40"/>
      <c r="BF23" s="50">
        <v>150</v>
      </c>
      <c r="BG23" s="50"/>
      <c r="BH23" s="50"/>
      <c r="BI23" s="50"/>
      <c r="BJ23" s="50"/>
      <c r="BK23" s="41"/>
      <c r="BL23" s="8">
        <f t="shared" si="22"/>
        <v>2.7128826250287524E-10</v>
      </c>
      <c r="BM23"/>
      <c r="BN23"/>
      <c r="BO23"/>
      <c r="BP23"/>
      <c r="BR23" s="8"/>
    </row>
    <row r="24" spans="1:70" x14ac:dyDescent="0.25">
      <c r="A24" s="4" t="s">
        <v>37</v>
      </c>
      <c r="B24" s="31"/>
      <c r="C24" s="11">
        <v>2</v>
      </c>
      <c r="D24" s="25">
        <v>33.76</v>
      </c>
      <c r="E24" s="25">
        <v>33.44</v>
      </c>
      <c r="F24" s="22">
        <f t="shared" si="0"/>
        <v>5.6467715343999995E-26</v>
      </c>
      <c r="G24" s="22">
        <f t="shared" si="1"/>
        <v>3.0461785446399997E-29</v>
      </c>
      <c r="H24" s="24">
        <f t="shared" si="5"/>
        <v>1871.4620768599771</v>
      </c>
      <c r="I24" s="24">
        <f t="shared" si="6"/>
        <v>1.0095693779904307</v>
      </c>
      <c r="J24" s="26">
        <f t="shared" si="7"/>
        <v>5.6437253558553592E-26</v>
      </c>
      <c r="K24" s="4">
        <v>81.162404000000009</v>
      </c>
      <c r="L24" s="11">
        <f>0.141*EXP(18800/(8.3144598*N24))/1000</f>
        <v>3.6048872982003179E-3</v>
      </c>
      <c r="M24" s="27">
        <f t="shared" si="8"/>
        <v>1.43348623853211E-3</v>
      </c>
      <c r="N24" s="4">
        <v>697.6</v>
      </c>
      <c r="O24" s="4">
        <v>4.6549051207293618E-5</v>
      </c>
      <c r="P24" s="4">
        <v>3.0722637834585992E-4</v>
      </c>
      <c r="V24" s="8">
        <v>1741629.2032000001</v>
      </c>
      <c r="W24" s="6">
        <f t="shared" si="11"/>
        <v>1.9738388746167495E-13</v>
      </c>
      <c r="X24" s="6">
        <f t="shared" si="12"/>
        <v>1968.0306331357569</v>
      </c>
      <c r="Y24" s="4">
        <v>1968.0306331357569</v>
      </c>
      <c r="AC24" s="4">
        <v>2</v>
      </c>
      <c r="AD24" s="4">
        <v>3</v>
      </c>
      <c r="AE24" s="11">
        <f t="shared" si="13"/>
        <v>5</v>
      </c>
      <c r="AF24" s="37">
        <v>0.43524000000000002</v>
      </c>
      <c r="AG24" s="96"/>
      <c r="AH24" s="96"/>
      <c r="AI24" s="96"/>
      <c r="AJ24" s="96"/>
      <c r="AK24" s="38">
        <v>1120431343.2759011</v>
      </c>
      <c r="AL24" s="94"/>
      <c r="AM24" s="94"/>
      <c r="AN24" s="94"/>
      <c r="AO24" s="94"/>
      <c r="AP24" s="39">
        <f t="shared" ref="AP24:AP41" si="23">AF24/AK24</f>
        <v>3.8845753701199716E-10</v>
      </c>
      <c r="AQ24" s="39" t="e">
        <f t="shared" ref="AQ24:AQ42" si="24">(AP24-AO24)/AO24</f>
        <v>#DIV/0!</v>
      </c>
      <c r="AR24" s="44">
        <f t="shared" ref="AR24:AR42" si="25">AJ24/AU24</f>
        <v>0</v>
      </c>
      <c r="AS24" s="44"/>
      <c r="AT24" s="44"/>
      <c r="AU24" s="45">
        <f t="shared" si="2"/>
        <v>1968.0306331357569</v>
      </c>
      <c r="AV24" s="46" t="e">
        <f t="shared" ref="AV24:AV42" si="26">AF24/AR24</f>
        <v>#DIV/0!</v>
      </c>
      <c r="AW24" s="46"/>
      <c r="AX24" s="46"/>
      <c r="AY24" s="46"/>
      <c r="AZ24" s="46"/>
      <c r="BA24" s="40">
        <f t="shared" si="3"/>
        <v>0</v>
      </c>
      <c r="BB24" s="40"/>
      <c r="BC24" s="40"/>
      <c r="BD24" s="40"/>
      <c r="BE24" s="40"/>
      <c r="BF24" s="41">
        <v>79.503360000000001</v>
      </c>
      <c r="BG24" s="41"/>
      <c r="BH24" s="41"/>
      <c r="BI24" s="41"/>
      <c r="BJ24" s="41"/>
      <c r="BK24" s="41" t="e">
        <f t="shared" ref="BK24:BK42" si="27">AF24/(BA24)</f>
        <v>#DIV/0!</v>
      </c>
      <c r="BL24" s="8">
        <f t="shared" si="22"/>
        <v>1.0517297026523455E-9</v>
      </c>
      <c r="BM24"/>
      <c r="BN24"/>
      <c r="BO24"/>
      <c r="BP24"/>
      <c r="BR24" s="8"/>
    </row>
    <row r="25" spans="1:70" x14ac:dyDescent="0.25">
      <c r="A25" s="4" t="s">
        <v>38</v>
      </c>
      <c r="B25" s="31"/>
      <c r="C25" s="11">
        <v>2</v>
      </c>
      <c r="D25" s="25">
        <v>12.34</v>
      </c>
      <c r="E25" s="25">
        <v>11.34</v>
      </c>
      <c r="F25" s="22">
        <f t="shared" si="0"/>
        <v>2.0640154245999999E-26</v>
      </c>
      <c r="G25" s="22">
        <f t="shared" si="1"/>
        <v>1.0330043270399999E-29</v>
      </c>
      <c r="H25" s="24">
        <f t="shared" si="5"/>
        <v>2174.2671429464549</v>
      </c>
      <c r="I25" s="24">
        <f t="shared" si="6"/>
        <v>1.088183421516755</v>
      </c>
      <c r="J25" s="26">
        <f t="shared" si="7"/>
        <v>2.06298242027296E-26</v>
      </c>
      <c r="K25" s="4">
        <v>33.103140000000003</v>
      </c>
      <c r="L25" s="11">
        <f>0.116*EXP(31200/(8.3144598*N25))/1000</f>
        <v>1.9398692129051695E-2</v>
      </c>
      <c r="M25" s="27">
        <f t="shared" si="8"/>
        <v>1.364256480218281E-3</v>
      </c>
      <c r="N25" s="4">
        <v>733</v>
      </c>
      <c r="O25" s="4">
        <v>1.6714173769923689E-5</v>
      </c>
      <c r="P25" s="4">
        <v>1.409526898683356E-4</v>
      </c>
      <c r="V25" s="8">
        <v>1986063.3540000001</v>
      </c>
      <c r="W25" s="6">
        <f t="shared" si="11"/>
        <v>1.0541871935339226E-13</v>
      </c>
      <c r="X25" s="6">
        <f t="shared" si="12"/>
        <v>2547.6863757231322</v>
      </c>
      <c r="Y25" s="4">
        <v>2547.6863757231322</v>
      </c>
      <c r="AC25" s="4">
        <v>2</v>
      </c>
      <c r="AD25" s="4">
        <v>3</v>
      </c>
      <c r="AE25" s="11">
        <f t="shared" si="13"/>
        <v>5</v>
      </c>
      <c r="AF25" s="37">
        <v>0.98602842355479803</v>
      </c>
      <c r="AG25" s="96">
        <v>0.94926009679603196</v>
      </c>
      <c r="AH25" s="96">
        <v>1.23342654796296</v>
      </c>
      <c r="AI25" s="96"/>
      <c r="AJ25" s="96">
        <v>0.94926009679603196</v>
      </c>
      <c r="AK25" s="38">
        <v>3671349531.8618751</v>
      </c>
      <c r="AL25" s="94">
        <v>1.5469393767735401E-10</v>
      </c>
      <c r="AM25" s="94">
        <v>2.01002454631963E-10</v>
      </c>
      <c r="AN25" s="94">
        <v>1.5469393767735401E-10</v>
      </c>
      <c r="AO25" s="94">
        <v>4.2509000000000002E-11</v>
      </c>
      <c r="AP25" s="39">
        <f t="shared" si="23"/>
        <v>2.6857383504281793E-10</v>
      </c>
      <c r="AQ25" s="39">
        <f t="shared" si="24"/>
        <v>5.3180464147078954</v>
      </c>
      <c r="AR25" s="44">
        <f t="shared" si="25"/>
        <v>3.7259692002968579E-4</v>
      </c>
      <c r="AS25" s="44"/>
      <c r="AT25" s="44"/>
      <c r="AU25" s="45">
        <f t="shared" si="2"/>
        <v>2547.6863757231322</v>
      </c>
      <c r="AV25" s="46">
        <f t="shared" si="26"/>
        <v>2646.3676175214719</v>
      </c>
      <c r="AW25" s="46"/>
      <c r="AX25" s="46"/>
      <c r="AY25" s="46"/>
      <c r="AZ25" s="46"/>
      <c r="BA25" s="40">
        <f t="shared" si="3"/>
        <v>1.3137093426278499E-2</v>
      </c>
      <c r="BB25" s="40"/>
      <c r="BC25" s="40"/>
      <c r="BD25" s="40"/>
      <c r="BE25" s="40"/>
      <c r="BF25" s="41">
        <v>72.25800000000001</v>
      </c>
      <c r="BG25" s="41"/>
      <c r="BH25" s="41"/>
      <c r="BI25" s="41"/>
      <c r="BJ25" s="41"/>
      <c r="BK25" s="41">
        <f t="shared" si="27"/>
        <v>75.05681748311369</v>
      </c>
      <c r="BL25" s="8">
        <f t="shared" si="22"/>
        <v>3.8338347353322035E-9</v>
      </c>
      <c r="BM25"/>
      <c r="BN25"/>
      <c r="BO25"/>
      <c r="BP25"/>
      <c r="BR25" s="8"/>
    </row>
    <row r="26" spans="1:70" x14ac:dyDescent="0.25">
      <c r="A26" s="4" t="s">
        <v>39</v>
      </c>
      <c r="B26" s="31"/>
      <c r="C26" s="11">
        <v>3</v>
      </c>
      <c r="D26" s="25">
        <v>19.64</v>
      </c>
      <c r="E26" s="25">
        <v>19.64</v>
      </c>
      <c r="F26" s="22">
        <f t="shared" si="0"/>
        <v>3.2850294116000003E-26</v>
      </c>
      <c r="G26" s="22">
        <f t="shared" si="1"/>
        <v>1.78908333184E-29</v>
      </c>
      <c r="H26" s="24">
        <f t="shared" si="5"/>
        <v>1836.1522647586683</v>
      </c>
      <c r="I26" s="24">
        <f t="shared" si="6"/>
        <v>1</v>
      </c>
      <c r="J26" s="26">
        <f t="shared" si="7"/>
        <v>3.2832403282681602E-26</v>
      </c>
      <c r="K26" s="4">
        <v>41.290994999999988</v>
      </c>
      <c r="L26" s="11">
        <f>10^(0.213+-1200/N26+1350000/N26^2)/1000</f>
        <v>1.2003439447166342E-2</v>
      </c>
      <c r="M26" s="27">
        <f t="shared" si="8"/>
        <v>1.3605442176870747E-3</v>
      </c>
      <c r="N26" s="4">
        <v>735</v>
      </c>
      <c r="O26" s="4">
        <v>1.9405588331960499E-5</v>
      </c>
      <c r="P26" s="4">
        <v>3.1252324985815613E-4</v>
      </c>
      <c r="V26" s="8">
        <v>2102415.4449999998</v>
      </c>
      <c r="W26" s="6">
        <f t="shared" si="11"/>
        <v>1.7119630935946707E-13</v>
      </c>
      <c r="X26" s="6">
        <f t="shared" si="12"/>
        <v>2012.468707779205</v>
      </c>
      <c r="Y26" s="4">
        <v>2012.468707779205</v>
      </c>
      <c r="AC26" s="4">
        <v>3</v>
      </c>
      <c r="AD26" s="4">
        <v>3</v>
      </c>
      <c r="AE26" s="11">
        <f t="shared" si="13"/>
        <v>6</v>
      </c>
      <c r="AF26" s="37">
        <v>0.78633287605038305</v>
      </c>
      <c r="AG26" s="96">
        <v>1.00506308659067</v>
      </c>
      <c r="AH26" s="96">
        <v>0.95850087701636499</v>
      </c>
      <c r="AI26" s="96"/>
      <c r="AJ26" s="96">
        <v>0.60317663224360296</v>
      </c>
      <c r="AK26" s="38">
        <v>2282353441.8618789</v>
      </c>
      <c r="AL26" s="94">
        <v>3.0950738049158301E-10</v>
      </c>
      <c r="AM26" s="94">
        <v>2.9516863130507198E-10</v>
      </c>
      <c r="AN26" s="94">
        <v>1.85747165436873E-10</v>
      </c>
      <c r="AO26" s="94">
        <v>4.3781312500000001E-11</v>
      </c>
      <c r="AP26" s="39">
        <f t="shared" si="23"/>
        <v>3.4452721547321571E-10</v>
      </c>
      <c r="AQ26" s="39">
        <f t="shared" si="24"/>
        <v>6.8692756292588468</v>
      </c>
      <c r="AR26" s="44">
        <f t="shared" si="25"/>
        <v>2.9971975708840666E-4</v>
      </c>
      <c r="AS26" s="44"/>
      <c r="AT26" s="44"/>
      <c r="AU26" s="45">
        <f t="shared" si="2"/>
        <v>2012.468707779205</v>
      </c>
      <c r="AV26" s="46">
        <f t="shared" si="26"/>
        <v>2623.5603674883628</v>
      </c>
      <c r="AW26" s="46"/>
      <c r="AX26" s="46"/>
      <c r="AY26" s="46"/>
      <c r="AZ26" s="46"/>
      <c r="BA26" s="40">
        <f t="shared" si="3"/>
        <v>9.1357178032776404E-3</v>
      </c>
      <c r="BB26" s="40"/>
      <c r="BC26" s="40"/>
      <c r="BD26" s="40"/>
      <c r="BE26" s="40"/>
      <c r="BF26" s="41">
        <v>66.024000000000001</v>
      </c>
      <c r="BG26" s="41"/>
      <c r="BH26" s="41"/>
      <c r="BI26" s="41"/>
      <c r="BJ26" s="41"/>
      <c r="BK26" s="41">
        <f t="shared" si="27"/>
        <v>86.072369241557439</v>
      </c>
      <c r="BL26" s="8">
        <f t="shared" si="22"/>
        <v>2.8369914793196441E-9</v>
      </c>
      <c r="BM26"/>
      <c r="BN26"/>
      <c r="BO26"/>
      <c r="BP26"/>
      <c r="BR26" s="8"/>
    </row>
    <row r="27" spans="1:70" x14ac:dyDescent="0.25">
      <c r="A27" s="4" t="s">
        <v>40</v>
      </c>
      <c r="B27" s="31"/>
      <c r="C27" s="11">
        <v>4</v>
      </c>
      <c r="D27" s="25">
        <v>23.315000000000001</v>
      </c>
      <c r="E27" s="25">
        <v>22.74</v>
      </c>
      <c r="F27" s="22">
        <f t="shared" si="0"/>
        <v>3.8997179598500003E-26</v>
      </c>
      <c r="G27" s="22">
        <f t="shared" si="1"/>
        <v>2.0714742854399996E-29</v>
      </c>
      <c r="H27" s="24">
        <f t="shared" si="5"/>
        <v>1930.1835567339556</v>
      </c>
      <c r="I27" s="24">
        <f t="shared" si="6"/>
        <v>1.0252858399296396</v>
      </c>
      <c r="J27" s="26">
        <f t="shared" si="7"/>
        <v>3.8976464855645601E-26</v>
      </c>
      <c r="K27" s="4">
        <v>66.133683500000004</v>
      </c>
      <c r="L27" s="11">
        <f>0.062*EXP(38800/(8.3144598*N27))/1000</f>
        <v>3.0468148860508516E-2</v>
      </c>
      <c r="M27" s="27">
        <f t="shared" si="8"/>
        <v>1.3280212483399733E-3</v>
      </c>
      <c r="N27" s="4">
        <v>753</v>
      </c>
      <c r="O27" s="4">
        <v>1.9202817056926548E-5</v>
      </c>
      <c r="P27" s="4">
        <v>1.6787041064891779E-4</v>
      </c>
      <c r="V27" s="8">
        <v>2609440.5150000001</v>
      </c>
      <c r="W27" s="6">
        <f t="shared" si="11"/>
        <v>2.5482443458729795E-13</v>
      </c>
      <c r="X27" s="6">
        <f t="shared" si="12"/>
        <v>1781.433208193873</v>
      </c>
      <c r="Y27" s="4">
        <v>1781.433208193873</v>
      </c>
      <c r="AC27" s="4">
        <v>4</v>
      </c>
      <c r="AD27" s="4">
        <v>11</v>
      </c>
      <c r="AE27" s="11">
        <f t="shared" si="13"/>
        <v>15</v>
      </c>
      <c r="AF27" s="37">
        <v>1.1599999999999999</v>
      </c>
      <c r="AG27" s="96"/>
      <c r="AH27" s="96"/>
      <c r="AI27" s="96"/>
      <c r="AJ27" s="96"/>
      <c r="AK27" s="38">
        <v>2555332250.1711068</v>
      </c>
      <c r="AL27" s="94"/>
      <c r="AM27" s="94"/>
      <c r="AN27" s="94"/>
      <c r="AO27" s="94"/>
      <c r="AP27" s="39">
        <f t="shared" si="23"/>
        <v>4.5395271003303991E-10</v>
      </c>
      <c r="AQ27" s="39" t="e">
        <f t="shared" si="24"/>
        <v>#DIV/0!</v>
      </c>
      <c r="AR27" s="44">
        <f t="shared" si="25"/>
        <v>0</v>
      </c>
      <c r="AS27" s="44"/>
      <c r="AT27" s="44"/>
      <c r="AU27" s="45">
        <f t="shared" si="2"/>
        <v>1781.433208193873</v>
      </c>
      <c r="AV27" s="46" t="e">
        <f t="shared" si="26"/>
        <v>#DIV/0!</v>
      </c>
      <c r="AW27" s="46"/>
      <c r="AX27" s="46"/>
      <c r="AY27" s="46"/>
      <c r="AZ27" s="46"/>
      <c r="BA27" s="40">
        <f t="shared" si="3"/>
        <v>0</v>
      </c>
      <c r="BB27" s="40"/>
      <c r="BC27" s="40"/>
      <c r="BD27" s="40"/>
      <c r="BE27" s="40"/>
      <c r="BF27" s="41">
        <v>82.635000000000005</v>
      </c>
      <c r="BG27" s="41"/>
      <c r="BH27" s="41"/>
      <c r="BI27" s="41"/>
      <c r="BJ27" s="41"/>
      <c r="BK27" s="41" t="e">
        <f t="shared" si="27"/>
        <v>#DIV/0!</v>
      </c>
      <c r="BL27" s="8">
        <f t="shared" si="22"/>
        <v>6.5543423785317211E-9</v>
      </c>
      <c r="BM27"/>
      <c r="BN27"/>
      <c r="BO27"/>
      <c r="BP27"/>
      <c r="BR27" s="8"/>
    </row>
    <row r="28" spans="1:70" x14ac:dyDescent="0.25">
      <c r="A28" s="4" t="s">
        <v>47</v>
      </c>
      <c r="B28" s="31"/>
      <c r="C28" s="11">
        <v>4</v>
      </c>
      <c r="D28" s="25">
        <v>14.792</v>
      </c>
      <c r="E28" s="25">
        <v>14.388</v>
      </c>
      <c r="F28" s="22">
        <f t="shared" si="0"/>
        <v>2.4741423144799998E-26</v>
      </c>
      <c r="G28" s="22">
        <f t="shared" si="1"/>
        <v>1.3106584001279998E-29</v>
      </c>
      <c r="H28" s="24">
        <f t="shared" si="5"/>
        <v>1940.7144105304449</v>
      </c>
      <c r="I28" s="24">
        <f t="shared" si="6"/>
        <v>1.0280789546844593</v>
      </c>
      <c r="J28" s="26">
        <f t="shared" si="7"/>
        <v>2.4728316560798717E-26</v>
      </c>
      <c r="K28" s="4">
        <v>40.153548000000008</v>
      </c>
      <c r="L28" s="11"/>
      <c r="M28" s="27">
        <f t="shared" si="8"/>
        <v>1.4084507042253522E-3</v>
      </c>
      <c r="N28" s="4">
        <v>710</v>
      </c>
      <c r="O28" s="4">
        <v>1.69198810550489E-5</v>
      </c>
      <c r="P28" s="4">
        <v>1.8512201652073131E-4</v>
      </c>
      <c r="V28" s="8">
        <v>2163027.5660000001</v>
      </c>
      <c r="W28" s="6">
        <f t="shared" si="11"/>
        <v>1.5928947025541231E-13</v>
      </c>
      <c r="X28" s="6">
        <f t="shared" si="12"/>
        <v>2319.1206460873409</v>
      </c>
      <c r="Y28" s="4">
        <v>2319.1206460873409</v>
      </c>
      <c r="AC28" s="4">
        <v>4</v>
      </c>
      <c r="AD28" s="4">
        <v>11</v>
      </c>
      <c r="AE28" s="11">
        <f t="shared" si="13"/>
        <v>15</v>
      </c>
      <c r="AF28" s="37">
        <v>1.24</v>
      </c>
      <c r="AG28" s="96"/>
      <c r="AH28" s="96"/>
      <c r="AI28" s="96"/>
      <c r="AJ28" s="96"/>
      <c r="AK28" s="38">
        <v>3356690310.8696609</v>
      </c>
      <c r="AL28" s="94"/>
      <c r="AM28" s="94"/>
      <c r="AN28" s="94"/>
      <c r="AO28" s="94"/>
      <c r="AP28" s="39">
        <f t="shared" si="23"/>
        <v>3.6941149917364205E-10</v>
      </c>
      <c r="AQ28" s="39" t="e">
        <f t="shared" si="24"/>
        <v>#DIV/0!</v>
      </c>
      <c r="AR28" s="44">
        <f t="shared" si="25"/>
        <v>0</v>
      </c>
      <c r="AS28" s="44"/>
      <c r="AT28" s="44"/>
      <c r="AU28" s="45">
        <f t="shared" si="2"/>
        <v>2319.1206460873409</v>
      </c>
      <c r="AV28" s="46" t="e">
        <f t="shared" si="26"/>
        <v>#DIV/0!</v>
      </c>
      <c r="AW28" s="46"/>
      <c r="AX28" s="46"/>
      <c r="AY28" s="46"/>
      <c r="AZ28" s="46"/>
      <c r="BA28" s="40">
        <f t="shared" si="3"/>
        <v>0</v>
      </c>
      <c r="BB28" s="40"/>
      <c r="BC28" s="40"/>
      <c r="BD28" s="40"/>
      <c r="BE28" s="40"/>
      <c r="BF28" s="41">
        <v>73.469400000000007</v>
      </c>
      <c r="BG28" s="41"/>
      <c r="BH28" s="41"/>
      <c r="BI28" s="41"/>
      <c r="BJ28" s="41"/>
      <c r="BK28" s="41" t="e">
        <f t="shared" si="27"/>
        <v>#DIV/0!</v>
      </c>
      <c r="BL28" s="8"/>
      <c r="BM28"/>
      <c r="BN28"/>
      <c r="BO28"/>
      <c r="BP28"/>
      <c r="BR28" s="8"/>
    </row>
    <row r="29" spans="1:70" x14ac:dyDescent="0.25">
      <c r="A29" s="4" t="s">
        <v>41</v>
      </c>
      <c r="B29" s="31"/>
      <c r="C29" s="11">
        <v>2</v>
      </c>
      <c r="D29" s="25">
        <v>12.27</v>
      </c>
      <c r="E29" s="25">
        <v>11.73</v>
      </c>
      <c r="F29" s="22">
        <f t="shared" si="0"/>
        <v>2.0523070712999998E-26</v>
      </c>
      <c r="G29" s="22">
        <f t="shared" si="1"/>
        <v>1.0685309308799999E-29</v>
      </c>
      <c r="H29" s="24">
        <f t="shared" si="5"/>
        <v>2009.1011113290388</v>
      </c>
      <c r="I29" s="24">
        <f t="shared" si="6"/>
        <v>1.0460358056265984</v>
      </c>
      <c r="J29" s="26">
        <f t="shared" si="7"/>
        <v>2.0512385403691198E-26</v>
      </c>
      <c r="K29" s="4">
        <v>31.62816999999999</v>
      </c>
      <c r="L29" s="11">
        <f>0.118*EXP(30100/(8.3144598*N29))/1000</f>
        <v>1.6585959930776259E-2</v>
      </c>
      <c r="M29" s="27">
        <f t="shared" si="8"/>
        <v>1.366120218579235E-3</v>
      </c>
      <c r="N29" s="4">
        <v>732</v>
      </c>
      <c r="O29" s="4">
        <v>1.59424661503112E-5</v>
      </c>
      <c r="P29" s="4">
        <v>1.6222658639521151E-4</v>
      </c>
      <c r="V29" s="8">
        <v>1989043.9480000001</v>
      </c>
      <c r="W29" s="6">
        <f t="shared" si="11"/>
        <v>1.0291420238916969E-13</v>
      </c>
      <c r="X29" s="6">
        <f t="shared" si="12"/>
        <v>2547.687552638462</v>
      </c>
      <c r="Y29" s="4">
        <v>2547.687552638462</v>
      </c>
      <c r="AC29" s="4">
        <v>2</v>
      </c>
      <c r="AD29" s="4">
        <v>3</v>
      </c>
      <c r="AE29" s="11">
        <f t="shared" si="13"/>
        <v>5</v>
      </c>
      <c r="AF29" s="37">
        <v>0.98602842355479869</v>
      </c>
      <c r="AG29" s="96"/>
      <c r="AH29" s="96"/>
      <c r="AI29" s="96"/>
      <c r="AJ29" s="96"/>
      <c r="AK29" s="38">
        <v>3760693647.4549508</v>
      </c>
      <c r="AL29" s="94"/>
      <c r="AM29" s="94"/>
      <c r="AN29" s="94"/>
      <c r="AO29" s="94"/>
      <c r="AP29" s="39">
        <f t="shared" si="23"/>
        <v>2.6219323241660306E-10</v>
      </c>
      <c r="AQ29" s="39" t="e">
        <f t="shared" si="24"/>
        <v>#DIV/0!</v>
      </c>
      <c r="AR29" s="44">
        <f t="shared" si="25"/>
        <v>0</v>
      </c>
      <c r="AS29" s="44"/>
      <c r="AT29" s="44"/>
      <c r="AU29" s="45">
        <f t="shared" si="2"/>
        <v>2547.687552638462</v>
      </c>
      <c r="AV29" s="46" t="e">
        <f t="shared" si="26"/>
        <v>#DIV/0!</v>
      </c>
      <c r="AW29" s="46"/>
      <c r="AX29" s="46"/>
      <c r="AY29" s="46"/>
      <c r="AZ29" s="46"/>
      <c r="BA29" s="40">
        <f t="shared" si="3"/>
        <v>0</v>
      </c>
      <c r="BB29" s="40"/>
      <c r="BC29" s="40"/>
      <c r="BD29" s="40"/>
      <c r="BE29" s="40"/>
      <c r="BF29" s="41">
        <v>70.599000000000004</v>
      </c>
      <c r="BG29" s="41"/>
      <c r="BH29" s="41"/>
      <c r="BI29" s="41"/>
      <c r="BJ29" s="41"/>
      <c r="BK29" s="41" t="e">
        <f t="shared" si="27"/>
        <v>#DIV/0!</v>
      </c>
      <c r="BL29" s="8">
        <f>L29/(V29/1000*(Y29+Z29*N29))</f>
        <v>3.2730306153599925E-9</v>
      </c>
      <c r="BM29"/>
      <c r="BN29"/>
      <c r="BO29"/>
      <c r="BP29"/>
      <c r="BR29" s="8"/>
    </row>
    <row r="30" spans="1:70" x14ac:dyDescent="0.25">
      <c r="A30" s="4" t="s">
        <v>42</v>
      </c>
      <c r="B30" s="31"/>
      <c r="C30" s="11">
        <v>3</v>
      </c>
      <c r="D30" s="25">
        <v>13.154999999999999</v>
      </c>
      <c r="E30" s="25">
        <v>12.86</v>
      </c>
      <c r="F30" s="22">
        <f t="shared" si="0"/>
        <v>2.2003341094499998E-26</v>
      </c>
      <c r="G30" s="22">
        <f t="shared" si="1"/>
        <v>1.1714669881599998E-29</v>
      </c>
      <c r="H30" s="24">
        <f t="shared" si="5"/>
        <v>1921.3587403123072</v>
      </c>
      <c r="I30" s="24">
        <f t="shared" si="6"/>
        <v>1.0229393468118195</v>
      </c>
      <c r="J30" s="26">
        <f t="shared" si="7"/>
        <v>2.1991626424618399E-26</v>
      </c>
      <c r="K30" s="4">
        <v>34.403649999999985</v>
      </c>
      <c r="L30" s="11">
        <f>0.123*EXP(29800/(8.3144598*N30))/1000</f>
        <v>1.6457220475546555E-2</v>
      </c>
      <c r="M30" s="27">
        <f t="shared" si="8"/>
        <v>1.366120218579235E-3</v>
      </c>
      <c r="N30" s="4">
        <v>732</v>
      </c>
      <c r="O30" s="4">
        <v>1.6204764243863241E-5</v>
      </c>
      <c r="P30" s="4">
        <v>1.625831359942148E-4</v>
      </c>
      <c r="V30" s="8">
        <v>2039490.53</v>
      </c>
      <c r="W30" s="6">
        <f t="shared" si="11"/>
        <v>1.0143855264350868E-13</v>
      </c>
      <c r="X30" s="6">
        <f t="shared" si="12"/>
        <v>2441.8705732183512</v>
      </c>
      <c r="Y30" s="4">
        <v>2441.8705732183512</v>
      </c>
      <c r="AC30" s="4">
        <v>3</v>
      </c>
      <c r="AD30" s="4">
        <v>7</v>
      </c>
      <c r="AE30" s="11">
        <f t="shared" si="13"/>
        <v>10</v>
      </c>
      <c r="AF30" s="37">
        <v>0.89056771657477962</v>
      </c>
      <c r="AG30" s="96"/>
      <c r="AH30" s="96"/>
      <c r="AI30" s="96"/>
      <c r="AJ30" s="96"/>
      <c r="AK30" s="38">
        <v>3595350729.2626648</v>
      </c>
      <c r="AL30" s="94"/>
      <c r="AM30" s="94"/>
      <c r="AN30" s="94"/>
      <c r="AO30" s="94"/>
      <c r="AP30" s="39">
        <f t="shared" si="23"/>
        <v>2.4769981669004444E-10</v>
      </c>
      <c r="AQ30" s="39" t="e">
        <f t="shared" si="24"/>
        <v>#DIV/0!</v>
      </c>
      <c r="AR30" s="44">
        <f t="shared" si="25"/>
        <v>0</v>
      </c>
      <c r="AS30" s="44"/>
      <c r="AT30" s="44"/>
      <c r="AU30" s="45">
        <f t="shared" si="2"/>
        <v>2441.8705732183512</v>
      </c>
      <c r="AV30" s="46" t="e">
        <f t="shared" si="26"/>
        <v>#DIV/0!</v>
      </c>
      <c r="AW30" s="46"/>
      <c r="AX30" s="46"/>
      <c r="AY30" s="46"/>
      <c r="AZ30" s="46"/>
      <c r="BA30" s="40">
        <f t="shared" si="3"/>
        <v>0</v>
      </c>
      <c r="BB30" s="40"/>
      <c r="BC30" s="40"/>
      <c r="BD30" s="40"/>
      <c r="BE30" s="40"/>
      <c r="BF30" s="41">
        <v>71.578500000000005</v>
      </c>
      <c r="BG30" s="41"/>
      <c r="BH30" s="41"/>
      <c r="BI30" s="41"/>
      <c r="BJ30" s="41"/>
      <c r="BK30" s="41" t="e">
        <f t="shared" si="27"/>
        <v>#DIV/0!</v>
      </c>
      <c r="BL30" s="8">
        <f>L30/(V30/1000*(Y30+Z30*N30))</f>
        <v>3.304548673097048E-9</v>
      </c>
      <c r="BM30"/>
      <c r="BN30"/>
      <c r="BO30"/>
      <c r="BP30"/>
      <c r="BR30" s="8"/>
    </row>
    <row r="31" spans="1:70" x14ac:dyDescent="0.25">
      <c r="A31" s="4" t="s">
        <v>43</v>
      </c>
      <c r="B31" s="31"/>
      <c r="C31" s="11">
        <v>3</v>
      </c>
      <c r="D31" s="25">
        <v>14.04</v>
      </c>
      <c r="E31" s="25">
        <v>13.72</v>
      </c>
      <c r="F31" s="22">
        <f t="shared" si="0"/>
        <v>2.3483611476E-26</v>
      </c>
      <c r="G31" s="22">
        <f t="shared" si="1"/>
        <v>1.2498077043199999E-29</v>
      </c>
      <c r="H31" s="24">
        <f t="shared" si="5"/>
        <v>1922.802532707738</v>
      </c>
      <c r="I31" s="24">
        <f t="shared" si="6"/>
        <v>1.0233236151603498</v>
      </c>
      <c r="J31" s="26">
        <f t="shared" si="7"/>
        <v>2.3471113398956799E-26</v>
      </c>
      <c r="K31" s="4">
        <v>37.179130000000008</v>
      </c>
      <c r="L31" s="11">
        <f>0.123*EXP(29800/(8.3144598*N31))/1000</f>
        <v>1.6457220475546555E-2</v>
      </c>
      <c r="M31" s="27">
        <f t="shared" si="8"/>
        <v>1.366120218579235E-3</v>
      </c>
      <c r="N31" s="4">
        <v>732</v>
      </c>
      <c r="O31" s="4">
        <v>1.6467062337415279E-5</v>
      </c>
      <c r="P31" s="4">
        <v>1.629283268847662E-4</v>
      </c>
      <c r="V31" s="8">
        <v>2089937.112</v>
      </c>
      <c r="W31" s="6">
        <f t="shared" si="11"/>
        <v>9.9224539601885373E-14</v>
      </c>
      <c r="X31" s="6">
        <f t="shared" si="12"/>
        <v>2348.7520215904742</v>
      </c>
      <c r="Y31" s="4">
        <v>2348.7520215904742</v>
      </c>
      <c r="AC31" s="4">
        <v>3</v>
      </c>
      <c r="AD31" s="4">
        <v>7</v>
      </c>
      <c r="AE31" s="11">
        <f t="shared" si="13"/>
        <v>10</v>
      </c>
      <c r="AF31" s="37">
        <v>0.80397278022492213</v>
      </c>
      <c r="AG31" s="96"/>
      <c r="AH31" s="96"/>
      <c r="AI31" s="96"/>
      <c r="AJ31" s="96"/>
      <c r="AK31" s="38">
        <v>3449729844.352057</v>
      </c>
      <c r="AL31" s="94"/>
      <c r="AM31" s="94"/>
      <c r="AN31" s="94"/>
      <c r="AO31" s="94"/>
      <c r="AP31" s="39">
        <f t="shared" si="23"/>
        <v>2.3305383798131233E-10</v>
      </c>
      <c r="AQ31" s="39" t="e">
        <f t="shared" si="24"/>
        <v>#DIV/0!</v>
      </c>
      <c r="AR31" s="44">
        <f t="shared" si="25"/>
        <v>0</v>
      </c>
      <c r="AS31" s="44"/>
      <c r="AT31" s="44"/>
      <c r="AU31" s="45">
        <f t="shared" si="2"/>
        <v>2348.7520215904742</v>
      </c>
      <c r="AV31" s="46" t="e">
        <f t="shared" si="26"/>
        <v>#DIV/0!</v>
      </c>
      <c r="AW31" s="46"/>
      <c r="AX31" s="46"/>
      <c r="AY31" s="46"/>
      <c r="AZ31" s="46"/>
      <c r="BA31" s="40">
        <f t="shared" si="3"/>
        <v>0</v>
      </c>
      <c r="BB31" s="40"/>
      <c r="BC31" s="40"/>
      <c r="BD31" s="40"/>
      <c r="BE31" s="40"/>
      <c r="BF31" s="41">
        <v>72.558000000000007</v>
      </c>
      <c r="BG31" s="41"/>
      <c r="BH31" s="41"/>
      <c r="BI31" s="41"/>
      <c r="BJ31" s="41"/>
      <c r="BK31" s="41" t="e">
        <f t="shared" si="27"/>
        <v>#DIV/0!</v>
      </c>
      <c r="BL31" s="8">
        <f>L31/(V31/1000*(Y31+Z31*N31))</f>
        <v>3.352633671505172E-9</v>
      </c>
      <c r="BM31"/>
      <c r="BN31"/>
      <c r="BO31"/>
      <c r="BP31"/>
      <c r="BR31" s="8"/>
    </row>
    <row r="32" spans="1:70" x14ac:dyDescent="0.25">
      <c r="A32" s="4" t="s">
        <v>44</v>
      </c>
      <c r="B32" s="31"/>
      <c r="C32" s="11">
        <v>2</v>
      </c>
      <c r="D32" s="25">
        <v>31.24</v>
      </c>
      <c r="E32" s="25">
        <v>30.56</v>
      </c>
      <c r="F32" s="22">
        <f t="shared" si="0"/>
        <v>5.2252708155999992E-26</v>
      </c>
      <c r="G32" s="22">
        <f t="shared" si="1"/>
        <v>2.7838282393599999E-29</v>
      </c>
      <c r="H32" s="24">
        <f t="shared" si="5"/>
        <v>1918.7749643041277</v>
      </c>
      <c r="I32" s="24">
        <f t="shared" si="6"/>
        <v>1.0222513089005236</v>
      </c>
      <c r="J32" s="26">
        <f t="shared" si="7"/>
        <v>5.2224869873606396E-26</v>
      </c>
      <c r="K32" s="4">
        <v>88.599896000000015</v>
      </c>
      <c r="L32" s="11"/>
      <c r="M32" s="27">
        <f t="shared" si="8"/>
        <v>1.4335889900365566E-3</v>
      </c>
      <c r="N32" s="4">
        <v>697.55</v>
      </c>
      <c r="O32" s="4">
        <v>5.0411903343394867E-5</v>
      </c>
      <c r="P32" s="4">
        <v>2.3528262366250769E-4</v>
      </c>
      <c r="V32" s="8">
        <v>1755710.5584</v>
      </c>
      <c r="W32" s="6">
        <f t="shared" si="11"/>
        <v>1.9400863497330954E-13</v>
      </c>
      <c r="X32" s="6">
        <f t="shared" si="12"/>
        <v>2039.5014589190009</v>
      </c>
      <c r="Y32" s="4">
        <v>2039.5014589190009</v>
      </c>
      <c r="AC32" s="4">
        <v>2</v>
      </c>
      <c r="AD32" s="4">
        <v>3</v>
      </c>
      <c r="AE32" s="11">
        <f t="shared" si="13"/>
        <v>5</v>
      </c>
      <c r="AF32" s="37">
        <v>0.45966666666666672</v>
      </c>
      <c r="AG32" s="96"/>
      <c r="AH32" s="96"/>
      <c r="AI32" s="96"/>
      <c r="AJ32" s="96"/>
      <c r="AK32" s="38">
        <v>1161710543.9117939</v>
      </c>
      <c r="AL32" s="94"/>
      <c r="AM32" s="94"/>
      <c r="AN32" s="94"/>
      <c r="AO32" s="94"/>
      <c r="AP32" s="39">
        <f t="shared" si="23"/>
        <v>3.9568089407094871E-10</v>
      </c>
      <c r="AQ32" s="39" t="e">
        <f t="shared" si="24"/>
        <v>#DIV/0!</v>
      </c>
      <c r="AR32" s="44">
        <f t="shared" si="25"/>
        <v>0</v>
      </c>
      <c r="AS32" s="44"/>
      <c r="AT32" s="44"/>
      <c r="AU32" s="45">
        <f t="shared" si="2"/>
        <v>2039.5014589190009</v>
      </c>
      <c r="AV32" s="46" t="e">
        <f t="shared" si="26"/>
        <v>#DIV/0!</v>
      </c>
      <c r="AW32" s="46"/>
      <c r="AX32" s="46"/>
      <c r="AY32" s="46"/>
      <c r="AZ32" s="46"/>
      <c r="BA32" s="40">
        <f t="shared" si="3"/>
        <v>0</v>
      </c>
      <c r="BB32" s="40"/>
      <c r="BC32" s="40"/>
      <c r="BD32" s="40"/>
      <c r="BE32" s="40"/>
      <c r="BF32" s="41">
        <v>86.14464000000001</v>
      </c>
      <c r="BG32" s="41"/>
      <c r="BH32" s="41"/>
      <c r="BI32" s="41"/>
      <c r="BJ32" s="41"/>
      <c r="BK32" s="41" t="e">
        <f t="shared" si="27"/>
        <v>#DIV/0!</v>
      </c>
      <c r="BL32" s="8"/>
      <c r="BM32"/>
      <c r="BN32"/>
      <c r="BO32"/>
      <c r="BP32"/>
      <c r="BR32" s="8"/>
    </row>
    <row r="33" spans="1:70" x14ac:dyDescent="0.25">
      <c r="A33" s="4" t="s">
        <v>48</v>
      </c>
      <c r="B33" s="31"/>
      <c r="C33" s="11">
        <v>3</v>
      </c>
      <c r="D33" s="25">
        <v>31.2639</v>
      </c>
      <c r="E33" s="25">
        <v>31.1128</v>
      </c>
      <c r="F33" s="22">
        <f t="shared" si="0"/>
        <v>5.2292683819409995E-26</v>
      </c>
      <c r="G33" s="22">
        <f t="shared" si="1"/>
        <v>2.8341849229567998E-29</v>
      </c>
      <c r="H33" s="24">
        <f t="shared" si="5"/>
        <v>1854.0301999029296</v>
      </c>
      <c r="I33" s="24">
        <f t="shared" si="6"/>
        <v>1.004856522074516</v>
      </c>
      <c r="J33" s="26">
        <f t="shared" si="7"/>
        <v>5.2264341970180427E-26</v>
      </c>
      <c r="K33" s="4">
        <v>70.265004930000003</v>
      </c>
      <c r="L33" s="11"/>
      <c r="M33" s="27">
        <f t="shared" si="8"/>
        <v>1.4824697946779336E-3</v>
      </c>
      <c r="N33" s="4">
        <v>674.55</v>
      </c>
      <c r="O33" s="4">
        <v>3.9907749542334093E-5</v>
      </c>
      <c r="P33" s="4">
        <v>3.2881887812902358E-4</v>
      </c>
      <c r="V33" s="8">
        <v>1761444.9958345001</v>
      </c>
      <c r="W33" s="6">
        <f t="shared" si="11"/>
        <v>1.8234630744752904E-13</v>
      </c>
      <c r="X33" s="6">
        <f t="shared" si="12"/>
        <v>2024.776905844504</v>
      </c>
      <c r="Y33" s="4">
        <v>2024.776905844504</v>
      </c>
      <c r="AC33" s="4">
        <v>3</v>
      </c>
      <c r="AD33" s="4">
        <v>4</v>
      </c>
      <c r="AE33" s="11">
        <f t="shared" si="13"/>
        <v>7</v>
      </c>
      <c r="AF33" s="37">
        <v>0.46554761904761921</v>
      </c>
      <c r="AG33" s="96"/>
      <c r="AH33" s="96"/>
      <c r="AI33" s="96"/>
      <c r="AJ33" s="96"/>
      <c r="AK33" s="38">
        <v>1260927039.745832</v>
      </c>
      <c r="AL33" s="94"/>
      <c r="AM33" s="94"/>
      <c r="AN33" s="94"/>
      <c r="AO33" s="94"/>
      <c r="AP33" s="39">
        <f t="shared" si="23"/>
        <v>3.6921059218577845E-10</v>
      </c>
      <c r="AQ33" s="39" t="e">
        <f t="shared" si="24"/>
        <v>#DIV/0!</v>
      </c>
      <c r="AR33" s="44">
        <f t="shared" si="25"/>
        <v>0</v>
      </c>
      <c r="AS33" s="44"/>
      <c r="AT33" s="44"/>
      <c r="AU33" s="45">
        <f t="shared" si="2"/>
        <v>2024.776905844504</v>
      </c>
      <c r="AV33" s="46" t="e">
        <f t="shared" si="26"/>
        <v>#DIV/0!</v>
      </c>
      <c r="AW33" s="46"/>
      <c r="AX33" s="46"/>
      <c r="AY33" s="46"/>
      <c r="AZ33" s="46"/>
      <c r="BA33" s="40">
        <f t="shared" si="3"/>
        <v>0</v>
      </c>
      <c r="BB33" s="40"/>
      <c r="BC33" s="40"/>
      <c r="BD33" s="40"/>
      <c r="BE33" s="40"/>
      <c r="BF33" s="41">
        <v>74.557488799999987</v>
      </c>
      <c r="BG33" s="41"/>
      <c r="BH33" s="41"/>
      <c r="BI33" s="41"/>
      <c r="BJ33" s="41"/>
      <c r="BK33" s="41" t="e">
        <f t="shared" si="27"/>
        <v>#DIV/0!</v>
      </c>
      <c r="BL33" s="8"/>
      <c r="BM33"/>
      <c r="BN33"/>
      <c r="BO33"/>
      <c r="BP33"/>
      <c r="BR33" s="8"/>
    </row>
    <row r="34" spans="1:70" x14ac:dyDescent="0.25">
      <c r="A34" s="4" t="s">
        <v>49</v>
      </c>
      <c r="B34" s="31"/>
      <c r="C34" s="11">
        <v>3</v>
      </c>
      <c r="D34" s="25">
        <v>24.785</v>
      </c>
      <c r="E34" s="25">
        <v>24.72</v>
      </c>
      <c r="F34" s="22">
        <f t="shared" si="0"/>
        <v>4.1455933791499998E-26</v>
      </c>
      <c r="G34" s="22">
        <f t="shared" si="1"/>
        <v>2.2518401203199998E-29</v>
      </c>
      <c r="H34" s="24">
        <f t="shared" si="5"/>
        <v>1845.8211004781881</v>
      </c>
      <c r="I34" s="24">
        <f t="shared" si="6"/>
        <v>1.0026294498381878</v>
      </c>
      <c r="J34" s="26">
        <f t="shared" si="7"/>
        <v>4.1433415390296795E-26</v>
      </c>
      <c r="K34" s="4">
        <v>52.812707000000003</v>
      </c>
      <c r="L34" s="11"/>
      <c r="M34" s="27">
        <f t="shared" si="8"/>
        <v>1.0416666666666667E-3</v>
      </c>
      <c r="N34" s="4">
        <v>960</v>
      </c>
      <c r="O34" s="4">
        <v>2.5195547395480521E-5</v>
      </c>
      <c r="P34" s="4">
        <v>3.1944977764052052E-4</v>
      </c>
      <c r="V34" s="8">
        <v>2110100.6</v>
      </c>
      <c r="W34" s="6">
        <f t="shared" si="11"/>
        <v>2.5225271478291208E-13</v>
      </c>
      <c r="X34" s="6">
        <f t="shared" si="12"/>
        <v>1885.1934295243609</v>
      </c>
      <c r="Y34" s="4">
        <v>1885.1934295243609</v>
      </c>
      <c r="AC34" s="4">
        <v>3</v>
      </c>
      <c r="AD34" s="4">
        <v>4</v>
      </c>
      <c r="AE34" s="11">
        <f t="shared" si="13"/>
        <v>7</v>
      </c>
      <c r="AF34" s="37">
        <v>0.82855603900974906</v>
      </c>
      <c r="AG34" s="96"/>
      <c r="AH34" s="96"/>
      <c r="AI34" s="96"/>
      <c r="AJ34" s="96"/>
      <c r="AK34" s="38">
        <v>1742328821.428329</v>
      </c>
      <c r="AL34" s="94"/>
      <c r="AM34" s="94"/>
      <c r="AN34" s="94"/>
      <c r="AO34" s="94"/>
      <c r="AP34" s="39">
        <f t="shared" si="23"/>
        <v>4.7554516048842846E-10</v>
      </c>
      <c r="AQ34" s="39" t="e">
        <f t="shared" si="24"/>
        <v>#DIV/0!</v>
      </c>
      <c r="AR34" s="44">
        <f t="shared" si="25"/>
        <v>0</v>
      </c>
      <c r="AS34" s="44"/>
      <c r="AT34" s="44"/>
      <c r="AU34" s="45">
        <f t="shared" si="2"/>
        <v>1885.1934295243609</v>
      </c>
      <c r="AV34" s="46" t="e">
        <f t="shared" si="26"/>
        <v>#DIV/0!</v>
      </c>
      <c r="AW34" s="46"/>
      <c r="AX34" s="46"/>
      <c r="AY34" s="46"/>
      <c r="AZ34" s="46"/>
      <c r="BA34" s="40">
        <f t="shared" si="3"/>
        <v>0</v>
      </c>
      <c r="BB34" s="40"/>
      <c r="BC34" s="40"/>
      <c r="BD34" s="40"/>
      <c r="BE34" s="40"/>
      <c r="BF34" s="41">
        <v>69.858500000000006</v>
      </c>
      <c r="BG34" s="41"/>
      <c r="BH34" s="41"/>
      <c r="BI34" s="41"/>
      <c r="BJ34" s="41"/>
      <c r="BK34" s="41" t="e">
        <f t="shared" si="27"/>
        <v>#DIV/0!</v>
      </c>
      <c r="BL34" s="8"/>
      <c r="BM34"/>
      <c r="BN34"/>
      <c r="BO34"/>
      <c r="BP34"/>
      <c r="BR34" s="8"/>
    </row>
    <row r="35" spans="1:70" x14ac:dyDescent="0.25">
      <c r="A35" s="4" t="s">
        <v>50</v>
      </c>
      <c r="B35" s="31"/>
      <c r="C35" s="11">
        <v>2</v>
      </c>
      <c r="D35" s="25">
        <v>26.687999999999999</v>
      </c>
      <c r="E35" s="25">
        <v>26.687999999999999</v>
      </c>
      <c r="F35" s="22">
        <f t="shared" si="0"/>
        <v>4.46389332672E-26</v>
      </c>
      <c r="G35" s="22">
        <f t="shared" si="1"/>
        <v>2.4311128289279996E-29</v>
      </c>
      <c r="H35" s="24">
        <f t="shared" si="5"/>
        <v>1836.1522647586687</v>
      </c>
      <c r="I35" s="24">
        <f t="shared" si="6"/>
        <v>1</v>
      </c>
      <c r="J35" s="26">
        <f t="shared" si="7"/>
        <v>4.4614622138910719E-26</v>
      </c>
      <c r="K35" s="4">
        <v>55.835751400000007</v>
      </c>
      <c r="L35" s="11">
        <f>0.087*EXP(20900/(8.3144598*N35))/1000</f>
        <v>4.643717802745531E-3</v>
      </c>
      <c r="M35" s="27">
        <f t="shared" si="8"/>
        <v>1.5822784810126582E-3</v>
      </c>
      <c r="N35" s="4">
        <v>632</v>
      </c>
      <c r="O35" s="4">
        <v>3.2950648962882389E-5</v>
      </c>
      <c r="P35" s="4">
        <v>3.3829968336054601E-4</v>
      </c>
      <c r="V35" s="8">
        <v>1676175.3472</v>
      </c>
      <c r="W35" s="6">
        <f t="shared" si="11"/>
        <v>1.9371023884610541E-13</v>
      </c>
      <c r="X35" s="6">
        <f t="shared" si="12"/>
        <v>2084.8843456983841</v>
      </c>
      <c r="Y35" s="4">
        <v>2084.8843456983841</v>
      </c>
      <c r="AC35" s="4">
        <v>2</v>
      </c>
      <c r="AD35" s="4">
        <v>2</v>
      </c>
      <c r="AE35" s="11">
        <f t="shared" si="13"/>
        <v>4</v>
      </c>
      <c r="AF35" s="37">
        <v>0.58438111223711209</v>
      </c>
      <c r="AG35" s="96"/>
      <c r="AH35" s="96"/>
      <c r="AI35" s="96"/>
      <c r="AJ35" s="96"/>
      <c r="AK35" s="38">
        <v>1446976992.079078</v>
      </c>
      <c r="AL35" s="94"/>
      <c r="AM35" s="94"/>
      <c r="AN35" s="94"/>
      <c r="AO35" s="94"/>
      <c r="AP35" s="39">
        <f t="shared" si="23"/>
        <v>4.0386344457174019E-10</v>
      </c>
      <c r="AQ35" s="39" t="e">
        <f t="shared" si="24"/>
        <v>#DIV/0!</v>
      </c>
      <c r="AR35" s="44">
        <f t="shared" si="25"/>
        <v>0</v>
      </c>
      <c r="AS35" s="44"/>
      <c r="AT35" s="44"/>
      <c r="AU35" s="45">
        <f t="shared" si="2"/>
        <v>2084.8843456983841</v>
      </c>
      <c r="AV35" s="46" t="e">
        <f t="shared" si="26"/>
        <v>#DIV/0!</v>
      </c>
      <c r="AW35" s="46"/>
      <c r="AX35" s="46"/>
      <c r="AY35" s="46"/>
      <c r="AZ35" s="46"/>
      <c r="BA35" s="40">
        <f t="shared" si="3"/>
        <v>0</v>
      </c>
      <c r="BB35" s="40"/>
      <c r="BC35" s="40"/>
      <c r="BD35" s="40"/>
      <c r="BE35" s="40"/>
      <c r="BF35" s="41">
        <v>68.606440000000006</v>
      </c>
      <c r="BG35" s="41"/>
      <c r="BH35" s="41"/>
      <c r="BI35" s="41"/>
      <c r="BJ35" s="41"/>
      <c r="BK35" s="41" t="e">
        <f t="shared" si="27"/>
        <v>#DIV/0!</v>
      </c>
      <c r="BL35" s="8">
        <f t="shared" ref="BL35:BL42" si="28">L35/(V35/1000*(Y35+Z35*N35))</f>
        <v>1.3288146350028744E-9</v>
      </c>
      <c r="BM35"/>
      <c r="BN35"/>
      <c r="BO35"/>
      <c r="BP35"/>
      <c r="BR35" s="8"/>
    </row>
    <row r="36" spans="1:70" x14ac:dyDescent="0.25">
      <c r="A36" s="4" t="s">
        <v>45</v>
      </c>
      <c r="B36" s="31"/>
      <c r="C36" s="11">
        <v>2</v>
      </c>
      <c r="D36" s="25">
        <v>15.2</v>
      </c>
      <c r="E36" s="25">
        <v>15.2</v>
      </c>
      <c r="F36" s="22">
        <f t="shared" si="0"/>
        <v>2.5423852879999997E-26</v>
      </c>
      <c r="G36" s="22">
        <f t="shared" si="1"/>
        <v>1.3846266111999999E-29</v>
      </c>
      <c r="H36" s="24">
        <f t="shared" si="5"/>
        <v>1836.152264758668</v>
      </c>
      <c r="I36" s="24">
        <f t="shared" si="6"/>
        <v>1</v>
      </c>
      <c r="J36" s="26">
        <f t="shared" si="7"/>
        <v>2.5410006613887998E-26</v>
      </c>
      <c r="K36" s="4">
        <v>32.358600000000003</v>
      </c>
      <c r="L36" s="11">
        <f>0.116*EXP(26800/(8.3144598*N36))/1000</f>
        <v>3.9071251973790879E-3</v>
      </c>
      <c r="M36" s="27">
        <f t="shared" si="8"/>
        <v>1.0911074740861974E-3</v>
      </c>
      <c r="N36" s="4">
        <v>916.5</v>
      </c>
      <c r="O36" s="4">
        <v>1.5885583505580338E-5</v>
      </c>
      <c r="P36" s="4">
        <v>2.7773488865206569E-4</v>
      </c>
      <c r="V36" s="8">
        <v>2014141.42</v>
      </c>
      <c r="W36" s="6">
        <f t="shared" si="11"/>
        <v>1.1724802668384044E-13</v>
      </c>
      <c r="X36" s="6">
        <f t="shared" si="12"/>
        <v>2298.228366828082</v>
      </c>
      <c r="Y36" s="4">
        <v>2298.228366828082</v>
      </c>
      <c r="AC36" s="4">
        <v>2</v>
      </c>
      <c r="AD36" s="4">
        <v>2</v>
      </c>
      <c r="AE36" s="11">
        <f t="shared" si="13"/>
        <v>4</v>
      </c>
      <c r="AF36" s="37">
        <v>0.86544945017475028</v>
      </c>
      <c r="AG36" s="96">
        <v>0.75516834485926099</v>
      </c>
      <c r="AH36" s="96">
        <v>0.94087678645500805</v>
      </c>
      <c r="AI36" s="96"/>
      <c r="AJ36" s="96">
        <v>0.75516834485926099</v>
      </c>
      <c r="AK36" s="38">
        <v>3211759248.6080689</v>
      </c>
      <c r="AL36" s="94">
        <v>1.8261412703366699E-10</v>
      </c>
      <c r="AM36" s="94">
        <v>2.27521974635661E-10</v>
      </c>
      <c r="AN36" s="94">
        <v>1.8261412703366699E-10</v>
      </c>
      <c r="AO36" s="94">
        <v>4.4170000000000001E-11</v>
      </c>
      <c r="AP36" s="39">
        <f t="shared" si="23"/>
        <v>2.6946274087941797E-10</v>
      </c>
      <c r="AQ36" s="39">
        <f t="shared" si="24"/>
        <v>5.1005827683816607</v>
      </c>
      <c r="AR36" s="44">
        <f t="shared" si="25"/>
        <v>3.2858716555722985E-4</v>
      </c>
      <c r="AS36" s="44"/>
      <c r="AT36" s="44"/>
      <c r="AU36" s="45">
        <f t="shared" si="2"/>
        <v>2298.228366828082</v>
      </c>
      <c r="AV36" s="46">
        <f t="shared" si="26"/>
        <v>2633.8504387628477</v>
      </c>
      <c r="AW36" s="46"/>
      <c r="AX36" s="46"/>
      <c r="AY36" s="46"/>
      <c r="AZ36" s="46"/>
      <c r="BA36" s="40">
        <f t="shared" si="3"/>
        <v>1.133886403692584E-2</v>
      </c>
      <c r="BB36" s="40"/>
      <c r="BC36" s="40"/>
      <c r="BD36" s="40"/>
      <c r="BE36" s="40"/>
      <c r="BF36" s="41">
        <v>66.600000000000009</v>
      </c>
      <c r="BG36" s="41"/>
      <c r="BH36" s="41"/>
      <c r="BI36" s="41"/>
      <c r="BJ36" s="41"/>
      <c r="BK36" s="41">
        <f t="shared" si="27"/>
        <v>76.325939472979911</v>
      </c>
      <c r="BL36" s="8">
        <f t="shared" si="28"/>
        <v>8.4406168446792717E-10</v>
      </c>
      <c r="BM36"/>
      <c r="BN36"/>
      <c r="BO36"/>
      <c r="BP36"/>
      <c r="BR36" s="8"/>
    </row>
    <row r="37" spans="1:70" x14ac:dyDescent="0.25">
      <c r="A37" s="4" t="s">
        <v>75</v>
      </c>
      <c r="B37" s="31"/>
      <c r="C37" s="11">
        <v>2</v>
      </c>
      <c r="D37" s="25">
        <v>57.97</v>
      </c>
      <c r="E37" s="25">
        <v>57.23</v>
      </c>
      <c r="F37" s="22">
        <f t="shared" si="0"/>
        <v>9.6961891543000003E-26</v>
      </c>
      <c r="G37" s="22">
        <f t="shared" si="1"/>
        <v>5.2133013788799995E-29</v>
      </c>
      <c r="H37" s="24">
        <f t="shared" si="5"/>
        <v>1883.9431857125064</v>
      </c>
      <c r="I37" s="24">
        <f t="shared" si="6"/>
        <v>1.0129302813209855</v>
      </c>
      <c r="J37" s="26">
        <f t="shared" si="7"/>
        <v>9.6909758529211207E-26</v>
      </c>
      <c r="K37" s="4">
        <v>164.240723</v>
      </c>
      <c r="L37" s="11">
        <f>10^(-1.2675+1704/N37+0/N37^2)/1000</f>
        <v>8.0532167424896099E-3</v>
      </c>
      <c r="M37" s="27">
        <f t="shared" si="8"/>
        <v>1.2755102040816326E-3</v>
      </c>
      <c r="N37" s="4">
        <v>784</v>
      </c>
      <c r="O37" s="4">
        <v>4.607843109406244E-5</v>
      </c>
      <c r="P37" s="4">
        <v>3.4092675768507421E-4</v>
      </c>
      <c r="V37" s="8">
        <v>2996639.6639999989</v>
      </c>
      <c r="W37" s="6">
        <f t="shared" si="11"/>
        <v>1.5794146510005893E-13</v>
      </c>
      <c r="X37" s="6">
        <f t="shared" si="12"/>
        <v>1451.7494609289899</v>
      </c>
      <c r="Y37" s="4">
        <v>1451.7494609289899</v>
      </c>
      <c r="AC37" s="4">
        <v>2</v>
      </c>
      <c r="AD37" s="4">
        <v>4</v>
      </c>
      <c r="AE37" s="11">
        <f t="shared" si="13"/>
        <v>6</v>
      </c>
      <c r="AF37" s="37">
        <v>0.239262577144952</v>
      </c>
      <c r="AG37" s="96">
        <v>0.34729589008948702</v>
      </c>
      <c r="AH37" s="96">
        <v>0.30898231064777298</v>
      </c>
      <c r="AI37" s="96"/>
      <c r="AJ37" s="96">
        <v>0.27030115340192401</v>
      </c>
      <c r="AK37" s="38">
        <v>1043486754.089075</v>
      </c>
      <c r="AL37" s="94">
        <v>3.5638656241162298E-10</v>
      </c>
      <c r="AM37" s="94">
        <v>3.1707010269941899E-10</v>
      </c>
      <c r="AN37" s="94">
        <v>2.7737644361983898E-10</v>
      </c>
      <c r="AO37" s="94">
        <v>5.9341049999999997E-11</v>
      </c>
      <c r="AP37" s="39">
        <f t="shared" si="23"/>
        <v>2.2929143681734543E-10</v>
      </c>
      <c r="AQ37" s="39">
        <f t="shared" si="24"/>
        <v>2.8639598864082356</v>
      </c>
      <c r="AR37" s="44">
        <f t="shared" si="25"/>
        <v>1.8618994576995084E-4</v>
      </c>
      <c r="AS37" s="44"/>
      <c r="AT37" s="44"/>
      <c r="AU37" s="45">
        <f t="shared" si="2"/>
        <v>1451.7494609289899</v>
      </c>
      <c r="AV37" s="46">
        <f t="shared" si="26"/>
        <v>1285.045635281379</v>
      </c>
      <c r="AW37" s="46"/>
      <c r="AX37" s="46"/>
      <c r="AY37" s="46"/>
      <c r="AZ37" s="46"/>
      <c r="BA37" s="40">
        <f t="shared" si="3"/>
        <v>2.7204058087604544E-3</v>
      </c>
      <c r="BB37" s="40"/>
      <c r="BC37" s="40"/>
      <c r="BD37" s="40"/>
      <c r="BE37" s="40"/>
      <c r="BF37" s="41">
        <v>99.360600000000005</v>
      </c>
      <c r="BG37" s="41"/>
      <c r="BH37" s="41"/>
      <c r="BI37" s="41"/>
      <c r="BJ37" s="41"/>
      <c r="BK37" s="41">
        <f t="shared" si="27"/>
        <v>87.951060968352863</v>
      </c>
      <c r="BL37" s="8">
        <f t="shared" si="28"/>
        <v>1.8511567318115176E-9</v>
      </c>
      <c r="BM37"/>
      <c r="BN37"/>
      <c r="BO37"/>
      <c r="BP37"/>
      <c r="BR37" s="8"/>
    </row>
    <row r="38" spans="1:70" x14ac:dyDescent="0.25">
      <c r="A38" s="4" t="s">
        <v>76</v>
      </c>
      <c r="B38" s="31"/>
      <c r="C38" s="11">
        <v>2</v>
      </c>
      <c r="D38" s="25">
        <v>55.701999999999998</v>
      </c>
      <c r="E38" s="25">
        <v>55.018000000000001</v>
      </c>
      <c r="F38" s="22">
        <f t="shared" si="0"/>
        <v>9.3168385073799999E-26</v>
      </c>
      <c r="G38" s="22">
        <f t="shared" si="1"/>
        <v>5.0118017694079994E-29</v>
      </c>
      <c r="H38" s="24">
        <f t="shared" si="5"/>
        <v>1882.0912368640552</v>
      </c>
      <c r="I38" s="24">
        <f t="shared" si="6"/>
        <v>1.0124322948853102</v>
      </c>
      <c r="J38" s="26">
        <f t="shared" si="7"/>
        <v>9.3118267056105916E-26</v>
      </c>
      <c r="K38" s="4">
        <v>156.23418179999999</v>
      </c>
      <c r="L38" s="11">
        <f>10^(-1.2179+1557/N38+0/N38^2)/1000</f>
        <v>5.8623181999963962E-3</v>
      </c>
      <c r="M38" s="27">
        <f>N38^-1</f>
        <v>1.2755102040816326E-3</v>
      </c>
      <c r="N38" s="4">
        <v>784</v>
      </c>
      <c r="O38" s="4">
        <v>4.5172248870240592E-5</v>
      </c>
      <c r="P38" s="4">
        <v>3.4144514086291769E-4</v>
      </c>
      <c r="V38" s="8">
        <v>2899543.8624</v>
      </c>
      <c r="W38" s="6">
        <f t="shared" si="11"/>
        <v>1.7791880735393902E-13</v>
      </c>
      <c r="X38" s="6">
        <f t="shared" si="12"/>
        <v>1470.4555590061771</v>
      </c>
      <c r="Y38" s="4">
        <v>1470.4555590061771</v>
      </c>
      <c r="AC38" s="4">
        <v>2</v>
      </c>
      <c r="AD38" s="4">
        <v>4</v>
      </c>
      <c r="AE38" s="11">
        <f t="shared" si="13"/>
        <v>6</v>
      </c>
      <c r="AF38" s="37">
        <v>0.27567442291687039</v>
      </c>
      <c r="AG38" s="96">
        <v>0.36148346330236197</v>
      </c>
      <c r="AH38" s="96">
        <v>0.321604714997761</v>
      </c>
      <c r="AI38" s="96"/>
      <c r="AJ38" s="96">
        <v>0.281343372768316</v>
      </c>
      <c r="AK38" s="38">
        <v>1053713906.86537</v>
      </c>
      <c r="AL38" s="94">
        <v>3.5638656241162298E-10</v>
      </c>
      <c r="AM38" s="94">
        <v>3.1707010269941899E-10</v>
      </c>
      <c r="AN38" s="94">
        <v>2.7737644361983898E-10</v>
      </c>
      <c r="AO38" s="94">
        <v>5.9682537999999999E-11</v>
      </c>
      <c r="AP38" s="39">
        <f t="shared" si="23"/>
        <v>2.6162169932534875E-10</v>
      </c>
      <c r="AQ38" s="39">
        <f t="shared" si="24"/>
        <v>3.3835551920621865</v>
      </c>
      <c r="AR38" s="44">
        <f t="shared" si="25"/>
        <v>1.9133075531943644E-4</v>
      </c>
      <c r="AS38" s="44"/>
      <c r="AT38" s="44"/>
      <c r="AU38" s="45">
        <f t="shared" si="2"/>
        <v>1470.4555590061771</v>
      </c>
      <c r="AV38" s="46">
        <f t="shared" si="26"/>
        <v>1440.8265020258657</v>
      </c>
      <c r="AW38" s="46"/>
      <c r="AX38" s="46"/>
      <c r="AY38" s="46"/>
      <c r="AZ38" s="46"/>
      <c r="BA38" s="40">
        <f t="shared" si="3"/>
        <v>2.8971628941904209E-3</v>
      </c>
      <c r="BB38" s="40"/>
      <c r="BC38" s="40"/>
      <c r="BD38" s="40"/>
      <c r="BE38" s="40"/>
      <c r="BF38" s="41">
        <v>97.109960000000001</v>
      </c>
      <c r="BG38" s="41"/>
      <c r="BH38" s="41"/>
      <c r="BI38" s="41"/>
      <c r="BJ38" s="41"/>
      <c r="BK38" s="41">
        <f t="shared" si="27"/>
        <v>95.153235418578163</v>
      </c>
      <c r="BL38" s="8">
        <f t="shared" si="28"/>
        <v>1.3749528367298905E-9</v>
      </c>
      <c r="BM38"/>
      <c r="BN38"/>
      <c r="BO38"/>
      <c r="BP38"/>
      <c r="BR38" s="8"/>
    </row>
    <row r="39" spans="1:70" s="32" customFormat="1" ht="18" x14ac:dyDescent="0.35">
      <c r="A39" s="32" t="s">
        <v>79</v>
      </c>
      <c r="K39" s="32">
        <v>128.10887</v>
      </c>
      <c r="L39" s="11">
        <f>0.0767*EXP(39300/(8.3144598*N39))/1000</f>
        <v>9.0410766995504526E-3</v>
      </c>
      <c r="N39" s="32">
        <v>991</v>
      </c>
      <c r="O39" s="32">
        <v>3.02434243367421E-5</v>
      </c>
      <c r="P39" s="32">
        <v>2.3876282234647119E-4</v>
      </c>
      <c r="R39" s="33"/>
      <c r="S39" s="33"/>
      <c r="T39" s="33"/>
      <c r="V39" s="32">
        <v>3498633.56</v>
      </c>
      <c r="W39" s="6">
        <f t="shared" si="11"/>
        <v>2.4538908539604582E-13</v>
      </c>
      <c r="X39" s="6">
        <f t="shared" si="12"/>
        <v>1348.6175138087231</v>
      </c>
      <c r="Y39" s="32">
        <f>AU39</f>
        <v>1348.6175138087231</v>
      </c>
      <c r="AC39" s="32">
        <v>3</v>
      </c>
      <c r="AD39" s="32">
        <v>6</v>
      </c>
      <c r="AE39" s="11">
        <f t="shared" si="13"/>
        <v>9</v>
      </c>
      <c r="AF39" s="51">
        <v>0.49395061728395051</v>
      </c>
      <c r="AG39" s="97"/>
      <c r="AH39" s="97"/>
      <c r="AI39" s="97"/>
      <c r="AJ39" s="97"/>
      <c r="AK39" s="52">
        <v>1492586451.837889</v>
      </c>
      <c r="AL39" s="99"/>
      <c r="AM39" s="99"/>
      <c r="AN39" s="99"/>
      <c r="AO39" s="94"/>
      <c r="AP39" s="39">
        <f t="shared" si="23"/>
        <v>3.3093601826261176E-10</v>
      </c>
      <c r="AQ39" s="39" t="e">
        <f t="shared" si="24"/>
        <v>#DIV/0!</v>
      </c>
      <c r="AR39" s="44">
        <f t="shared" si="25"/>
        <v>0</v>
      </c>
      <c r="AS39" s="44"/>
      <c r="AT39" s="44"/>
      <c r="AU39" s="53">
        <v>1348.6175138087231</v>
      </c>
      <c r="AV39" s="46" t="e">
        <f t="shared" si="26"/>
        <v>#DIV/0!</v>
      </c>
      <c r="AW39" s="46"/>
      <c r="AX39" s="46"/>
      <c r="AY39" s="46"/>
      <c r="AZ39" s="46"/>
      <c r="BA39" s="40">
        <f t="shared" si="3"/>
        <v>0</v>
      </c>
      <c r="BB39" s="40"/>
      <c r="BC39" s="40"/>
      <c r="BD39" s="40"/>
      <c r="BE39" s="40"/>
      <c r="BF39" s="42">
        <v>100.416</v>
      </c>
      <c r="BG39" s="42"/>
      <c r="BH39" s="42"/>
      <c r="BI39" s="42"/>
      <c r="BJ39" s="42"/>
      <c r="BK39" s="41" t="e">
        <f t="shared" si="27"/>
        <v>#DIV/0!</v>
      </c>
      <c r="BL39" s="8">
        <f t="shared" si="28"/>
        <v>1.9161649880499741E-9</v>
      </c>
      <c r="BR39" s="8"/>
    </row>
    <row r="40" spans="1:70" s="32" customFormat="1" ht="18" x14ac:dyDescent="0.35">
      <c r="A40" s="32" t="s">
        <v>78</v>
      </c>
      <c r="G40" s="33"/>
      <c r="H40" s="33"/>
      <c r="K40" s="32">
        <v>154.66795999999999</v>
      </c>
      <c r="L40" s="11">
        <f>0.0767*EXP(39300/(8.3144598*N40))/1000</f>
        <v>8.1514268008243823E-3</v>
      </c>
      <c r="N40" s="32">
        <v>1013</v>
      </c>
      <c r="O40" s="32">
        <v>3.2645143022437789E-5</v>
      </c>
      <c r="P40" s="32">
        <v>2.2077562764566649E-4</v>
      </c>
      <c r="V40" s="32">
        <v>3957693.64</v>
      </c>
      <c r="W40" s="6">
        <f t="shared" si="11"/>
        <v>2.4928413510284335E-13</v>
      </c>
      <c r="X40" s="6">
        <f t="shared" si="12"/>
        <v>1272.126022947567</v>
      </c>
      <c r="Y40" s="32">
        <f>AU40</f>
        <v>1272.126022947567</v>
      </c>
      <c r="AC40" s="32">
        <v>3</v>
      </c>
      <c r="AD40" s="32">
        <v>6</v>
      </c>
      <c r="AE40" s="11">
        <f t="shared" si="13"/>
        <v>9</v>
      </c>
      <c r="AF40" s="51">
        <v>0.45693693693693682</v>
      </c>
      <c r="AG40" s="97"/>
      <c r="AH40" s="97"/>
      <c r="AI40" s="97"/>
      <c r="AJ40" s="97"/>
      <c r="AK40" s="52">
        <v>1440892196.1891489</v>
      </c>
      <c r="AL40" s="99"/>
      <c r="AM40" s="99"/>
      <c r="AN40" s="99"/>
      <c r="AO40" s="94"/>
      <c r="AP40" s="39">
        <f t="shared" si="23"/>
        <v>3.171208353723041E-10</v>
      </c>
      <c r="AQ40" s="39" t="e">
        <f t="shared" si="24"/>
        <v>#DIV/0!</v>
      </c>
      <c r="AR40" s="44">
        <f t="shared" si="25"/>
        <v>0</v>
      </c>
      <c r="AS40" s="44"/>
      <c r="AT40" s="44"/>
      <c r="AU40" s="53">
        <v>1272.126022947567</v>
      </c>
      <c r="AV40" s="46" t="e">
        <f t="shared" si="26"/>
        <v>#DIV/0!</v>
      </c>
      <c r="AW40" s="46"/>
      <c r="AX40" s="46"/>
      <c r="AY40" s="46"/>
      <c r="AZ40" s="46"/>
      <c r="BA40" s="40">
        <f t="shared" si="3"/>
        <v>0</v>
      </c>
      <c r="BB40" s="40"/>
      <c r="BC40" s="40"/>
      <c r="BD40" s="40"/>
      <c r="BE40" s="40"/>
      <c r="BF40" s="42">
        <v>110.928</v>
      </c>
      <c r="BG40" s="42"/>
      <c r="BH40" s="42"/>
      <c r="BI40" s="42"/>
      <c r="BJ40" s="42"/>
      <c r="BK40" s="41" t="e">
        <f t="shared" si="27"/>
        <v>#DIV/0!</v>
      </c>
      <c r="BL40" s="8">
        <f t="shared" si="28"/>
        <v>1.619053960080521E-9</v>
      </c>
      <c r="BR40" s="8"/>
    </row>
    <row r="41" spans="1:70" s="32" customFormat="1" ht="18" x14ac:dyDescent="0.35">
      <c r="A41" s="32" t="s">
        <v>77</v>
      </c>
      <c r="G41" s="33"/>
      <c r="H41" s="33"/>
      <c r="K41" s="32">
        <v>181.22704999999999</v>
      </c>
      <c r="L41" s="11">
        <f>0.0767*EXP(39300/(8.3144598*N41))/1000</f>
        <v>7.8587878713746243E-3</v>
      </c>
      <c r="N41" s="32">
        <v>1021</v>
      </c>
      <c r="O41" s="32">
        <v>3.4949140082044292E-5</v>
      </c>
      <c r="P41" s="32">
        <v>2.050117820240356E-4</v>
      </c>
      <c r="V41" s="32">
        <v>4426131.4000000004</v>
      </c>
      <c r="W41" s="6">
        <f t="shared" si="11"/>
        <v>2.5684296922408525E-13</v>
      </c>
      <c r="X41" s="6">
        <f t="shared" si="12"/>
        <v>1215.1718333840431</v>
      </c>
      <c r="Y41" s="32">
        <f>AU41</f>
        <v>1215.1718333840431</v>
      </c>
      <c r="AC41" s="32">
        <v>3</v>
      </c>
      <c r="AD41" s="32">
        <v>6</v>
      </c>
      <c r="AE41" s="11">
        <f t="shared" si="13"/>
        <v>9</v>
      </c>
      <c r="AF41" s="51">
        <v>0.43928571428571439</v>
      </c>
      <c r="AG41" s="97"/>
      <c r="AH41" s="97"/>
      <c r="AI41" s="97"/>
      <c r="AJ41" s="97"/>
      <c r="AK41" s="52">
        <v>1407478287.0168049</v>
      </c>
      <c r="AL41" s="99"/>
      <c r="AM41" s="99"/>
      <c r="AN41" s="99"/>
      <c r="AO41" s="94"/>
      <c r="AP41" s="39">
        <f t="shared" si="23"/>
        <v>3.1210834180383304E-10</v>
      </c>
      <c r="AQ41" s="39" t="e">
        <f t="shared" si="24"/>
        <v>#DIV/0!</v>
      </c>
      <c r="AR41" s="44">
        <f t="shared" si="25"/>
        <v>0</v>
      </c>
      <c r="AS41" s="44"/>
      <c r="AT41" s="44"/>
      <c r="AU41" s="53">
        <v>1215.1718333840431</v>
      </c>
      <c r="AV41" s="46" t="e">
        <f t="shared" si="26"/>
        <v>#DIV/0!</v>
      </c>
      <c r="AW41" s="46"/>
      <c r="AX41" s="46"/>
      <c r="AY41" s="46"/>
      <c r="AZ41" s="46"/>
      <c r="BA41" s="40">
        <f t="shared" si="3"/>
        <v>0</v>
      </c>
      <c r="BB41" s="40"/>
      <c r="BC41" s="40"/>
      <c r="BD41" s="40"/>
      <c r="BE41" s="40"/>
      <c r="BF41" s="42">
        <v>121.44</v>
      </c>
      <c r="BG41" s="42"/>
      <c r="BH41" s="42"/>
      <c r="BI41" s="42"/>
      <c r="BJ41" s="42"/>
      <c r="BK41" s="41" t="e">
        <f t="shared" si="27"/>
        <v>#DIV/0!</v>
      </c>
      <c r="BL41" s="8">
        <f t="shared" si="28"/>
        <v>1.4611458502924743E-9</v>
      </c>
      <c r="BR41" s="8"/>
    </row>
    <row r="42" spans="1:70" x14ac:dyDescent="0.25">
      <c r="A42" s="19" t="s">
        <v>54</v>
      </c>
      <c r="B42" s="31">
        <v>0.01</v>
      </c>
      <c r="C42" s="23">
        <v>1</v>
      </c>
      <c r="D42" s="23">
        <v>10</v>
      </c>
      <c r="E42" s="23">
        <v>10</v>
      </c>
      <c r="F42" s="22">
        <f>D42*1.6726219E-27</f>
        <v>1.6726219000000001E-26</v>
      </c>
      <c r="G42" s="22">
        <f t="shared" si="1"/>
        <v>9.1093856E-30</v>
      </c>
      <c r="H42" s="24">
        <f t="shared" si="5"/>
        <v>1836.1522647586683</v>
      </c>
      <c r="I42" s="24">
        <f t="shared" si="6"/>
        <v>1</v>
      </c>
      <c r="J42" s="26">
        <f t="shared" si="7"/>
        <v>1.6717109614400002E-26</v>
      </c>
      <c r="K42" s="9">
        <v>18.015000000000001</v>
      </c>
      <c r="L42" s="21">
        <v>1.7930000000000001E-3</v>
      </c>
      <c r="M42" s="27">
        <f t="shared" si="8"/>
        <v>3.6609921288669233E-3</v>
      </c>
      <c r="N42" s="4">
        <v>273.14999999999998</v>
      </c>
      <c r="O42" s="18">
        <v>1.802E-5</v>
      </c>
      <c r="P42" s="18">
        <v>5.1E-5</v>
      </c>
      <c r="U42" s="22">
        <v>3.1000000000000002E-10</v>
      </c>
      <c r="V42" s="8">
        <v>999840</v>
      </c>
      <c r="W42" s="6">
        <f t="shared" si="11"/>
        <v>2.0439366328162039E-13</v>
      </c>
      <c r="X42" s="6">
        <f t="shared" si="12"/>
        <v>1403</v>
      </c>
      <c r="Y42" s="4">
        <v>1403</v>
      </c>
      <c r="Z42" s="4">
        <v>0</v>
      </c>
      <c r="AA42" s="18">
        <v>999840</v>
      </c>
      <c r="AB42" s="4">
        <v>0</v>
      </c>
      <c r="AF42" s="54">
        <v>0.56100000000000005</v>
      </c>
      <c r="AG42" s="96">
        <f>$AK$42*AL42</f>
        <v>0.53393579634110244</v>
      </c>
      <c r="AH42" s="96">
        <f>$AK$42*AM42</f>
        <v>0.55623382223307438</v>
      </c>
      <c r="AI42" s="96"/>
      <c r="AJ42" s="96">
        <f>$AK$42*AN42</f>
        <v>0.53393579634110244</v>
      </c>
      <c r="AK42" s="38">
        <f>1/3*BF42/O42*Y42</f>
        <v>1956310395.8564556</v>
      </c>
      <c r="AL42" s="94">
        <v>2.7293000000000001E-10</v>
      </c>
      <c r="AM42" s="94">
        <v>2.8432800000000002E-10</v>
      </c>
      <c r="AN42" s="94">
        <v>2.7293000000000001E-10</v>
      </c>
      <c r="AO42" s="94">
        <f>U42</f>
        <v>3.1000000000000002E-10</v>
      </c>
      <c r="AP42" s="39">
        <f>AF42/(1/3*BF42/O42*Y42)</f>
        <v>2.8676430958411341E-10</v>
      </c>
      <c r="AQ42" s="39">
        <f t="shared" si="24"/>
        <v>-7.4953840051247111E-2</v>
      </c>
      <c r="AR42" s="44">
        <f t="shared" si="25"/>
        <v>3.8056721050684422E-4</v>
      </c>
      <c r="AS42" s="44"/>
      <c r="AT42" s="44"/>
      <c r="AU42" s="45">
        <f>Y42+Z42*N42</f>
        <v>1403</v>
      </c>
      <c r="AV42" s="46">
        <f t="shared" si="26"/>
        <v>1474.1154374620271</v>
      </c>
      <c r="AW42" s="46"/>
      <c r="AX42" s="46"/>
      <c r="AY42" s="46"/>
      <c r="AZ42" s="46"/>
      <c r="BA42" s="40">
        <f t="shared" si="3"/>
        <v>7.0832554568997412E-3</v>
      </c>
      <c r="BB42" s="40"/>
      <c r="BC42" s="40"/>
      <c r="BD42" s="40"/>
      <c r="BE42" s="40"/>
      <c r="BF42" s="56">
        <v>75.38</v>
      </c>
      <c r="BG42" s="56"/>
      <c r="BH42" s="56"/>
      <c r="BI42" s="56"/>
      <c r="BJ42" s="56"/>
      <c r="BK42" s="41">
        <f t="shared" si="27"/>
        <v>79.200870759720317</v>
      </c>
      <c r="BL42" s="8">
        <f t="shared" si="28"/>
        <v>1.2781802750592626E-9</v>
      </c>
      <c r="BM42"/>
      <c r="BN42"/>
      <c r="BO42"/>
      <c r="BP42"/>
      <c r="BR42" s="8"/>
    </row>
    <row r="43" spans="1:70" x14ac:dyDescent="0.25">
      <c r="M43" s="4"/>
      <c r="N43" s="4"/>
    </row>
    <row r="44" spans="1:70" x14ac:dyDescent="0.25">
      <c r="M44" s="4"/>
      <c r="N44" s="4"/>
    </row>
    <row r="45" spans="1:70" x14ac:dyDescent="0.25">
      <c r="M45" s="4"/>
      <c r="N45" s="4"/>
      <c r="AO45" s="57">
        <v>0</v>
      </c>
    </row>
    <row r="46" spans="1:70" x14ac:dyDescent="0.25">
      <c r="M46" s="4"/>
      <c r="N46" s="4"/>
      <c r="AO46" s="57">
        <v>250</v>
      </c>
    </row>
    <row r="47" spans="1:70" x14ac:dyDescent="0.25">
      <c r="M47" s="4"/>
      <c r="N47" s="4"/>
    </row>
    <row r="48" spans="1:70" x14ac:dyDescent="0.25">
      <c r="M48" s="4"/>
      <c r="N48" s="4"/>
    </row>
    <row r="49" spans="7:14" x14ac:dyDescent="0.25">
      <c r="K49" s="11"/>
      <c r="M49" s="4"/>
      <c r="N49" s="4"/>
    </row>
    <row r="50" spans="7:14" x14ac:dyDescent="0.25">
      <c r="M50" s="4"/>
      <c r="N50" s="4"/>
    </row>
    <row r="51" spans="7:14" x14ac:dyDescent="0.25">
      <c r="M51" s="4"/>
      <c r="N51" s="4"/>
    </row>
    <row r="52" spans="7:14" x14ac:dyDescent="0.25">
      <c r="G52" s="23" t="s">
        <v>21</v>
      </c>
      <c r="H52" s="23">
        <v>5.6672851556149997</v>
      </c>
      <c r="M52" s="4"/>
      <c r="N52" s="4"/>
    </row>
    <row r="53" spans="7:14" x14ac:dyDescent="0.25">
      <c r="G53" s="23" t="s">
        <v>22</v>
      </c>
      <c r="H53" s="23">
        <v>3.6125286079999999</v>
      </c>
      <c r="M53" s="4"/>
      <c r="N53" s="4"/>
    </row>
    <row r="54" spans="7:14" x14ac:dyDescent="0.25">
      <c r="G54" s="23" t="s">
        <v>23</v>
      </c>
      <c r="H54" s="23">
        <v>2.1603079999999997</v>
      </c>
      <c r="M54" s="4"/>
      <c r="N54" s="4"/>
    </row>
    <row r="55" spans="7:14" x14ac:dyDescent="0.25">
      <c r="M55" s="4"/>
      <c r="N55" s="4"/>
    </row>
    <row r="56" spans="7:14" x14ac:dyDescent="0.25">
      <c r="M56" s="4"/>
      <c r="N56" s="4"/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753FC-5FEC-4221-9469-F44BDF18FA83}">
  <sheetPr codeName="Sheet3">
    <outlinePr summaryBelow="0"/>
  </sheetPr>
  <dimension ref="A1:BP70"/>
  <sheetViews>
    <sheetView topLeftCell="A6" zoomScale="60" zoomScaleNormal="60" workbookViewId="0">
      <pane xSplit="1" topLeftCell="B1" activePane="topRight" state="frozen"/>
      <selection pane="topRight" activeCell="AM2" sqref="AM2"/>
    </sheetView>
  </sheetViews>
  <sheetFormatPr defaultRowHeight="15" x14ac:dyDescent="0.25"/>
  <cols>
    <col min="1" max="1" width="15.42578125" style="19" customWidth="1"/>
    <col min="2" max="2" width="7.85546875" style="23" customWidth="1"/>
    <col min="3" max="3" width="7.28515625" style="23" customWidth="1"/>
    <col min="4" max="4" width="8.42578125" style="23" customWidth="1"/>
    <col min="5" max="5" width="9" style="23" customWidth="1"/>
    <col min="6" max="6" width="10.42578125" style="23" customWidth="1"/>
    <col min="7" max="7" width="11.140625" style="23" customWidth="1"/>
    <col min="8" max="8" width="12.7109375" style="23" customWidth="1"/>
    <col min="9" max="9" width="13" style="23" customWidth="1"/>
    <col min="10" max="10" width="10.5703125" style="23" customWidth="1"/>
    <col min="11" max="11" width="12.140625" style="9" customWidth="1"/>
    <col min="12" max="12" width="16" style="20" customWidth="1"/>
    <col min="13" max="13" width="22" style="18" customWidth="1"/>
    <col min="14" max="14" width="14.5703125" style="18" customWidth="1"/>
    <col min="15" max="15" width="13.140625" style="18" customWidth="1"/>
    <col min="16" max="16" width="12" style="18" customWidth="1"/>
    <col min="18" max="18" width="11.5703125" style="18" customWidth="1"/>
    <col min="19" max="19" width="12.5703125" style="18" customWidth="1"/>
    <col min="20" max="20" width="12" style="13" customWidth="1"/>
    <col min="21" max="21" width="12.140625" style="8" customWidth="1"/>
    <col min="22" max="22" width="10.140625" style="4" customWidth="1"/>
    <col min="23" max="23" width="7.5703125" style="4" customWidth="1"/>
    <col min="24" max="24" width="6.28515625" style="4" customWidth="1"/>
    <col min="25" max="25" width="8.42578125" style="4" customWidth="1"/>
    <col min="26" max="26" width="7.85546875" style="4" customWidth="1"/>
    <col min="27" max="27" width="6.140625" style="4" customWidth="1"/>
    <col min="28" max="28" width="8.85546875" style="11" customWidth="1"/>
    <col min="29" max="29" width="14.85546875" style="57" customWidth="1"/>
    <col min="30" max="30" width="4.140625" style="57" customWidth="1"/>
    <col min="31" max="33" width="14.85546875" style="57" customWidth="1"/>
    <col min="34" max="34" width="19" style="57" customWidth="1"/>
    <col min="35" max="38" width="15.5703125" style="57" customWidth="1"/>
    <col min="39" max="39" width="12.85546875" style="57" customWidth="1"/>
    <col min="40" max="40" width="13.7109375" style="57" customWidth="1"/>
    <col min="41" max="41" width="14.42578125" style="57" bestFit="1" customWidth="1"/>
    <col min="42" max="43" width="14.42578125" style="57" customWidth="1"/>
    <col min="44" max="44" width="15.42578125" style="57" customWidth="1"/>
    <col min="45" max="49" width="11.140625" style="58" customWidth="1"/>
    <col min="50" max="50" width="10.5703125" style="57" customWidth="1"/>
    <col min="51" max="52" width="13" style="57" customWidth="1"/>
    <col min="53" max="53" width="14" style="57" customWidth="1"/>
    <col min="54" max="54" width="0.28515625" style="57" customWidth="1"/>
    <col min="55" max="55" width="18" style="57" customWidth="1"/>
    <col min="56" max="56" width="14.28515625" style="57" customWidth="1"/>
    <col min="57" max="59" width="11" style="59" customWidth="1"/>
    <col min="60" max="60" width="14.28515625" style="57" customWidth="1"/>
    <col min="61" max="61" width="14.28515625" customWidth="1"/>
    <col min="62" max="62" width="12" customWidth="1"/>
    <col min="65" max="65" width="11.85546875" style="4" customWidth="1"/>
    <col min="66" max="16384" width="9.140625" style="4"/>
  </cols>
  <sheetData>
    <row r="1" spans="1:68" s="11" customFormat="1" x14ac:dyDescent="0.25">
      <c r="A1" s="23"/>
      <c r="B1" s="23"/>
      <c r="C1" s="23"/>
      <c r="D1" s="23"/>
      <c r="E1" s="23"/>
      <c r="F1" s="23"/>
      <c r="G1" s="23"/>
      <c r="H1" s="23"/>
      <c r="I1" s="23"/>
      <c r="J1" s="23"/>
      <c r="K1" s="20"/>
      <c r="L1" s="20"/>
      <c r="M1" s="13"/>
      <c r="N1" s="13"/>
      <c r="O1" s="13"/>
      <c r="P1" s="13"/>
      <c r="Q1" s="32"/>
      <c r="R1" s="13"/>
      <c r="S1" s="13"/>
      <c r="T1" s="13"/>
      <c r="U1" s="22"/>
      <c r="AC1" s="91"/>
      <c r="AD1" s="102"/>
      <c r="AE1" s="102" t="s">
        <v>93</v>
      </c>
      <c r="AF1" s="11" t="s">
        <v>110</v>
      </c>
      <c r="AG1" s="109" t="s">
        <v>94</v>
      </c>
      <c r="AH1" s="105" t="s">
        <v>95</v>
      </c>
      <c r="AI1" s="91"/>
      <c r="AJ1" s="102"/>
      <c r="AK1" s="109"/>
      <c r="AL1" s="105"/>
      <c r="AM1" s="91"/>
      <c r="AN1" s="91"/>
      <c r="AO1" s="91"/>
      <c r="AP1" s="102" t="s">
        <v>93</v>
      </c>
      <c r="AQ1" s="109" t="s">
        <v>94</v>
      </c>
      <c r="AR1" s="105" t="s">
        <v>95</v>
      </c>
      <c r="AS1" s="92"/>
      <c r="AT1" s="151"/>
      <c r="AU1" s="151"/>
      <c r="AV1" s="102" t="s">
        <v>93</v>
      </c>
      <c r="AW1" s="109" t="s">
        <v>94</v>
      </c>
      <c r="AX1" s="105" t="s">
        <v>95</v>
      </c>
      <c r="AY1" s="102" t="s">
        <v>93</v>
      </c>
      <c r="AZ1" s="11" t="s">
        <v>110</v>
      </c>
      <c r="BA1" s="109" t="s">
        <v>94</v>
      </c>
      <c r="BB1" s="11" t="s">
        <v>94</v>
      </c>
      <c r="BC1" s="105" t="s">
        <v>95</v>
      </c>
      <c r="BD1" s="105"/>
      <c r="BE1" s="93" t="s">
        <v>109</v>
      </c>
      <c r="BF1" s="102" t="s">
        <v>93</v>
      </c>
      <c r="BG1" s="109" t="s">
        <v>110</v>
      </c>
      <c r="BH1" s="109" t="s">
        <v>94</v>
      </c>
      <c r="BI1" s="105" t="s">
        <v>95</v>
      </c>
      <c r="BJ1" s="32"/>
      <c r="BK1" s="32"/>
      <c r="BL1" s="32"/>
      <c r="BM1" s="32"/>
    </row>
    <row r="2" spans="1:68" s="80" customFormat="1" ht="20.25" customHeight="1" thickBot="1" x14ac:dyDescent="0.3">
      <c r="A2" s="73" t="s">
        <v>0</v>
      </c>
      <c r="B2" s="74" t="s">
        <v>72</v>
      </c>
      <c r="C2" s="73" t="s">
        <v>56</v>
      </c>
      <c r="D2" s="73" t="s">
        <v>57</v>
      </c>
      <c r="E2" s="73" t="s">
        <v>58</v>
      </c>
      <c r="F2" s="75" t="s">
        <v>60</v>
      </c>
      <c r="G2" s="75" t="s">
        <v>61</v>
      </c>
      <c r="H2" s="73" t="s">
        <v>64</v>
      </c>
      <c r="I2" s="73" t="s">
        <v>59</v>
      </c>
      <c r="J2" s="73" t="s">
        <v>62</v>
      </c>
      <c r="K2" s="76" t="s">
        <v>1</v>
      </c>
      <c r="L2" s="76" t="s">
        <v>52</v>
      </c>
      <c r="M2" s="77" t="s">
        <v>74</v>
      </c>
      <c r="N2" s="77" t="s">
        <v>2</v>
      </c>
      <c r="O2" s="77" t="s">
        <v>3</v>
      </c>
      <c r="P2" s="78" t="s">
        <v>4</v>
      </c>
      <c r="Q2" s="74"/>
      <c r="R2" s="77" t="s">
        <v>6</v>
      </c>
      <c r="S2" s="77" t="s">
        <v>7</v>
      </c>
      <c r="T2" s="77" t="s">
        <v>55</v>
      </c>
      <c r="U2" s="79" t="s">
        <v>8</v>
      </c>
      <c r="V2" s="80" t="s">
        <v>9</v>
      </c>
      <c r="W2" s="80" t="s">
        <v>10</v>
      </c>
      <c r="X2" s="80" t="s">
        <v>11</v>
      </c>
      <c r="Y2" s="80" t="s">
        <v>12</v>
      </c>
      <c r="Z2" s="80" t="s">
        <v>13</v>
      </c>
      <c r="AA2" s="80" t="s">
        <v>14</v>
      </c>
      <c r="AB2" s="80" t="s">
        <v>51</v>
      </c>
      <c r="AC2" s="81" t="s">
        <v>15</v>
      </c>
      <c r="AD2" s="103" t="s">
        <v>112</v>
      </c>
      <c r="AE2" s="103" t="s">
        <v>102</v>
      </c>
      <c r="AF2" s="160" t="s">
        <v>111</v>
      </c>
      <c r="AG2" s="110" t="s">
        <v>102</v>
      </c>
      <c r="AH2" s="106" t="s">
        <v>102</v>
      </c>
      <c r="AI2" s="82" t="s">
        <v>67</v>
      </c>
      <c r="AJ2" s="113" t="s">
        <v>99</v>
      </c>
      <c r="AK2" s="117" t="s">
        <v>100</v>
      </c>
      <c r="AL2" s="115" t="s">
        <v>101</v>
      </c>
      <c r="AM2" s="83" t="s">
        <v>66</v>
      </c>
      <c r="AN2" s="83" t="s">
        <v>46</v>
      </c>
      <c r="AO2" s="83" t="s">
        <v>91</v>
      </c>
      <c r="AP2" s="120" t="s">
        <v>103</v>
      </c>
      <c r="AQ2" s="124" t="s">
        <v>103</v>
      </c>
      <c r="AR2" s="122" t="s">
        <v>103</v>
      </c>
      <c r="AS2" s="85" t="s">
        <v>63</v>
      </c>
      <c r="AT2" s="152" t="s">
        <v>106</v>
      </c>
      <c r="AU2" s="152" t="s">
        <v>105</v>
      </c>
      <c r="AV2" s="127" t="s">
        <v>71</v>
      </c>
      <c r="AW2" s="132" t="s">
        <v>71</v>
      </c>
      <c r="AX2" s="129" t="s">
        <v>71</v>
      </c>
      <c r="AY2" s="135" t="s">
        <v>104</v>
      </c>
      <c r="AZ2" s="154" t="s">
        <v>107</v>
      </c>
      <c r="BA2" s="139" t="s">
        <v>104</v>
      </c>
      <c r="BB2" s="154" t="s">
        <v>107</v>
      </c>
      <c r="BC2" s="137" t="s">
        <v>104</v>
      </c>
      <c r="BD2" s="88" t="s">
        <v>5</v>
      </c>
      <c r="BE2" s="88" t="s">
        <v>108</v>
      </c>
      <c r="BF2" s="142" t="s">
        <v>69</v>
      </c>
      <c r="BG2" s="147" t="s">
        <v>69</v>
      </c>
      <c r="BH2" s="147" t="s">
        <v>69</v>
      </c>
      <c r="BI2" s="144" t="s">
        <v>69</v>
      </c>
      <c r="BJ2" s="80" t="s">
        <v>53</v>
      </c>
      <c r="BK2" s="74"/>
      <c r="BL2" s="74"/>
      <c r="BM2" s="74"/>
    </row>
    <row r="3" spans="1:68" s="11" customFormat="1" ht="20.25" customHeight="1" x14ac:dyDescent="0.25">
      <c r="A3" s="2" t="s">
        <v>21</v>
      </c>
      <c r="B3" s="30">
        <v>3.67</v>
      </c>
      <c r="C3" s="2">
        <v>1</v>
      </c>
      <c r="D3" s="2">
        <v>20</v>
      </c>
      <c r="E3" s="2">
        <v>20</v>
      </c>
      <c r="F3" s="22">
        <v>3.3452438000000001E-26</v>
      </c>
      <c r="G3" s="22">
        <v>1.82187712E-29</v>
      </c>
      <c r="H3" s="24">
        <v>1836.1522647586683</v>
      </c>
      <c r="I3" s="24">
        <v>1</v>
      </c>
      <c r="J3" s="26">
        <v>3.3434219228800004E-26</v>
      </c>
      <c r="K3" s="3">
        <v>42.393999999999998</v>
      </c>
      <c r="L3" s="11">
        <v>1.5609788980515524E-3</v>
      </c>
      <c r="M3" s="27">
        <v>1.1388224575788635E-3</v>
      </c>
      <c r="N3" s="3">
        <v>878.1</v>
      </c>
      <c r="O3" s="5">
        <v>2.828152101400934E-5</v>
      </c>
      <c r="P3" s="5">
        <v>2.8800000000000001E-4</v>
      </c>
      <c r="Q3" s="32"/>
      <c r="R3" s="6">
        <v>7.5999999999999996E-11</v>
      </c>
      <c r="S3" s="6">
        <v>1.81E-10</v>
      </c>
      <c r="T3" s="6">
        <v>2.5699999999999999E-10</v>
      </c>
      <c r="U3" s="6">
        <v>1499000</v>
      </c>
      <c r="V3" s="11">
        <v>2787.9043499999998</v>
      </c>
      <c r="W3" s="11">
        <v>-0.84899999999999998</v>
      </c>
      <c r="X3" s="11">
        <v>1.8842000000000001</v>
      </c>
      <c r="Y3" s="11">
        <v>-4.328E-4</v>
      </c>
      <c r="Z3" s="11">
        <v>1</v>
      </c>
      <c r="AA3" s="11">
        <v>1</v>
      </c>
      <c r="AB3" s="11">
        <v>2</v>
      </c>
      <c r="AC3" s="37">
        <v>0.62171538406412596</v>
      </c>
      <c r="AD3" s="165"/>
      <c r="AE3" s="104">
        <v>0.57774324348124695</v>
      </c>
      <c r="AF3" s="161">
        <f>AG3/AS3*AT3</f>
        <v>0.8032223032445629</v>
      </c>
      <c r="AG3" s="111">
        <v>0.48162168927176202</v>
      </c>
      <c r="AH3" s="107">
        <v>0.38117044603953698</v>
      </c>
      <c r="AI3" s="101">
        <v>1596825626.1070199</v>
      </c>
      <c r="AJ3" s="114">
        <v>3.60550819002004E-10</v>
      </c>
      <c r="AK3" s="118">
        <v>3.0056447474785299E-10</v>
      </c>
      <c r="AL3" s="116">
        <v>2.3787611200921799E-10</v>
      </c>
      <c r="AM3" s="94">
        <v>6.4249999999999998E-11</v>
      </c>
      <c r="AN3" s="39">
        <f t="shared" ref="AN3:AN8" si="0">AC3/AI3</f>
        <v>3.8934456831071569E-10</v>
      </c>
      <c r="AO3" s="94">
        <f t="shared" ref="AO3:AO8" si="1">(AN3-AM3)/AM3</f>
        <v>5.059837639077287</v>
      </c>
      <c r="AP3" s="121">
        <v>2.7686534936629598E-4</v>
      </c>
      <c r="AQ3" s="125">
        <v>2.30802105895922E-4</v>
      </c>
      <c r="AR3" s="123">
        <v>1.8266399460588201E-4</v>
      </c>
      <c r="AS3" s="45">
        <f>V3+W3*N3</f>
        <v>2042.3974499999999</v>
      </c>
      <c r="AT3" s="153">
        <f t="shared" ref="AT3:AT8" si="2">AVERAGE(AU3,AS3)</f>
        <v>3406.1987250000002</v>
      </c>
      <c r="AU3" s="153">
        <v>4770</v>
      </c>
      <c r="AV3" s="128">
        <f t="shared" ref="AV3:AX4" si="3">$AC3/AP3</f>
        <v>2245.5514403920206</v>
      </c>
      <c r="AW3" s="133">
        <f t="shared" si="3"/>
        <v>2693.7162538043849</v>
      </c>
      <c r="AX3" s="130">
        <f t="shared" si="3"/>
        <v>3403.6011607298219</v>
      </c>
      <c r="AY3" s="136">
        <v>2.5042620806609987E-7</v>
      </c>
      <c r="AZ3" s="157">
        <f>1/3*AT3*AK3</f>
        <v>3.412607768888105E-7</v>
      </c>
      <c r="BA3" s="140">
        <v>2.0876175485837878E-7</v>
      </c>
      <c r="BB3" s="155">
        <v>0</v>
      </c>
      <c r="BC3" s="138">
        <v>1.6522057246982488E-7</v>
      </c>
      <c r="BD3" s="150">
        <v>65.02</v>
      </c>
      <c r="BE3" s="48">
        <f>BD3/O3</f>
        <v>2299027.692598009</v>
      </c>
      <c r="BF3" s="143">
        <f t="shared" ref="BF3:BH4" si="4">$AC3/(AY3)</f>
        <v>2482629.0701172319</v>
      </c>
      <c r="BG3" s="148">
        <f t="shared" si="4"/>
        <v>1821819.0491510634</v>
      </c>
      <c r="BH3" s="148">
        <f t="shared" si="4"/>
        <v>2978109.5894977963</v>
      </c>
      <c r="BI3" s="145">
        <f>$AC3/(BC3)</f>
        <v>3762941.7134338594</v>
      </c>
      <c r="BJ3" s="22">
        <v>5.0986492855295244E-10</v>
      </c>
      <c r="BK3" s="32"/>
      <c r="BL3" s="32"/>
      <c r="BM3" s="32"/>
      <c r="BO3" s="22"/>
    </row>
    <row r="4" spans="1:68" ht="20.25" customHeight="1" x14ac:dyDescent="0.25">
      <c r="A4" s="2" t="s">
        <v>22</v>
      </c>
      <c r="B4" s="30">
        <v>3.94</v>
      </c>
      <c r="C4" s="2">
        <v>1</v>
      </c>
      <c r="D4" s="2">
        <v>28</v>
      </c>
      <c r="E4" s="2">
        <v>28</v>
      </c>
      <c r="F4" s="22">
        <f>D4*1.6726219E-27</f>
        <v>4.6833413199999998E-26</v>
      </c>
      <c r="G4" s="22">
        <f>E4*9.1093856E-31</f>
        <v>2.5506279679999997E-29</v>
      </c>
      <c r="H4" s="24">
        <f>((F4*D4)/(G4*E4))</f>
        <v>1836.1522647586683</v>
      </c>
      <c r="I4" s="24">
        <f>D4/E4</f>
        <v>1</v>
      </c>
      <c r="J4" s="26">
        <f>(F4)-(G4)</f>
        <v>4.680790692032E-26</v>
      </c>
      <c r="K4" s="3">
        <v>58.44</v>
      </c>
      <c r="L4" s="11">
        <f>0.0893*EXP(22000/(8.3144598*N4))/1000</f>
        <v>1.0321390978018604E-3</v>
      </c>
      <c r="M4" s="27">
        <f>N4^-1</f>
        <v>9.2494103500901812E-4</v>
      </c>
      <c r="N4" s="3">
        <v>1081.1500000000001</v>
      </c>
      <c r="O4" s="5">
        <v>3.765E-5</v>
      </c>
      <c r="P4" s="5">
        <v>3.5E-4</v>
      </c>
      <c r="R4" s="6">
        <v>1.02E-10</v>
      </c>
      <c r="S4" s="6">
        <v>1.81E-10</v>
      </c>
      <c r="T4" s="6">
        <f>S4+R4</f>
        <v>2.8300000000000001E-10</v>
      </c>
      <c r="U4" s="6">
        <v>1560000</v>
      </c>
      <c r="V4" s="4">
        <v>2732.9322499999998</v>
      </c>
      <c r="W4" s="4">
        <v>-0.91500000000000004</v>
      </c>
      <c r="X4" s="4">
        <v>2.1393</v>
      </c>
      <c r="Y4" s="4">
        <v>-5.4299999999999997E-4</v>
      </c>
      <c r="Z4" s="4">
        <v>1</v>
      </c>
      <c r="AA4" s="4">
        <v>1</v>
      </c>
      <c r="AB4" s="11">
        <f>Z4+AA4</f>
        <v>2</v>
      </c>
      <c r="AC4" s="37">
        <v>0.47705461868503202</v>
      </c>
      <c r="AD4" s="165"/>
      <c r="AE4" s="104">
        <v>0.54204679187053895</v>
      </c>
      <c r="AF4" s="161">
        <f>AG4/AS4*AT4</f>
        <v>0.42448864473987091</v>
      </c>
      <c r="AG4" s="111">
        <v>0.36608849367903401</v>
      </c>
      <c r="AH4" s="107">
        <v>0.35512727904679298</v>
      </c>
      <c r="AI4" s="101">
        <v>1096065992.68455</v>
      </c>
      <c r="AJ4" s="114">
        <v>4.0269415584248401E-10</v>
      </c>
      <c r="AK4" s="118">
        <v>3.3400223720324102E-10</v>
      </c>
      <c r="AL4" s="116">
        <v>2.63829030993587E-10</v>
      </c>
      <c r="AM4" s="94">
        <v>7.0750000000000001E-11</v>
      </c>
      <c r="AN4" s="39">
        <f t="shared" si="0"/>
        <v>4.3524260570898789E-10</v>
      </c>
      <c r="AO4" s="94">
        <f t="shared" si="1"/>
        <v>5.151838949950359</v>
      </c>
      <c r="AP4" s="121">
        <v>2.4885749095030998E-4</v>
      </c>
      <c r="AQ4" s="125">
        <v>2.0640716413749399E-4</v>
      </c>
      <c r="AR4" s="123">
        <v>1.6304142918477599E-4</v>
      </c>
      <c r="AS4" s="45">
        <f>V4+W4*N4</f>
        <v>1743.6799999999998</v>
      </c>
      <c r="AT4" s="153">
        <f t="shared" si="2"/>
        <v>2021.84</v>
      </c>
      <c r="AU4" s="153">
        <v>2300</v>
      </c>
      <c r="AV4" s="128">
        <f t="shared" si="3"/>
        <v>1916.9791387966968</v>
      </c>
      <c r="AW4" s="133">
        <f t="shared" si="3"/>
        <v>2311.230914287702</v>
      </c>
      <c r="AX4" s="130">
        <f t="shared" si="3"/>
        <v>2925.9717672394954</v>
      </c>
      <c r="AY4" s="136">
        <v>2.3869481855992344E-7</v>
      </c>
      <c r="AZ4" s="157">
        <f>1/3*AT4*AK4</f>
        <v>2.2509969442233359E-7</v>
      </c>
      <c r="BA4" s="158">
        <v>1.9797804922458501E-7</v>
      </c>
      <c r="BB4" s="157">
        <v>4.5168459517389821E-6</v>
      </c>
      <c r="BC4" s="138">
        <v>1.5638325456227251E-7</v>
      </c>
      <c r="BD4" s="150">
        <v>69.62</v>
      </c>
      <c r="BE4" s="48">
        <f>BD4/O4</f>
        <v>1849136.7861885792</v>
      </c>
      <c r="BF4" s="143">
        <f t="shared" si="4"/>
        <v>1998596.4570289541</v>
      </c>
      <c r="BG4" s="159">
        <f t="shared" si="4"/>
        <v>2119303.7152239704</v>
      </c>
      <c r="BH4" s="159">
        <f t="shared" si="4"/>
        <v>2409633.8990787021</v>
      </c>
      <c r="BI4" s="145">
        <f>$AC4/(BC4)</f>
        <v>3050547.9632096207</v>
      </c>
      <c r="BJ4" s="8">
        <f>L4/(U4/1000*(V4+W4*N4))</f>
        <v>3.7944326183477726E-10</v>
      </c>
      <c r="BM4"/>
      <c r="BO4" s="8"/>
    </row>
    <row r="5" spans="1:68" s="11" customFormat="1" ht="20.25" customHeight="1" x14ac:dyDescent="0.25">
      <c r="A5" s="2" t="s">
        <v>23</v>
      </c>
      <c r="B5" s="30">
        <v>3.34</v>
      </c>
      <c r="C5" s="2">
        <v>1</v>
      </c>
      <c r="D5" s="2">
        <v>36</v>
      </c>
      <c r="E5" s="2">
        <v>36</v>
      </c>
      <c r="F5" s="22">
        <v>6.0214388399999996E-26</v>
      </c>
      <c r="G5" s="22">
        <v>3.2793788159999999E-29</v>
      </c>
      <c r="H5" s="24">
        <v>1836.1522647586683</v>
      </c>
      <c r="I5" s="24">
        <v>1</v>
      </c>
      <c r="J5" s="26">
        <v>6.0181594611840001E-26</v>
      </c>
      <c r="K5" s="3">
        <v>74.551299999999998</v>
      </c>
      <c r="L5" s="11">
        <v>1.1078669041234444E-3</v>
      </c>
      <c r="M5" s="27">
        <v>9.5680045926422035E-4</v>
      </c>
      <c r="N5" s="3">
        <v>1045.1500000000001</v>
      </c>
      <c r="O5" s="5">
        <v>4.884E-5</v>
      </c>
      <c r="P5" s="5">
        <v>3.8200000000000002E-4</v>
      </c>
      <c r="Q5" s="32"/>
      <c r="R5" s="6">
        <v>1.3799999999999999E-10</v>
      </c>
      <c r="S5" s="6">
        <v>1.81E-10</v>
      </c>
      <c r="T5" s="6">
        <v>3.1899999999999998E-10</v>
      </c>
      <c r="U5" s="6">
        <v>1530000</v>
      </c>
      <c r="V5" s="11">
        <v>2514.8256999999999</v>
      </c>
      <c r="W5" s="11">
        <v>-0.878</v>
      </c>
      <c r="X5" s="11">
        <v>2.1358999999999999</v>
      </c>
      <c r="Y5" s="11">
        <v>-5.8310000000000002E-4</v>
      </c>
      <c r="Z5" s="11">
        <v>1</v>
      </c>
      <c r="AA5" s="11">
        <v>1</v>
      </c>
      <c r="AB5" s="11">
        <v>2</v>
      </c>
      <c r="AC5" s="37">
        <v>0.36559719352224501</v>
      </c>
      <c r="AD5" s="165"/>
      <c r="AE5" s="104">
        <v>0.24535289248259401</v>
      </c>
      <c r="AF5" s="161">
        <f>AG5/AS5*AT5</f>
        <v>0.33717090491279622</v>
      </c>
      <c r="AG5" s="111">
        <v>0.296937775746827</v>
      </c>
      <c r="AH5" s="107">
        <v>0.24535289248259401</v>
      </c>
      <c r="AI5" s="101">
        <v>820903913.34655297</v>
      </c>
      <c r="AJ5" s="114">
        <v>2.9896383292945799E-10</v>
      </c>
      <c r="AK5" s="118">
        <v>3.6182029353950698E-10</v>
      </c>
      <c r="AL5" s="116">
        <v>2.9896383292945799E-10</v>
      </c>
      <c r="AM5" s="94">
        <v>7.9749999999999996E-11</v>
      </c>
      <c r="AN5" s="39">
        <f t="shared" si="0"/>
        <v>4.4535930159210294E-10</v>
      </c>
      <c r="AO5" s="94">
        <f t="shared" si="1"/>
        <v>4.5844426531925135</v>
      </c>
      <c r="AP5" s="121">
        <v>1.5031952187999399E-4</v>
      </c>
      <c r="AQ5" s="125">
        <v>1.8192385680367899E-4</v>
      </c>
      <c r="AR5" s="123">
        <v>1.5031952187999399E-4</v>
      </c>
      <c r="AS5" s="45">
        <f>V5+W5*N5</f>
        <v>1597.1839999999997</v>
      </c>
      <c r="AT5" s="153">
        <f t="shared" si="2"/>
        <v>1813.5919999999999</v>
      </c>
      <c r="AU5" s="153">
        <v>2030</v>
      </c>
      <c r="AV5" s="128">
        <f t="shared" ref="AV5:AX8" si="5">$AC5/AP5</f>
        <v>2432.1338236700599</v>
      </c>
      <c r="AW5" s="133">
        <f t="shared" si="5"/>
        <v>2009.61655027342</v>
      </c>
      <c r="AX5" s="130">
        <f t="shared" si="5"/>
        <v>2432.1338236700599</v>
      </c>
      <c r="AY5" s="136">
        <v>1.628578960160173E-7</v>
      </c>
      <c r="AZ5" s="157">
        <f>1/3*AT5*AK5</f>
        <v>2.1873146326696714E-7</v>
      </c>
      <c r="BA5" s="140">
        <v>1.9709839536224268E-7</v>
      </c>
      <c r="BB5" s="155">
        <v>0</v>
      </c>
      <c r="BC5" s="138">
        <v>1.628578960160173E-7</v>
      </c>
      <c r="BD5" s="150">
        <v>73.599999999999994</v>
      </c>
      <c r="BE5" s="48">
        <f t="shared" ref="BE5:BE21" si="6">BD5/O5</f>
        <v>1506961.5069615068</v>
      </c>
      <c r="BF5" s="143">
        <f t="shared" ref="BF5:BH13" si="7">$AC5/(AY5)</f>
        <v>2244884.666115839</v>
      </c>
      <c r="BG5" s="148">
        <f t="shared" si="7"/>
        <v>1671443.0931046468</v>
      </c>
      <c r="BH5" s="148">
        <f t="shared" si="7"/>
        <v>1854896.8541845416</v>
      </c>
      <c r="BI5" s="145">
        <f t="shared" ref="BI5:BI21" si="8">$AC5/(BC5)</f>
        <v>2244884.666115839</v>
      </c>
      <c r="BJ5" s="22">
        <v>4.5335791979318428E-10</v>
      </c>
      <c r="BK5" s="32"/>
      <c r="BL5" s="32"/>
      <c r="BM5" s="32"/>
      <c r="BO5" s="22"/>
    </row>
    <row r="6" spans="1:68" s="11" customFormat="1" ht="20.25" customHeight="1" x14ac:dyDescent="0.25">
      <c r="A6" s="2" t="s">
        <v>16</v>
      </c>
      <c r="B6" s="30">
        <v>9.9499999999999993</v>
      </c>
      <c r="C6" s="2">
        <v>1</v>
      </c>
      <c r="D6" s="2">
        <v>12</v>
      </c>
      <c r="E6" s="2">
        <v>12</v>
      </c>
      <c r="F6" s="22">
        <v>2.0071462799999999E-26</v>
      </c>
      <c r="G6" s="22">
        <v>1.0931262719999999E-29</v>
      </c>
      <c r="H6" s="24">
        <v>1836.1522647586683</v>
      </c>
      <c r="I6" s="24">
        <v>1</v>
      </c>
      <c r="J6" s="26">
        <v>2.0060531537279999E-26</v>
      </c>
      <c r="K6" s="3">
        <v>25.939</v>
      </c>
      <c r="L6" s="11">
        <v>2.0988673196732184E-3</v>
      </c>
      <c r="M6" s="27">
        <v>8.9433439162902998E-4</v>
      </c>
      <c r="N6" s="3">
        <v>1118.1500000000001</v>
      </c>
      <c r="O6" s="5">
        <v>1.42E-5</v>
      </c>
      <c r="P6" s="5">
        <v>2.6800000000000001E-4</v>
      </c>
      <c r="Q6" s="32"/>
      <c r="R6" s="6">
        <v>7.5999999999999996E-11</v>
      </c>
      <c r="S6" s="6">
        <v>1.3300000000000001E-10</v>
      </c>
      <c r="T6" s="6">
        <v>2.09E-10</v>
      </c>
      <c r="U6" s="6">
        <v>1810000</v>
      </c>
      <c r="V6" s="11">
        <v>2547.8000000000002</v>
      </c>
      <c r="W6" s="11">
        <v>0</v>
      </c>
      <c r="X6" s="11">
        <v>2.3580999999999999</v>
      </c>
      <c r="Y6" s="11">
        <v>-4.9019999999999999E-4</v>
      </c>
      <c r="Z6" s="11">
        <v>1</v>
      </c>
      <c r="AA6" s="11">
        <v>1</v>
      </c>
      <c r="AB6" s="11">
        <v>2</v>
      </c>
      <c r="AC6" s="37">
        <v>1.2682350574951</v>
      </c>
      <c r="AD6" s="165"/>
      <c r="AE6" s="104">
        <v>1.08340059983421</v>
      </c>
      <c r="AF6" s="161">
        <f>AG6/AS6*AT6</f>
        <v>1.3001784151701719</v>
      </c>
      <c r="AG6" s="111">
        <v>0.90535258306336996</v>
      </c>
      <c r="AH6" s="107">
        <v>0.71631982706636499</v>
      </c>
      <c r="AI6" s="101">
        <v>3837057560.7207298</v>
      </c>
      <c r="AJ6" s="114">
        <v>2.8231084688076099E-10</v>
      </c>
      <c r="AK6" s="118">
        <v>2.3591537099888599E-10</v>
      </c>
      <c r="AL6" s="116">
        <v>1.8665750881763499E-10</v>
      </c>
      <c r="AM6" s="94">
        <v>5.2250000000000001E-11</v>
      </c>
      <c r="AN6" s="94">
        <f t="shared" si="0"/>
        <v>3.3052281270883056E-10</v>
      </c>
      <c r="AO6" s="94">
        <f t="shared" si="1"/>
        <v>5.3257954585422116</v>
      </c>
      <c r="AP6" s="121">
        <v>4.2121485861137801E-4</v>
      </c>
      <c r="AQ6" s="125">
        <v>3.5199164586657898E-4</v>
      </c>
      <c r="AR6" s="123">
        <v>2.7849768102810397E-4</v>
      </c>
      <c r="AS6" s="45">
        <f>V6+W6*N6</f>
        <v>2547.8000000000002</v>
      </c>
      <c r="AT6" s="153">
        <f t="shared" si="2"/>
        <v>3658.9</v>
      </c>
      <c r="AU6" s="153">
        <v>4770</v>
      </c>
      <c r="AV6" s="128">
        <f t="shared" si="5"/>
        <v>3010.898194987944</v>
      </c>
      <c r="AW6" s="133">
        <f t="shared" si="5"/>
        <v>3603.0260160657886</v>
      </c>
      <c r="AX6" s="130">
        <f t="shared" si="5"/>
        <v>4553.8442288398046</v>
      </c>
      <c r="AY6" s="136">
        <v>2.395957969916131E-7</v>
      </c>
      <c r="AZ6" s="157">
        <f>1/3*AT6*AK6</f>
        <v>2.8773025031594128E-7</v>
      </c>
      <c r="BA6" s="140">
        <v>2.002201897716116E-7</v>
      </c>
      <c r="BB6" s="155">
        <v>0</v>
      </c>
      <c r="BC6" s="138">
        <v>1.5841528968428049E-7</v>
      </c>
      <c r="BD6" s="150">
        <v>64.2</v>
      </c>
      <c r="BE6" s="48">
        <f t="shared" si="6"/>
        <v>4521126.760563381</v>
      </c>
      <c r="BF6" s="143">
        <f t="shared" si="7"/>
        <v>5293227.4831995228</v>
      </c>
      <c r="BG6" s="148">
        <f t="shared" si="7"/>
        <v>4407722.3583634971</v>
      </c>
      <c r="BH6" s="148">
        <f t="shared" si="7"/>
        <v>6334201.6553962827</v>
      </c>
      <c r="BI6" s="145">
        <f t="shared" si="8"/>
        <v>8005761.6914546266</v>
      </c>
      <c r="BJ6" s="22">
        <v>4.5513588360128237E-10</v>
      </c>
      <c r="BK6" s="32"/>
      <c r="BL6" s="32"/>
      <c r="BM6" s="32"/>
      <c r="BO6" s="22"/>
    </row>
    <row r="7" spans="1:68" ht="20.25" customHeight="1" x14ac:dyDescent="0.25">
      <c r="A7" s="2" t="s">
        <v>17</v>
      </c>
      <c r="B7" s="29">
        <v>6.9</v>
      </c>
      <c r="C7" s="2">
        <v>1</v>
      </c>
      <c r="D7" s="2">
        <v>20</v>
      </c>
      <c r="E7" s="2">
        <v>20</v>
      </c>
      <c r="F7" s="22">
        <f>D7*1.6726219E-27</f>
        <v>3.3452438000000001E-26</v>
      </c>
      <c r="G7" s="22">
        <f>E7*9.1093856E-31</f>
        <v>1.82187712E-29</v>
      </c>
      <c r="H7" s="24">
        <f>((F7*D7)/(G7*E7))</f>
        <v>1836.1522647586683</v>
      </c>
      <c r="I7" s="24">
        <f>D7/E7</f>
        <v>1</v>
      </c>
      <c r="J7" s="26">
        <f>(F7)-(G7)</f>
        <v>3.3434219228800004E-26</v>
      </c>
      <c r="K7" s="3">
        <v>41.988</v>
      </c>
      <c r="L7" s="11">
        <f>0.12*EXP(26500/(8.3144598*N7))/1000</f>
        <v>1.4814456494713717E-3</v>
      </c>
      <c r="M7" s="27">
        <f>N7^-1</f>
        <v>7.885502503647044E-4</v>
      </c>
      <c r="N7" s="3">
        <v>1268.1500000000001</v>
      </c>
      <c r="O7" s="5">
        <v>2.16E-5</v>
      </c>
      <c r="P7" s="5">
        <v>2.8800000000000001E-4</v>
      </c>
      <c r="R7" s="6">
        <v>1.02E-10</v>
      </c>
      <c r="S7" s="6">
        <v>1.3300000000000001E-10</v>
      </c>
      <c r="T7" s="6">
        <f>S7+R7</f>
        <v>2.3500000000000002E-10</v>
      </c>
      <c r="U7" s="6">
        <v>1950000</v>
      </c>
      <c r="V7" s="7">
        <v>2085.5</v>
      </c>
      <c r="W7" s="4">
        <v>0</v>
      </c>
      <c r="X7" s="8">
        <v>2.7549999999999999</v>
      </c>
      <c r="Y7" s="4">
        <v>-6.3599999999999996E-4</v>
      </c>
      <c r="Z7" s="4">
        <v>1</v>
      </c>
      <c r="AA7" s="4">
        <v>1</v>
      </c>
      <c r="AB7" s="11">
        <f>Z7+AA7</f>
        <v>2</v>
      </c>
      <c r="AC7" s="37">
        <v>0.90547800000000001</v>
      </c>
      <c r="AD7" s="165" t="s">
        <v>113</v>
      </c>
      <c r="AE7" s="104">
        <v>0.491606748871738</v>
      </c>
      <c r="AF7" s="161"/>
      <c r="AG7" s="111">
        <v>0.61286742806674199</v>
      </c>
      <c r="AH7" s="107">
        <v>0.491606748871738</v>
      </c>
      <c r="AI7" s="38">
        <v>2260641605.9165201</v>
      </c>
      <c r="AJ7" s="94">
        <v>2.1746337304644399E-10</v>
      </c>
      <c r="AK7" s="118">
        <v>2.7110331264484899E-10</v>
      </c>
      <c r="AL7" s="94">
        <v>2.1746337304644399E-10</v>
      </c>
      <c r="AM7" s="94">
        <v>5.8750000000000004E-11</v>
      </c>
      <c r="AN7" s="94">
        <f t="shared" si="0"/>
        <v>4.005402703507692E-10</v>
      </c>
      <c r="AO7" s="94">
        <f t="shared" si="1"/>
        <v>5.8177067293747946</v>
      </c>
      <c r="AP7" s="121">
        <v>2.36293051691393E-4</v>
      </c>
      <c r="AQ7" s="125">
        <v>2.9457755653783602E-4</v>
      </c>
      <c r="AR7" s="123">
        <v>2.36293051691393E-4</v>
      </c>
      <c r="AS7" s="45">
        <f>V7+W7*N7</f>
        <v>2085.5</v>
      </c>
      <c r="AT7" s="153">
        <f t="shared" si="2"/>
        <v>2642.75</v>
      </c>
      <c r="AU7" s="153">
        <v>3200</v>
      </c>
      <c r="AV7" s="128">
        <f t="shared" si="5"/>
        <v>3832.0128057873917</v>
      </c>
      <c r="AW7" s="133">
        <f t="shared" si="5"/>
        <v>3073.8186935965673</v>
      </c>
      <c r="AX7" s="130">
        <f t="shared" si="5"/>
        <v>3832.0128057873917</v>
      </c>
      <c r="AY7" s="167">
        <v>1.50810559256545E-7</v>
      </c>
      <c r="AZ7" s="40"/>
      <c r="BA7" s="158">
        <v>1.8800978584811899E-7</v>
      </c>
      <c r="BB7" s="40"/>
      <c r="BC7" s="167">
        <v>1.50810559256545E-7</v>
      </c>
      <c r="BD7" s="47">
        <v>70.2</v>
      </c>
      <c r="BE7" s="48">
        <f t="shared" si="6"/>
        <v>3250000</v>
      </c>
      <c r="BF7" s="143">
        <f t="shared" si="7"/>
        <v>6004075.6062689507</v>
      </c>
      <c r="BG7" s="148"/>
      <c r="BH7" s="148">
        <f t="shared" si="7"/>
        <v>4816121.6498138951</v>
      </c>
      <c r="BI7" s="145">
        <f t="shared" si="8"/>
        <v>6004075.6062689507</v>
      </c>
      <c r="BJ7" s="8">
        <f>L7/(U7/1000*(V7+W7*N7))</f>
        <v>3.6428468840931505E-10</v>
      </c>
      <c r="BM7"/>
      <c r="BN7"/>
      <c r="BP7" s="8"/>
    </row>
    <row r="8" spans="1:68" s="11" customFormat="1" ht="20.25" customHeight="1" x14ac:dyDescent="0.25">
      <c r="A8" s="2" t="s">
        <v>18</v>
      </c>
      <c r="B8" s="30">
        <v>5.0999999999999996</v>
      </c>
      <c r="C8" s="2">
        <v>1</v>
      </c>
      <c r="D8" s="2">
        <v>28</v>
      </c>
      <c r="E8" s="2">
        <v>28</v>
      </c>
      <c r="F8" s="22">
        <v>4.6833413199999998E-26</v>
      </c>
      <c r="G8" s="22">
        <v>2.5506279679999997E-29</v>
      </c>
      <c r="H8" s="24">
        <v>1836.1522647586683</v>
      </c>
      <c r="I8" s="24">
        <v>1</v>
      </c>
      <c r="J8" s="26">
        <v>4.680790692032E-26</v>
      </c>
      <c r="K8" s="3">
        <v>58.097000000000001</v>
      </c>
      <c r="L8" s="11">
        <v>1.3500630387524655E-3</v>
      </c>
      <c r="M8" s="27">
        <v>8.856219279989372E-4</v>
      </c>
      <c r="N8" s="3">
        <v>1129.1500000000001</v>
      </c>
      <c r="O8" s="5">
        <v>3.04E-5</v>
      </c>
      <c r="P8" s="5">
        <v>3.4099999999999999E-4</v>
      </c>
      <c r="Q8" s="32"/>
      <c r="R8" s="6">
        <v>1.3799999999999999E-10</v>
      </c>
      <c r="S8" s="6">
        <v>1.3300000000000001E-10</v>
      </c>
      <c r="T8" s="6">
        <v>2.7099999999999999E-10</v>
      </c>
      <c r="U8" s="6">
        <v>1910000</v>
      </c>
      <c r="V8" s="11">
        <v>1816.4</v>
      </c>
      <c r="W8" s="11">
        <v>0</v>
      </c>
      <c r="X8" s="11">
        <v>2.6463999999999999</v>
      </c>
      <c r="Y8" s="11">
        <v>-6.5149999999999995E-4</v>
      </c>
      <c r="Z8" s="11">
        <v>1</v>
      </c>
      <c r="AA8" s="11">
        <v>1</v>
      </c>
      <c r="AB8" s="11">
        <v>2</v>
      </c>
      <c r="AC8" s="37">
        <v>0.56768789999999902</v>
      </c>
      <c r="AD8" s="165" t="s">
        <v>113</v>
      </c>
      <c r="AE8" s="104">
        <v>0.33271136281921598</v>
      </c>
      <c r="AF8" s="161"/>
      <c r="AG8" s="111">
        <v>0.42353288371673797</v>
      </c>
      <c r="AH8" s="107">
        <v>0.33271136281921598</v>
      </c>
      <c r="AI8" s="101">
        <v>1343585957.1456599</v>
      </c>
      <c r="AJ8" s="114">
        <v>2.4762938392570999E-10</v>
      </c>
      <c r="AK8" s="118">
        <v>3.1522574455637898E-10</v>
      </c>
      <c r="AL8" s="116">
        <v>2.4762938392570999E-10</v>
      </c>
      <c r="AM8" s="94">
        <v>6.7749999999999999E-11</v>
      </c>
      <c r="AN8" s="94">
        <f t="shared" si="0"/>
        <v>4.2251699415347138E-10</v>
      </c>
      <c r="AO8" s="94">
        <f t="shared" si="1"/>
        <v>5.2364131978372157</v>
      </c>
      <c r="AP8" s="121">
        <v>1.8149427794008301E-4</v>
      </c>
      <c r="AQ8" s="125">
        <v>2.3103748024325401E-4</v>
      </c>
      <c r="AR8" s="123">
        <v>1.8149427794008301E-4</v>
      </c>
      <c r="AS8" s="45">
        <v>1816.4</v>
      </c>
      <c r="AT8" s="153">
        <f t="shared" si="2"/>
        <v>1923.2</v>
      </c>
      <c r="AU8" s="153">
        <v>2030</v>
      </c>
      <c r="AV8" s="128">
        <f t="shared" si="5"/>
        <v>3127.8556351369421</v>
      </c>
      <c r="AW8" s="133">
        <f t="shared" si="5"/>
        <v>2457.1247028936327</v>
      </c>
      <c r="AX8" s="130">
        <f t="shared" si="5"/>
        <v>3127.8556351369421</v>
      </c>
      <c r="AY8" s="168">
        <v>1.5131626689117E-7</v>
      </c>
      <c r="AZ8" s="157"/>
      <c r="BA8" s="158">
        <v>1.9262165958693599E-7</v>
      </c>
      <c r="BB8" s="155"/>
      <c r="BC8" s="169">
        <v>1.5131626689117E-7</v>
      </c>
      <c r="BD8" s="150">
        <v>66.900000000000006</v>
      </c>
      <c r="BE8" s="48">
        <f t="shared" si="6"/>
        <v>2200657.8947368423</v>
      </c>
      <c r="BF8" s="143">
        <f t="shared" si="7"/>
        <v>3751664.7196186297</v>
      </c>
      <c r="BG8" s="148"/>
      <c r="BH8" s="148">
        <f t="shared" si="7"/>
        <v>2947165.449707821</v>
      </c>
      <c r="BI8" s="170">
        <f>$AC8/(BC8)</f>
        <v>3751664.7196186297</v>
      </c>
      <c r="BJ8" s="22">
        <v>3.8914296812648964E-10</v>
      </c>
      <c r="BK8" s="32"/>
      <c r="BL8" s="32"/>
      <c r="BM8" s="32"/>
      <c r="BO8" s="22"/>
    </row>
    <row r="9" spans="1:68" s="11" customFormat="1" ht="20.25" customHeight="1" x14ac:dyDescent="0.25">
      <c r="A9" s="2" t="s">
        <v>19</v>
      </c>
      <c r="B9" s="30"/>
      <c r="C9" s="2">
        <v>1</v>
      </c>
      <c r="D9" s="2">
        <v>46</v>
      </c>
      <c r="E9" s="2">
        <v>46</v>
      </c>
      <c r="F9" s="22">
        <v>7.6940607399999996E-26</v>
      </c>
      <c r="G9" s="22">
        <v>4.1903173759999999E-29</v>
      </c>
      <c r="H9" s="24">
        <v>1836.1522647586683</v>
      </c>
      <c r="I9" s="24">
        <v>1</v>
      </c>
      <c r="J9" s="26">
        <v>7.689870422624E-26</v>
      </c>
      <c r="K9" s="3">
        <v>104.4662</v>
      </c>
      <c r="L9" s="11">
        <v>2.5481160758264749E-3</v>
      </c>
      <c r="M9" s="27">
        <v>9.5406191861851825E-4</v>
      </c>
      <c r="N9" s="3">
        <v>1048.1500000000001</v>
      </c>
      <c r="O9" s="5">
        <v>3.57E-5</v>
      </c>
      <c r="P9" s="5">
        <v>3.4900000000000003E-4</v>
      </c>
      <c r="Q9" s="32"/>
      <c r="R9" s="6">
        <v>1.5199999999999999E-10</v>
      </c>
      <c r="S9" s="6">
        <v>1.3300000000000001E-10</v>
      </c>
      <c r="T9" s="6">
        <v>2.85E-10</v>
      </c>
      <c r="U9" s="6">
        <v>2926224.0896358541</v>
      </c>
      <c r="V9" s="11">
        <v>1760.4</v>
      </c>
      <c r="W9" s="11">
        <v>0</v>
      </c>
      <c r="X9" s="11">
        <v>2926224089.6358538</v>
      </c>
      <c r="Y9" s="11">
        <v>0</v>
      </c>
      <c r="AC9" s="37"/>
      <c r="AD9" s="165"/>
      <c r="AE9" s="104"/>
      <c r="AF9" s="161"/>
      <c r="AG9" s="111"/>
      <c r="AH9" s="107"/>
      <c r="AI9" s="101"/>
      <c r="AJ9" s="114"/>
      <c r="AK9" s="118"/>
      <c r="AL9" s="116"/>
      <c r="AM9" s="94"/>
      <c r="AN9" s="94"/>
      <c r="AO9" s="94"/>
      <c r="AP9" s="121"/>
      <c r="AQ9" s="125"/>
      <c r="AR9" s="123"/>
      <c r="AS9" s="45">
        <v>1760.4</v>
      </c>
      <c r="AT9" s="153"/>
      <c r="AU9" s="153"/>
      <c r="AV9" s="128"/>
      <c r="AW9" s="133"/>
      <c r="AX9" s="130"/>
      <c r="AY9" s="136"/>
      <c r="AZ9" s="157"/>
      <c r="BA9" s="140"/>
      <c r="BB9" s="155"/>
      <c r="BC9" s="138"/>
      <c r="BD9" s="150">
        <v>69.5</v>
      </c>
      <c r="BE9" s="48"/>
      <c r="BF9" s="143"/>
      <c r="BG9" s="148"/>
      <c r="BH9" s="148"/>
      <c r="BI9" s="170"/>
      <c r="BJ9" s="22">
        <v>4.94652566383765E-10</v>
      </c>
      <c r="BK9" s="32"/>
      <c r="BL9" s="32"/>
      <c r="BM9" s="32"/>
      <c r="BO9" s="22"/>
    </row>
    <row r="10" spans="1:68" s="11" customFormat="1" ht="20.25" customHeight="1" x14ac:dyDescent="0.25">
      <c r="A10" s="2" t="s">
        <v>20</v>
      </c>
      <c r="B10" s="30"/>
      <c r="C10" s="2">
        <v>1</v>
      </c>
      <c r="D10" s="2">
        <v>64</v>
      </c>
      <c r="E10" s="2">
        <v>64</v>
      </c>
      <c r="F10" s="22">
        <v>1.070478016E-25</v>
      </c>
      <c r="G10" s="22">
        <v>5.8300067839999996E-29</v>
      </c>
      <c r="H10" s="24">
        <v>1836.1522647586685</v>
      </c>
      <c r="I10" s="24">
        <v>1</v>
      </c>
      <c r="J10" s="26">
        <v>1.0698950153215999E-25</v>
      </c>
      <c r="K10" s="3">
        <v>58.44</v>
      </c>
      <c r="L10" s="11">
        <v>3.4453112314492135E-3</v>
      </c>
      <c r="M10" s="27">
        <v>1.0469559755012302E-3</v>
      </c>
      <c r="N10" s="3">
        <v>955.15</v>
      </c>
      <c r="O10" s="5">
        <v>4.57E-5</v>
      </c>
      <c r="P10" s="5">
        <v>3.8499999999999998E-4</v>
      </c>
      <c r="Q10" s="32"/>
      <c r="R10" s="6">
        <v>1.6699999999999999E-10</v>
      </c>
      <c r="S10" s="6">
        <v>1.3300000000000001E-10</v>
      </c>
      <c r="T10" s="6">
        <v>3E-10</v>
      </c>
      <c r="U10" s="6">
        <v>2196977.25</v>
      </c>
      <c r="V10" s="11">
        <v>2732.9322499999998</v>
      </c>
      <c r="W10" s="11">
        <v>-0.91500000000000004</v>
      </c>
      <c r="X10" s="11">
        <v>4.8985000000000003</v>
      </c>
      <c r="Y10" s="11">
        <v>-5.4299999999999997E-4</v>
      </c>
      <c r="AC10" s="37"/>
      <c r="AD10" s="165"/>
      <c r="AE10" s="104"/>
      <c r="AF10" s="161"/>
      <c r="AG10" s="111"/>
      <c r="AH10" s="107"/>
      <c r="AI10" s="101"/>
      <c r="AJ10" s="114"/>
      <c r="AK10" s="118"/>
      <c r="AL10" s="116"/>
      <c r="AM10" s="94"/>
      <c r="AN10" s="94"/>
      <c r="AO10" s="94"/>
      <c r="AP10" s="121"/>
      <c r="AQ10" s="125"/>
      <c r="AR10" s="123"/>
      <c r="AS10" s="45">
        <v>1858.9699999999998</v>
      </c>
      <c r="AT10" s="153"/>
      <c r="AU10" s="153"/>
      <c r="AV10" s="128"/>
      <c r="AW10" s="133"/>
      <c r="AX10" s="130"/>
      <c r="AY10" s="136"/>
      <c r="AZ10" s="157"/>
      <c r="BA10" s="140"/>
      <c r="BB10" s="155"/>
      <c r="BC10" s="138"/>
      <c r="BD10" s="150">
        <v>74.099999999999994</v>
      </c>
      <c r="BE10" s="48"/>
      <c r="BF10" s="143"/>
      <c r="BG10" s="148"/>
      <c r="BH10" s="148"/>
      <c r="BI10" s="170"/>
      <c r="BJ10" s="22">
        <v>8.4358824408450485E-10</v>
      </c>
      <c r="BK10" s="32"/>
      <c r="BL10" s="32"/>
      <c r="BM10" s="32"/>
      <c r="BO10" s="22"/>
    </row>
    <row r="11" spans="1:68" s="11" customFormat="1" ht="20.25" customHeight="1" x14ac:dyDescent="0.25">
      <c r="A11" s="2" t="s">
        <v>28</v>
      </c>
      <c r="B11" s="30">
        <v>0.8</v>
      </c>
      <c r="C11" s="2">
        <v>1</v>
      </c>
      <c r="D11" s="2">
        <v>29</v>
      </c>
      <c r="E11" s="2">
        <v>28</v>
      </c>
      <c r="F11" s="22">
        <v>4.8506035099999997E-26</v>
      </c>
      <c r="G11" s="22">
        <v>2.5506279679999997E-29</v>
      </c>
      <c r="H11" s="24">
        <v>1969.6480289056633</v>
      </c>
      <c r="I11" s="24">
        <v>1.0357142857142858</v>
      </c>
      <c r="J11" s="26">
        <v>4.8480528820319999E-26</v>
      </c>
      <c r="K11" s="3">
        <v>95.210999999999999</v>
      </c>
      <c r="L11" s="11">
        <v>2.1885964575678765E-3</v>
      </c>
      <c r="M11" s="27">
        <v>1.0131712259371835E-3</v>
      </c>
      <c r="N11" s="3">
        <v>987</v>
      </c>
      <c r="O11" s="5">
        <v>5.651027632231827E-5</v>
      </c>
      <c r="P11" s="5">
        <v>1.8000000000000001E-4</v>
      </c>
      <c r="Q11" s="32"/>
      <c r="R11" s="6">
        <v>7.1999999999999997E-11</v>
      </c>
      <c r="S11" s="6">
        <v>1.81E-10</v>
      </c>
      <c r="T11" s="6">
        <v>2.5300000000000001E-10</v>
      </c>
      <c r="U11" s="6">
        <v>1684844</v>
      </c>
      <c r="V11" s="11">
        <v>2101</v>
      </c>
      <c r="W11" s="11">
        <v>0</v>
      </c>
      <c r="X11" s="11">
        <v>1.9691000000000001</v>
      </c>
      <c r="Y11" s="11">
        <v>-2.8800000000000001E-4</v>
      </c>
      <c r="Z11" s="11">
        <v>1</v>
      </c>
      <c r="AA11" s="11">
        <v>2</v>
      </c>
      <c r="AB11" s="11">
        <v>3</v>
      </c>
      <c r="AC11" s="37">
        <v>0.46200000000000002</v>
      </c>
      <c r="AD11" s="165" t="s">
        <v>114</v>
      </c>
      <c r="AE11" s="104">
        <v>0.410850898709891</v>
      </c>
      <c r="AF11" s="161"/>
      <c r="AG11" s="111">
        <v>0.35221854185797102</v>
      </c>
      <c r="AH11" s="107">
        <v>0.27030895842616198</v>
      </c>
      <c r="AI11" s="101">
        <v>1140753272.89112</v>
      </c>
      <c r="AJ11" s="114">
        <v>3.6015754543366701E-10</v>
      </c>
      <c r="AK11" s="118">
        <v>3.08759615447175E-10</v>
      </c>
      <c r="AL11" s="116">
        <v>2.3695654866813598E-10</v>
      </c>
      <c r="AM11" s="94">
        <v>6.3250000000000001E-11</v>
      </c>
      <c r="AN11" s="94">
        <f>AC11/AI11</f>
        <v>4.0499555072860697E-10</v>
      </c>
      <c r="AO11" s="94">
        <f>(AN11-AM11)/AM11</f>
        <v>5.4030917111242207</v>
      </c>
      <c r="AP11" s="121">
        <v>1.9555016597329401E-4</v>
      </c>
      <c r="AQ11" s="125">
        <v>1.6764328503473099E-4</v>
      </c>
      <c r="AR11" s="123">
        <v>1.28657286257097E-4</v>
      </c>
      <c r="AS11" s="45">
        <v>2101</v>
      </c>
      <c r="AT11" s="153"/>
      <c r="AU11" s="153"/>
      <c r="AV11" s="128">
        <f t="shared" ref="AV11:AX13" si="9">$AC11/AP11</f>
        <v>2362.5651131541081</v>
      </c>
      <c r="AW11" s="133">
        <f t="shared" si="9"/>
        <v>2755.8515087811993</v>
      </c>
      <c r="AX11" s="130">
        <f t="shared" si="9"/>
        <v>3590.9353713304763</v>
      </c>
      <c r="AY11" s="168">
        <v>2.5223033431871099E-7</v>
      </c>
      <c r="AZ11" s="157"/>
      <c r="BA11" s="158">
        <v>2.16234650684838E-7</v>
      </c>
      <c r="BB11" s="155"/>
      <c r="BC11" s="169">
        <v>1.6594856958391799E-7</v>
      </c>
      <c r="BD11" s="150">
        <v>92.048000000000002</v>
      </c>
      <c r="BE11" s="48">
        <f t="shared" si="6"/>
        <v>1628871.8794256966</v>
      </c>
      <c r="BF11" s="143">
        <f t="shared" si="7"/>
        <v>1831659.1509418932</v>
      </c>
      <c r="BG11" s="148"/>
      <c r="BH11" s="148">
        <f t="shared" si="7"/>
        <v>2136567.8374709934</v>
      </c>
      <c r="BI11" s="170">
        <f>$AC11/(BC11)</f>
        <v>2783995.0724394326</v>
      </c>
      <c r="BJ11" s="22">
        <v>6.1827251968353004E-10</v>
      </c>
      <c r="BK11" s="32"/>
      <c r="BL11" s="32"/>
      <c r="BM11" s="32"/>
      <c r="BO11" s="22"/>
    </row>
    <row r="12" spans="1:68" s="11" customFormat="1" ht="20.25" customHeight="1" x14ac:dyDescent="0.25">
      <c r="A12" s="2" t="s">
        <v>29</v>
      </c>
      <c r="B12" s="30">
        <v>2.5</v>
      </c>
      <c r="C12" s="2">
        <v>1</v>
      </c>
      <c r="D12" s="2">
        <v>37</v>
      </c>
      <c r="E12" s="2">
        <v>36</v>
      </c>
      <c r="F12" s="22">
        <v>6.1887010299999994E-26</v>
      </c>
      <c r="G12" s="22">
        <v>3.2793788159999999E-29</v>
      </c>
      <c r="H12" s="24">
        <v>1939.5775080668341</v>
      </c>
      <c r="I12" s="24">
        <v>1.0277777777777777</v>
      </c>
      <c r="J12" s="26">
        <v>6.185421651184E-26</v>
      </c>
      <c r="K12" s="3">
        <v>110.98399999999999</v>
      </c>
      <c r="L12" s="11">
        <v>3.3595446651079881E-3</v>
      </c>
      <c r="M12" s="27">
        <v>9.5693779904306223E-4</v>
      </c>
      <c r="N12" s="3">
        <v>1045</v>
      </c>
      <c r="O12" s="5">
        <v>5.3154147698835956E-5</v>
      </c>
      <c r="P12" s="5">
        <v>2.03E-4</v>
      </c>
      <c r="Q12" s="32"/>
      <c r="R12" s="6">
        <v>1E-10</v>
      </c>
      <c r="S12" s="6">
        <v>1.81E-10</v>
      </c>
      <c r="T12" s="6">
        <v>2.8100000000000001E-10</v>
      </c>
      <c r="U12" s="6">
        <v>2087964.9999999995</v>
      </c>
      <c r="V12" s="11">
        <v>2065.0300000000002</v>
      </c>
      <c r="W12" s="11">
        <v>0</v>
      </c>
      <c r="X12" s="11">
        <v>2.5299999999999998</v>
      </c>
      <c r="Y12" s="11">
        <v>-4.2299999999999998E-4</v>
      </c>
      <c r="AC12" s="37">
        <v>0.44782499999999897</v>
      </c>
      <c r="AD12" s="165" t="s">
        <v>113</v>
      </c>
      <c r="AE12" s="104">
        <v>0.49485611871396901</v>
      </c>
      <c r="AF12" s="161"/>
      <c r="AG12" s="111">
        <v>0.44097489408671398</v>
      </c>
      <c r="AH12" s="107">
        <v>0.369182440647218</v>
      </c>
      <c r="AI12" s="101">
        <v>1327796795.7750199</v>
      </c>
      <c r="AJ12" s="114">
        <v>3.7268964670541001E-10</v>
      </c>
      <c r="AK12" s="118">
        <v>3.3211022612034601E-10</v>
      </c>
      <c r="AL12" s="116">
        <v>2.7804137035270501E-10</v>
      </c>
      <c r="AM12" s="94">
        <v>7.0250000000000003E-11</v>
      </c>
      <c r="AN12" s="94">
        <f>AC12/AI12</f>
        <v>3.3726922781027543E-10</v>
      </c>
      <c r="AO12" s="94">
        <f>(AN12-AM12)/AM12</f>
        <v>3.80098544925659</v>
      </c>
      <c r="AP12" s="121">
        <v>2.39636285532883E-4</v>
      </c>
      <c r="AQ12" s="125">
        <v>2.13544061871601E-4</v>
      </c>
      <c r="AR12" s="123">
        <v>1.7877824566578599E-4</v>
      </c>
      <c r="AS12" s="45">
        <v>2065.0300000000002</v>
      </c>
      <c r="AT12" s="153"/>
      <c r="AU12" s="153"/>
      <c r="AV12" s="128">
        <f t="shared" si="9"/>
        <v>1868.7695772122465</v>
      </c>
      <c r="AW12" s="133">
        <f t="shared" si="9"/>
        <v>2097.1081849574707</v>
      </c>
      <c r="AX12" s="130">
        <f t="shared" si="9"/>
        <v>2504.9188637703601</v>
      </c>
      <c r="AY12" s="168">
        <v>2.5653843371202402E-7</v>
      </c>
      <c r="AZ12" s="157"/>
      <c r="BA12" s="158">
        <v>2.2860586008176599E-7</v>
      </c>
      <c r="BB12" s="155"/>
      <c r="BC12" s="169">
        <v>1.91387923673149E-7</v>
      </c>
      <c r="BD12" s="150">
        <v>102.533</v>
      </c>
      <c r="BE12" s="48">
        <f t="shared" si="6"/>
        <v>1928974.5850302745</v>
      </c>
      <c r="BF12" s="143">
        <f t="shared" si="7"/>
        <v>1745644.8670092949</v>
      </c>
      <c r="BG12" s="148"/>
      <c r="BH12" s="148">
        <f t="shared" si="7"/>
        <v>1958939.2845827502</v>
      </c>
      <c r="BI12" s="170">
        <f>$AC12/(BC12)</f>
        <v>2339881.1764361449</v>
      </c>
      <c r="BJ12" s="22">
        <v>7.7916751857846874E-10</v>
      </c>
      <c r="BK12" s="32"/>
      <c r="BL12" s="32"/>
      <c r="BM12" s="32"/>
      <c r="BO12" s="22"/>
    </row>
    <row r="13" spans="1:68" s="11" customFormat="1" ht="20.25" customHeight="1" x14ac:dyDescent="0.25">
      <c r="A13" s="2" t="s">
        <v>30</v>
      </c>
      <c r="B13" s="30"/>
      <c r="C13" s="2">
        <v>1</v>
      </c>
      <c r="D13" s="2">
        <v>55</v>
      </c>
      <c r="E13" s="2">
        <v>54</v>
      </c>
      <c r="F13" s="22">
        <v>9.1994204499999998E-26</v>
      </c>
      <c r="G13" s="22">
        <v>4.9190682239999996E-29</v>
      </c>
      <c r="H13" s="24">
        <v>1904.7875860407996</v>
      </c>
      <c r="I13" s="24">
        <v>1.0185185185185186</v>
      </c>
      <c r="J13" s="26">
        <v>9.1945013817760001E-26</v>
      </c>
      <c r="K13" s="3">
        <v>158.52600000000001</v>
      </c>
      <c r="L13" s="11">
        <v>3.78088190424221E-3</v>
      </c>
      <c r="M13" s="27">
        <v>8.7260034904013963E-4</v>
      </c>
      <c r="N13" s="3">
        <v>1146</v>
      </c>
      <c r="O13" s="5">
        <v>5.811897000013199E-5</v>
      </c>
      <c r="P13" s="5">
        <v>2.12E-4</v>
      </c>
      <c r="Q13" s="32"/>
      <c r="R13" s="6">
        <v>1.1800000000000001E-10</v>
      </c>
      <c r="S13" s="6">
        <v>1.81E-10</v>
      </c>
      <c r="T13" s="6">
        <v>2.99E-10</v>
      </c>
      <c r="U13" s="6">
        <v>2727612</v>
      </c>
      <c r="V13" s="11">
        <v>1873.13</v>
      </c>
      <c r="W13" s="11">
        <v>0</v>
      </c>
      <c r="X13" s="11">
        <v>3.39</v>
      </c>
      <c r="Y13" s="11">
        <v>-5.7799999999999995E-4</v>
      </c>
      <c r="Z13" s="11">
        <v>1</v>
      </c>
      <c r="AA13" s="11">
        <v>2</v>
      </c>
      <c r="AB13" s="11">
        <v>3</v>
      </c>
      <c r="AC13" s="37">
        <v>0.380772</v>
      </c>
      <c r="AD13" s="165" t="s">
        <v>113</v>
      </c>
      <c r="AE13" s="104">
        <v>0.39508284849393199</v>
      </c>
      <c r="AF13" s="161"/>
      <c r="AG13" s="111">
        <v>0.48314180608273199</v>
      </c>
      <c r="AH13" s="107">
        <v>0.39508284849393199</v>
      </c>
      <c r="AI13" s="101">
        <v>1123726028.4066401</v>
      </c>
      <c r="AJ13" s="114">
        <v>3.5158289343366699E-10</v>
      </c>
      <c r="AK13" s="118">
        <v>4.2994626258483001E-10</v>
      </c>
      <c r="AL13" s="116">
        <v>3.5158289343366699E-10</v>
      </c>
      <c r="AM13" s="94">
        <v>7.475E-11</v>
      </c>
      <c r="AN13" s="94">
        <f>AC13/AI13</f>
        <v>3.3884771765935365E-10</v>
      </c>
      <c r="AO13" s="94">
        <f>(AN13-AM13)/AM13</f>
        <v>3.5330798349077406</v>
      </c>
      <c r="AP13" s="121">
        <v>2.1092121128481799E-4</v>
      </c>
      <c r="AQ13" s="125">
        <v>2.57932874964755E-4</v>
      </c>
      <c r="AR13" s="123">
        <v>2.1092121128481799E-4</v>
      </c>
      <c r="AS13" s="45">
        <v>1873.13</v>
      </c>
      <c r="AT13" s="153"/>
      <c r="AU13" s="153"/>
      <c r="AV13" s="128">
        <f t="shared" si="9"/>
        <v>1805.2807381511932</v>
      </c>
      <c r="AW13" s="133">
        <f t="shared" si="9"/>
        <v>1476.2445463845206</v>
      </c>
      <c r="AX13" s="130">
        <f t="shared" si="9"/>
        <v>1805.2807381511932</v>
      </c>
      <c r="AY13" s="168">
        <v>2.19520155059135E-7</v>
      </c>
      <c r="AZ13" s="157"/>
      <c r="BA13" s="158">
        <v>2.68448414278508E-7</v>
      </c>
      <c r="BB13" s="155"/>
      <c r="BC13" s="169">
        <v>2.19520155059135E-7</v>
      </c>
      <c r="BD13" s="150">
        <v>104.6</v>
      </c>
      <c r="BE13" s="48">
        <f t="shared" si="6"/>
        <v>1799756.6027023955</v>
      </c>
      <c r="BF13" s="143">
        <f t="shared" si="7"/>
        <v>1734565.1013112054</v>
      </c>
      <c r="BG13" s="148"/>
      <c r="BH13" s="148">
        <f t="shared" si="7"/>
        <v>1418417.7657498075</v>
      </c>
      <c r="BI13" s="170">
        <f>$AC13/(BC13)</f>
        <v>1734565.1013112054</v>
      </c>
      <c r="BJ13" s="22">
        <v>7.4001853993764589E-10</v>
      </c>
      <c r="BK13" s="32"/>
      <c r="BL13" s="32"/>
      <c r="BM13" s="32"/>
      <c r="BO13" s="22"/>
    </row>
    <row r="14" spans="1:68" s="11" customFormat="1" ht="20.25" customHeight="1" x14ac:dyDescent="0.25">
      <c r="A14" s="2" t="s">
        <v>31</v>
      </c>
      <c r="B14" s="30">
        <v>0.3</v>
      </c>
      <c r="C14" s="2">
        <v>1</v>
      </c>
      <c r="D14" s="2">
        <v>26</v>
      </c>
      <c r="E14" s="2">
        <v>25</v>
      </c>
      <c r="F14" s="22">
        <v>4.3488169400000001E-26</v>
      </c>
      <c r="G14" s="22">
        <v>2.2773463999999997E-29</v>
      </c>
      <c r="H14" s="24">
        <v>1985.9822895629759</v>
      </c>
      <c r="I14" s="24">
        <v>1.04</v>
      </c>
      <c r="J14" s="26">
        <v>4.3465395936000002E-26</v>
      </c>
      <c r="K14" s="3">
        <v>84.99</v>
      </c>
      <c r="M14" s="27">
        <v>1.7148246591785991E-3</v>
      </c>
      <c r="N14" s="3">
        <v>583.15</v>
      </c>
      <c r="O14" s="5">
        <v>4.4669999999999998E-5</v>
      </c>
      <c r="P14" s="5">
        <v>3.7599999999999998E-4</v>
      </c>
      <c r="Q14" s="32"/>
      <c r="R14" s="6">
        <v>1.02E-10</v>
      </c>
      <c r="S14" s="6">
        <v>2.31E-10</v>
      </c>
      <c r="T14" s="6">
        <v>3.3299999999999999E-10</v>
      </c>
      <c r="U14" s="6">
        <v>1886915.5249999999</v>
      </c>
      <c r="V14" s="11">
        <v>2490.4882499999999</v>
      </c>
      <c r="W14" s="11">
        <v>-1.155</v>
      </c>
      <c r="X14" s="11">
        <v>2.3338999999999999</v>
      </c>
      <c r="Y14" s="11">
        <v>-7.6650000000000004E-4</v>
      </c>
      <c r="Z14" s="11">
        <v>2</v>
      </c>
      <c r="AA14" s="11">
        <v>3</v>
      </c>
      <c r="AB14" s="11">
        <v>5</v>
      </c>
      <c r="AC14" s="37">
        <v>0.59593560000000001</v>
      </c>
      <c r="AD14" s="165"/>
      <c r="AE14" s="104"/>
      <c r="AF14" s="161"/>
      <c r="AG14" s="111"/>
      <c r="AH14" s="107"/>
      <c r="AI14" s="101"/>
      <c r="AJ14" s="114"/>
      <c r="AK14" s="118"/>
      <c r="AL14" s="116"/>
      <c r="AM14" s="94"/>
      <c r="AN14" s="39"/>
      <c r="AO14" s="94"/>
      <c r="AP14" s="121"/>
      <c r="AQ14" s="125"/>
      <c r="AR14" s="123"/>
      <c r="AS14" s="45">
        <v>1816.9499999999998</v>
      </c>
      <c r="AT14" s="153"/>
      <c r="AU14" s="153"/>
      <c r="AV14" s="128"/>
      <c r="AW14" s="133"/>
      <c r="AX14" s="130"/>
      <c r="AY14" s="136"/>
      <c r="AZ14" s="157"/>
      <c r="BA14" s="140"/>
      <c r="BB14" s="155"/>
      <c r="BC14" s="138"/>
      <c r="BD14" s="150">
        <v>155.6</v>
      </c>
      <c r="BE14" s="48"/>
      <c r="BF14" s="143"/>
      <c r="BG14" s="148"/>
      <c r="BH14" s="148"/>
      <c r="BI14" s="145"/>
      <c r="BJ14" s="22"/>
      <c r="BK14" s="32"/>
      <c r="BL14" s="32"/>
      <c r="BM14" s="32"/>
      <c r="BO14" s="22"/>
    </row>
    <row r="15" spans="1:68" s="11" customFormat="1" ht="20.25" customHeight="1" x14ac:dyDescent="0.25">
      <c r="A15" s="2" t="s">
        <v>32</v>
      </c>
      <c r="B15" s="30">
        <v>0.2</v>
      </c>
      <c r="C15" s="2">
        <v>1</v>
      </c>
      <c r="D15" s="2">
        <v>34</v>
      </c>
      <c r="E15" s="2">
        <v>33</v>
      </c>
      <c r="F15" s="22">
        <v>5.6869144599999998E-26</v>
      </c>
      <c r="G15" s="22">
        <v>3.0060972479999997E-29</v>
      </c>
      <c r="H15" s="24">
        <v>1949.1203104325261</v>
      </c>
      <c r="I15" s="24">
        <v>1.0303030303030303</v>
      </c>
      <c r="J15" s="26">
        <v>5.6839083627519992E-26</v>
      </c>
      <c r="K15" s="3">
        <v>101.1</v>
      </c>
      <c r="M15" s="27">
        <v>1.6389412439564042E-3</v>
      </c>
      <c r="N15" s="3">
        <v>610.15</v>
      </c>
      <c r="O15" s="5">
        <v>5.4060000000000001E-5</v>
      </c>
      <c r="P15" s="5">
        <v>3.8999999999999999E-4</v>
      </c>
      <c r="Q15" s="32"/>
      <c r="R15" s="6">
        <v>1.3799999999999999E-10</v>
      </c>
      <c r="S15" s="6">
        <v>2.31E-10</v>
      </c>
      <c r="T15" s="6">
        <v>3.6899999999999997E-10</v>
      </c>
      <c r="U15" s="6">
        <v>1870200.65</v>
      </c>
      <c r="V15" s="11">
        <v>2449.9279999999999</v>
      </c>
      <c r="W15" s="11">
        <v>-1.1200000000000001</v>
      </c>
      <c r="X15" s="11">
        <v>2.3149999999999999</v>
      </c>
      <c r="Y15" s="11">
        <v>-7.2900000000000005E-4</v>
      </c>
      <c r="Z15" s="11">
        <v>2</v>
      </c>
      <c r="AA15" s="11">
        <v>3</v>
      </c>
      <c r="AB15" s="11">
        <v>5</v>
      </c>
      <c r="AC15" s="37">
        <v>0.14599400000000001</v>
      </c>
      <c r="AD15" s="165"/>
      <c r="AE15" s="104"/>
      <c r="AF15" s="161"/>
      <c r="AG15" s="111"/>
      <c r="AH15" s="107"/>
      <c r="AI15" s="101"/>
      <c r="AJ15" s="114"/>
      <c r="AK15" s="118"/>
      <c r="AL15" s="116"/>
      <c r="AM15" s="94"/>
      <c r="AN15" s="39"/>
      <c r="AO15" s="94"/>
      <c r="AP15" s="121"/>
      <c r="AQ15" s="125"/>
      <c r="AR15" s="123"/>
      <c r="AS15" s="45">
        <v>1766.56</v>
      </c>
      <c r="AT15" s="153"/>
      <c r="AU15" s="153"/>
      <c r="AV15" s="128"/>
      <c r="AW15" s="133"/>
      <c r="AX15" s="130"/>
      <c r="AY15" s="136"/>
      <c r="AZ15" s="157"/>
      <c r="BA15" s="140"/>
      <c r="BB15" s="155"/>
      <c r="BC15" s="138"/>
      <c r="BD15" s="150">
        <v>141</v>
      </c>
      <c r="BE15" s="48"/>
      <c r="BF15" s="143"/>
      <c r="BG15" s="148"/>
      <c r="BH15" s="148"/>
      <c r="BI15" s="145"/>
      <c r="BJ15" s="22"/>
      <c r="BK15" s="32"/>
      <c r="BL15" s="32"/>
      <c r="BM15" s="32"/>
      <c r="BO15" s="22"/>
    </row>
    <row r="16" spans="1:68" x14ac:dyDescent="0.25">
      <c r="A16" s="4" t="s">
        <v>38</v>
      </c>
      <c r="B16" s="31"/>
      <c r="C16" s="11">
        <v>2</v>
      </c>
      <c r="D16" s="25">
        <v>12.34</v>
      </c>
      <c r="E16" s="25">
        <v>11.34</v>
      </c>
      <c r="F16" s="22">
        <f t="shared" ref="F16:F21" si="10">D16*1.6726219E-27</f>
        <v>2.0640154245999999E-26</v>
      </c>
      <c r="G16" s="22">
        <f t="shared" ref="G16:G21" si="11">E16*9.1093856E-31</f>
        <v>1.0330043270399999E-29</v>
      </c>
      <c r="H16" s="24">
        <f t="shared" ref="H16:H21" si="12">((F16*D16)/(G16*E16))</f>
        <v>2174.2671429464549</v>
      </c>
      <c r="I16" s="24">
        <f t="shared" ref="I16:I21" si="13">D16/E16</f>
        <v>1.088183421516755</v>
      </c>
      <c r="J16" s="26">
        <f t="shared" ref="J16:J21" si="14">(F16)-(G16)</f>
        <v>2.06298242027296E-26</v>
      </c>
      <c r="K16" s="4">
        <v>33.103140000000003</v>
      </c>
      <c r="L16" s="11">
        <f>0.116*EXP(31200/(8.3144598*N16))/1000</f>
        <v>1.9398692129051695E-2</v>
      </c>
      <c r="M16" s="27">
        <f t="shared" ref="M16:M21" si="15">N16^-1</f>
        <v>1.364256480218281E-3</v>
      </c>
      <c r="N16" s="4">
        <v>733</v>
      </c>
      <c r="O16" s="4">
        <v>1.6714173769923689E-5</v>
      </c>
      <c r="P16" s="4">
        <v>1.409526898683356E-4</v>
      </c>
      <c r="U16" s="8">
        <v>1986063.3540000001</v>
      </c>
      <c r="V16" s="4">
        <v>2547.6863757231322</v>
      </c>
      <c r="Z16" s="4">
        <v>2</v>
      </c>
      <c r="AA16" s="4">
        <v>3</v>
      </c>
      <c r="AB16" s="11">
        <f>Z16+AA16</f>
        <v>5</v>
      </c>
      <c r="AC16" s="37">
        <v>0.98602842355479803</v>
      </c>
      <c r="AD16" s="165"/>
      <c r="AE16" s="104">
        <v>0.94926009679603196</v>
      </c>
      <c r="AF16" s="161">
        <v>1.2641169574941</v>
      </c>
      <c r="AG16" s="111">
        <v>1.2641169574941</v>
      </c>
      <c r="AH16" s="107">
        <v>0.94926009679603196</v>
      </c>
      <c r="AI16" s="101">
        <v>6136375549.3502598</v>
      </c>
      <c r="AJ16" s="114">
        <v>1.5469393767735401E-10</v>
      </c>
      <c r="AK16" s="118">
        <v>2.06003844994128E-10</v>
      </c>
      <c r="AL16" s="116">
        <v>1.5469393767735401E-10</v>
      </c>
      <c r="AM16" s="94">
        <v>4.2509000000000002E-11</v>
      </c>
      <c r="AN16" s="39">
        <f>AC16/AI16</f>
        <v>1.6068580151669531E-10</v>
      </c>
      <c r="AO16" s="39">
        <f t="shared" ref="AO16:AO21" si="16">(AN16-AM16)/AM16</f>
        <v>2.7800419091650075</v>
      </c>
      <c r="AP16" s="121">
        <v>2.7398875930803498E-4</v>
      </c>
      <c r="AQ16" s="125">
        <v>3.64867161248093E-4</v>
      </c>
      <c r="AR16" s="123">
        <v>2.7398875930803498E-4</v>
      </c>
      <c r="AS16" s="45">
        <f t="shared" ref="AS16:AS21" si="17">V16+W16*N16</f>
        <v>2547.6863757231322</v>
      </c>
      <c r="AT16" s="153"/>
      <c r="AU16" s="153"/>
      <c r="AV16" s="128">
        <f t="shared" ref="AV16:AV21" si="18">$AC16/AP16</f>
        <v>3598.7915199332842</v>
      </c>
      <c r="AW16" s="133">
        <f t="shared" ref="AW16:AW21" si="19">$AC16/AQ16</f>
        <v>2702.4312634272496</v>
      </c>
      <c r="AX16" s="130">
        <f t="shared" ref="AX16:AX21" si="20">$AC16/AR16</f>
        <v>3598.7915199332842</v>
      </c>
      <c r="AY16" s="136">
        <v>1.9910997427001248E-7</v>
      </c>
      <c r="AZ16" s="155">
        <v>2.6515208606205915E-7</v>
      </c>
      <c r="BA16" s="140">
        <v>2.6515208606205915E-7</v>
      </c>
      <c r="BB16" s="155">
        <v>0</v>
      </c>
      <c r="BC16" s="138">
        <v>1.9910997427001248E-7</v>
      </c>
      <c r="BD16" s="150">
        <v>72.25800000000001</v>
      </c>
      <c r="BE16" s="48">
        <f t="shared" si="6"/>
        <v>4323157.1595853949</v>
      </c>
      <c r="BF16" s="143">
        <f t="shared" ref="BF16:BF21" si="21">$AC16/(AY16)</f>
        <v>4952179.9556743838</v>
      </c>
      <c r="BG16" s="148"/>
      <c r="BH16" s="148">
        <f t="shared" ref="BH16:BH21" si="22">$AC16/(BA16)</f>
        <v>3718727.7618627409</v>
      </c>
      <c r="BI16" s="145">
        <f t="shared" si="8"/>
        <v>4952179.9556743838</v>
      </c>
      <c r="BJ16" s="8">
        <f t="shared" ref="BJ16:BJ21" si="23">L16/(U16/1000*(V16+W16*N16))</f>
        <v>3.8338347353322035E-9</v>
      </c>
      <c r="BM16"/>
      <c r="BO16" s="8"/>
    </row>
    <row r="17" spans="1:67" x14ac:dyDescent="0.25">
      <c r="A17" s="4" t="s">
        <v>39</v>
      </c>
      <c r="B17" s="31"/>
      <c r="C17" s="11">
        <v>3</v>
      </c>
      <c r="D17" s="25">
        <v>19.64</v>
      </c>
      <c r="E17" s="25">
        <v>19.64</v>
      </c>
      <c r="F17" s="22">
        <f t="shared" si="10"/>
        <v>3.2850294116000003E-26</v>
      </c>
      <c r="G17" s="22">
        <f t="shared" si="11"/>
        <v>1.78908333184E-29</v>
      </c>
      <c r="H17" s="24">
        <f t="shared" si="12"/>
        <v>1836.1522647586683</v>
      </c>
      <c r="I17" s="24">
        <f t="shared" si="13"/>
        <v>1</v>
      </c>
      <c r="J17" s="26">
        <f t="shared" si="14"/>
        <v>3.2832403282681602E-26</v>
      </c>
      <c r="K17" s="4">
        <v>41.290994999999988</v>
      </c>
      <c r="L17" s="11">
        <f>10^(0.213+-1200/N17+1350000/N17^2)/1000</f>
        <v>1.2003439447166342E-2</v>
      </c>
      <c r="M17" s="27">
        <f t="shared" si="15"/>
        <v>1.3605442176870747E-3</v>
      </c>
      <c r="N17" s="4">
        <v>735</v>
      </c>
      <c r="O17" s="4">
        <v>1.9405588331960499E-5</v>
      </c>
      <c r="P17" s="4">
        <v>3.1252324985815613E-4</v>
      </c>
      <c r="U17" s="8">
        <v>2102415.4449999998</v>
      </c>
      <c r="V17" s="4">
        <v>2012.468707779205</v>
      </c>
      <c r="Z17" s="4">
        <v>3</v>
      </c>
      <c r="AA17" s="4">
        <v>3</v>
      </c>
      <c r="AB17" s="11">
        <f>Z17+AA17</f>
        <v>6</v>
      </c>
      <c r="AC17" s="37">
        <v>0.78633287605038305</v>
      </c>
      <c r="AD17" s="165"/>
      <c r="AE17" s="104">
        <v>1.00506308659067</v>
      </c>
      <c r="AF17" s="161">
        <v>0.84284465559077204</v>
      </c>
      <c r="AG17" s="111">
        <v>0.84284465559077204</v>
      </c>
      <c r="AH17" s="107">
        <v>0.60317663224360296</v>
      </c>
      <c r="AI17" s="101">
        <v>3247299256.6262999</v>
      </c>
      <c r="AJ17" s="114">
        <v>3.0950738049158301E-10</v>
      </c>
      <c r="AK17" s="118">
        <v>2.5955250470707202E-10</v>
      </c>
      <c r="AL17" s="116">
        <v>1.85747165436873E-10</v>
      </c>
      <c r="AM17" s="94">
        <v>4.3781312500000001E-11</v>
      </c>
      <c r="AN17" s="39">
        <f>AC17/AI17</f>
        <v>2.4214980323905345E-10</v>
      </c>
      <c r="AO17" s="39">
        <f t="shared" si="16"/>
        <v>4.5308941055399705</v>
      </c>
      <c r="AP17" s="121">
        <v>4.2602763138870899E-4</v>
      </c>
      <c r="AQ17" s="125">
        <v>3.5726624232913199E-4</v>
      </c>
      <c r="AR17" s="123">
        <v>2.5567540522798601E-4</v>
      </c>
      <c r="AS17" s="45">
        <f t="shared" si="17"/>
        <v>2012.468707779205</v>
      </c>
      <c r="AT17" s="153"/>
      <c r="AU17" s="153"/>
      <c r="AV17" s="128">
        <f t="shared" si="18"/>
        <v>1845.7321030732169</v>
      </c>
      <c r="AW17" s="133">
        <f t="shared" si="19"/>
        <v>2200.9716645044032</v>
      </c>
      <c r="AX17" s="130">
        <f t="shared" si="20"/>
        <v>3075.5123878622944</v>
      </c>
      <c r="AY17" s="136">
        <v>2.5082215537556599E-7</v>
      </c>
      <c r="AZ17" s="155">
        <v>2.1033914784311533E-7</v>
      </c>
      <c r="BA17" s="140">
        <v>2.1033914784311533E-7</v>
      </c>
      <c r="BB17" s="155">
        <v>0</v>
      </c>
      <c r="BC17" s="138">
        <v>1.5052792704258515E-7</v>
      </c>
      <c r="BD17" s="150">
        <v>66.024000000000001</v>
      </c>
      <c r="BE17" s="48">
        <f t="shared" si="6"/>
        <v>3402318.9027080508</v>
      </c>
      <c r="BF17" s="143">
        <f t="shared" si="21"/>
        <v>3135021.6047421154</v>
      </c>
      <c r="BG17" s="148"/>
      <c r="BH17" s="148">
        <f t="shared" si="22"/>
        <v>3738404.7815810372</v>
      </c>
      <c r="BI17" s="145">
        <f t="shared" si="8"/>
        <v>5223833.8194076456</v>
      </c>
      <c r="BJ17" s="8">
        <f t="shared" si="23"/>
        <v>2.8369914793196441E-9</v>
      </c>
      <c r="BM17"/>
      <c r="BO17" s="8"/>
    </row>
    <row r="18" spans="1:67" x14ac:dyDescent="0.25">
      <c r="A18" s="4" t="s">
        <v>45</v>
      </c>
      <c r="B18" s="31"/>
      <c r="C18" s="11">
        <v>2</v>
      </c>
      <c r="D18" s="25">
        <v>15.2</v>
      </c>
      <c r="E18" s="25">
        <v>15.2</v>
      </c>
      <c r="F18" s="22">
        <f t="shared" si="10"/>
        <v>2.5423852879999997E-26</v>
      </c>
      <c r="G18" s="22">
        <f t="shared" si="11"/>
        <v>1.3846266111999999E-29</v>
      </c>
      <c r="H18" s="24">
        <f t="shared" si="12"/>
        <v>1836.152264758668</v>
      </c>
      <c r="I18" s="24">
        <f t="shared" si="13"/>
        <v>1</v>
      </c>
      <c r="J18" s="26">
        <f t="shared" si="14"/>
        <v>2.5410006613887998E-26</v>
      </c>
      <c r="K18" s="4">
        <v>32.358600000000003</v>
      </c>
      <c r="L18" s="11">
        <f>0.116*EXP(26800/(8.3144598*N18))/1000</f>
        <v>3.9071251973790879E-3</v>
      </c>
      <c r="M18" s="27">
        <f t="shared" si="15"/>
        <v>1.0911074740861974E-3</v>
      </c>
      <c r="N18" s="4">
        <v>916.5</v>
      </c>
      <c r="O18" s="4">
        <v>1.5885583505580338E-5</v>
      </c>
      <c r="P18" s="4">
        <v>2.7773488865206569E-4</v>
      </c>
      <c r="U18" s="8">
        <v>2014141.42</v>
      </c>
      <c r="V18" s="4">
        <v>2298.228366828082</v>
      </c>
      <c r="Z18" s="4">
        <v>2</v>
      </c>
      <c r="AA18" s="4">
        <v>2</v>
      </c>
      <c r="AB18" s="11">
        <f>Z18+AA18</f>
        <v>4</v>
      </c>
      <c r="AC18" s="37">
        <v>0.86544945017474995</v>
      </c>
      <c r="AD18" s="165"/>
      <c r="AE18" s="104">
        <v>0.75516834485926099</v>
      </c>
      <c r="AF18" s="161">
        <v>0.93676902087574598</v>
      </c>
      <c r="AG18" s="111">
        <v>0.93676902087574598</v>
      </c>
      <c r="AH18" s="107">
        <v>0.75516834485926099</v>
      </c>
      <c r="AI18" s="101">
        <v>3639311303.4173899</v>
      </c>
      <c r="AJ18" s="114">
        <v>1.8261412703366699E-10</v>
      </c>
      <c r="AK18" s="118">
        <v>2.4173581555363199E-10</v>
      </c>
      <c r="AL18" s="116">
        <v>1.8261412703366699E-10</v>
      </c>
      <c r="AM18" s="94">
        <v>4.4170000000000001E-11</v>
      </c>
      <c r="AN18" s="39">
        <f>AC18/AI18</f>
        <v>2.3780583138410686E-10</v>
      </c>
      <c r="AO18" s="39">
        <f t="shared" si="16"/>
        <v>4.3838766444217079</v>
      </c>
      <c r="AP18" s="121">
        <v>2.5520205906967699E-4</v>
      </c>
      <c r="AQ18" s="125">
        <v>3.3782423562883098E-4</v>
      </c>
      <c r="AR18" s="123">
        <v>2.5520205906967699E-4</v>
      </c>
      <c r="AS18" s="45">
        <f t="shared" si="17"/>
        <v>2298.228366828082</v>
      </c>
      <c r="AT18" s="153"/>
      <c r="AU18" s="153"/>
      <c r="AV18" s="128">
        <f t="shared" si="18"/>
        <v>3391.23223899404</v>
      </c>
      <c r="AW18" s="133">
        <f t="shared" si="19"/>
        <v>2561.8335184383373</v>
      </c>
      <c r="AX18" s="130">
        <f t="shared" si="20"/>
        <v>3391.23223899404</v>
      </c>
      <c r="AY18" s="136">
        <v>1.5851943675814752E-7</v>
      </c>
      <c r="AZ18" s="155">
        <v>2.0984042115629121E-7</v>
      </c>
      <c r="BA18" s="140">
        <v>2.0984042115629121E-7</v>
      </c>
      <c r="BB18" s="155">
        <v>0</v>
      </c>
      <c r="BC18" s="138">
        <v>1.5851943675814752E-7</v>
      </c>
      <c r="BD18" s="150">
        <v>66.600000000000009</v>
      </c>
      <c r="BE18" s="48">
        <f t="shared" si="6"/>
        <v>4192480.558023226</v>
      </c>
      <c r="BF18" s="143">
        <f t="shared" si="21"/>
        <v>5459579.3921168344</v>
      </c>
      <c r="BG18" s="148"/>
      <c r="BH18" s="148">
        <f t="shared" si="22"/>
        <v>4124321.9271379304</v>
      </c>
      <c r="BI18" s="145">
        <f t="shared" si="8"/>
        <v>5459579.3921168344</v>
      </c>
      <c r="BJ18" s="8">
        <f t="shared" si="23"/>
        <v>8.4406168446792717E-10</v>
      </c>
      <c r="BM18"/>
      <c r="BO18" s="8"/>
    </row>
    <row r="19" spans="1:67" x14ac:dyDescent="0.25">
      <c r="A19" s="4" t="s">
        <v>75</v>
      </c>
      <c r="B19" s="31"/>
      <c r="C19" s="11">
        <v>2</v>
      </c>
      <c r="D19" s="25">
        <v>57.97</v>
      </c>
      <c r="E19" s="25">
        <v>57.23</v>
      </c>
      <c r="F19" s="22">
        <f t="shared" si="10"/>
        <v>9.6961891543000003E-26</v>
      </c>
      <c r="G19" s="22">
        <f t="shared" si="11"/>
        <v>5.2133013788799995E-29</v>
      </c>
      <c r="H19" s="24">
        <f t="shared" si="12"/>
        <v>1883.9431857125064</v>
      </c>
      <c r="I19" s="24">
        <f t="shared" si="13"/>
        <v>1.0129302813209855</v>
      </c>
      <c r="J19" s="26">
        <f t="shared" si="14"/>
        <v>9.6909758529211207E-26</v>
      </c>
      <c r="K19" s="4">
        <v>164.240723</v>
      </c>
      <c r="L19" s="11">
        <f>10^(-1.2675+1704/N19+0/N19^2)/1000</f>
        <v>8.0532167424896099E-3</v>
      </c>
      <c r="M19" s="27">
        <f t="shared" si="15"/>
        <v>1.2755102040816326E-3</v>
      </c>
      <c r="N19" s="4">
        <v>784</v>
      </c>
      <c r="O19" s="4">
        <v>4.607843109406244E-5</v>
      </c>
      <c r="P19" s="4">
        <v>3.4092675768507421E-4</v>
      </c>
      <c r="U19" s="8">
        <v>2996639.6639999989</v>
      </c>
      <c r="V19" s="4">
        <v>1451.7494609289899</v>
      </c>
      <c r="Z19" s="4">
        <v>2</v>
      </c>
      <c r="AA19" s="4">
        <v>4</v>
      </c>
      <c r="AB19" s="11">
        <f>Z19+AA19</f>
        <v>6</v>
      </c>
      <c r="AC19" s="37">
        <v>0.239262577144952</v>
      </c>
      <c r="AD19" s="165"/>
      <c r="AE19" s="104">
        <v>0.34729589008948702</v>
      </c>
      <c r="AF19" s="161">
        <v>0.30884033107708703</v>
      </c>
      <c r="AG19" s="111">
        <v>0.30884033107708703</v>
      </c>
      <c r="AH19" s="107">
        <v>0.27030115340192401</v>
      </c>
      <c r="AI19" s="101">
        <v>974492101.32778299</v>
      </c>
      <c r="AJ19" s="114">
        <v>3.5638656241162298E-10</v>
      </c>
      <c r="AK19" s="118">
        <v>3.1692440673072701E-10</v>
      </c>
      <c r="AL19" s="116">
        <v>2.7737644361983898E-10</v>
      </c>
      <c r="AM19" s="94">
        <v>5.9341049999999997E-11</v>
      </c>
      <c r="AN19" s="39">
        <f>AC19/AI19</f>
        <v>2.4552541454050528E-10</v>
      </c>
      <c r="AO19" s="39">
        <f t="shared" si="16"/>
        <v>3.1375306729575105</v>
      </c>
      <c r="AP19" s="121">
        <v>2.38556747174589E-4</v>
      </c>
      <c r="AQ19" s="125">
        <v>2.12141712241654E-4</v>
      </c>
      <c r="AR19" s="123">
        <v>1.85669239841818E-4</v>
      </c>
      <c r="AS19" s="45">
        <f t="shared" si="17"/>
        <v>1451.7494609289899</v>
      </c>
      <c r="AT19" s="153"/>
      <c r="AU19" s="153"/>
      <c r="AV19" s="128">
        <f t="shared" si="18"/>
        <v>1002.958750815991</v>
      </c>
      <c r="AW19" s="133">
        <f t="shared" si="19"/>
        <v>1127.8431507727448</v>
      </c>
      <c r="AX19" s="130">
        <f t="shared" si="20"/>
        <v>1288.6495218529099</v>
      </c>
      <c r="AY19" s="136">
        <v>1.6105830420447881E-7</v>
      </c>
      <c r="AZ19" s="155">
        <v>1.4322455696325306E-7</v>
      </c>
      <c r="BA19" s="140">
        <v>1.4322455696325306E-7</v>
      </c>
      <c r="BB19" s="155">
        <v>0</v>
      </c>
      <c r="BC19" s="138">
        <v>1.2535203160685607E-7</v>
      </c>
      <c r="BD19" s="150">
        <v>99.360600000000005</v>
      </c>
      <c r="BE19" s="48">
        <f t="shared" si="6"/>
        <v>2156336.4385642763</v>
      </c>
      <c r="BF19" s="143">
        <f t="shared" si="21"/>
        <v>1485564.9842257462</v>
      </c>
      <c r="BG19" s="148"/>
      <c r="BH19" s="148">
        <f t="shared" si="22"/>
        <v>1670541.5762349977</v>
      </c>
      <c r="BI19" s="145">
        <f t="shared" si="8"/>
        <v>1908725.1644660672</v>
      </c>
      <c r="BJ19" s="8">
        <f t="shared" si="23"/>
        <v>1.8511567318115176E-9</v>
      </c>
      <c r="BM19"/>
      <c r="BO19" s="8"/>
    </row>
    <row r="20" spans="1:67" x14ac:dyDescent="0.25">
      <c r="A20" s="4" t="s">
        <v>76</v>
      </c>
      <c r="B20" s="31"/>
      <c r="C20" s="11">
        <v>2</v>
      </c>
      <c r="D20" s="25">
        <v>55.701999999999998</v>
      </c>
      <c r="E20" s="25">
        <v>55.018000000000001</v>
      </c>
      <c r="F20" s="22">
        <f t="shared" si="10"/>
        <v>9.3168385073799999E-26</v>
      </c>
      <c r="G20" s="22">
        <f t="shared" si="11"/>
        <v>5.0118017694079994E-29</v>
      </c>
      <c r="H20" s="24">
        <f t="shared" si="12"/>
        <v>1882.0912368640552</v>
      </c>
      <c r="I20" s="24">
        <f t="shared" si="13"/>
        <v>1.0124322948853102</v>
      </c>
      <c r="J20" s="26">
        <f t="shared" si="14"/>
        <v>9.3118267056105916E-26</v>
      </c>
      <c r="K20" s="4">
        <v>156.23418179999999</v>
      </c>
      <c r="L20" s="11">
        <f>10^(-1.2179+1557/N20+0/N20^2)/1000</f>
        <v>5.8623181999963962E-3</v>
      </c>
      <c r="M20" s="27">
        <f>N20^-1</f>
        <v>1.2755102040816326E-3</v>
      </c>
      <c r="N20" s="4">
        <v>784</v>
      </c>
      <c r="O20" s="4">
        <v>4.5172248870240592E-5</v>
      </c>
      <c r="P20" s="4">
        <v>3.4144514086291769E-4</v>
      </c>
      <c r="U20" s="8">
        <v>2899543.8624</v>
      </c>
      <c r="V20" s="4">
        <v>1470.4555590061771</v>
      </c>
      <c r="Z20" s="4">
        <v>2</v>
      </c>
      <c r="AA20" s="4">
        <v>4</v>
      </c>
      <c r="AB20" s="11">
        <f>Z20+AA20</f>
        <v>6</v>
      </c>
      <c r="AC20" s="37">
        <v>0.27567442291687039</v>
      </c>
      <c r="AD20" s="165"/>
      <c r="AE20" s="104">
        <v>0.36148346330236197</v>
      </c>
      <c r="AF20" s="161">
        <v>0.32145693534244602</v>
      </c>
      <c r="AG20" s="111">
        <v>0.32145693534244602</v>
      </c>
      <c r="AH20" s="107">
        <v>0.281343372768316</v>
      </c>
      <c r="AI20" s="101">
        <v>1014301607.94012</v>
      </c>
      <c r="AJ20" s="114">
        <v>3.5638656241162298E-10</v>
      </c>
      <c r="AK20" s="118">
        <v>3.1692440673072701E-10</v>
      </c>
      <c r="AL20" s="116">
        <v>2.7737644361983898E-10</v>
      </c>
      <c r="AM20" s="94">
        <v>5.9682537999999999E-11</v>
      </c>
      <c r="AN20" s="39">
        <f>AC20/AI20</f>
        <v>2.7178742571129298E-10</v>
      </c>
      <c r="AO20" s="39">
        <f t="shared" si="16"/>
        <v>3.5538851868412999</v>
      </c>
      <c r="AP20" s="121">
        <v>2.45101554137529E-4</v>
      </c>
      <c r="AQ20" s="125">
        <v>2.1796182243284901E-4</v>
      </c>
      <c r="AR20" s="123">
        <v>1.9076307746373699E-4</v>
      </c>
      <c r="AS20" s="45">
        <f t="shared" si="17"/>
        <v>1470.4555590061771</v>
      </c>
      <c r="AT20" s="153"/>
      <c r="AU20" s="153"/>
      <c r="AV20" s="128">
        <f t="shared" si="18"/>
        <v>1124.7355158025096</v>
      </c>
      <c r="AW20" s="133">
        <f t="shared" si="19"/>
        <v>1264.7830699883316</v>
      </c>
      <c r="AX20" s="130">
        <f t="shared" si="20"/>
        <v>1445.1141519735368</v>
      </c>
      <c r="AY20" s="136">
        <v>1.6814980633058422E-7</v>
      </c>
      <c r="AZ20" s="155">
        <v>1.4953082757272077E-7</v>
      </c>
      <c r="BA20" s="140">
        <v>1.4953082757272077E-7</v>
      </c>
      <c r="BB20" s="155">
        <v>0</v>
      </c>
      <c r="BC20" s="138">
        <v>1.3087136327399615E-7</v>
      </c>
      <c r="BD20" s="150">
        <v>97.109960000000001</v>
      </c>
      <c r="BE20" s="48">
        <f t="shared" si="6"/>
        <v>2149770.3220167966</v>
      </c>
      <c r="BF20" s="143">
        <f t="shared" si="21"/>
        <v>1639457.2728492573</v>
      </c>
      <c r="BG20" s="148"/>
      <c r="BH20" s="148">
        <f t="shared" si="22"/>
        <v>1843595.9152489989</v>
      </c>
      <c r="BI20" s="145">
        <f t="shared" si="8"/>
        <v>2106453.3601572583</v>
      </c>
      <c r="BJ20" s="8">
        <f t="shared" si="23"/>
        <v>1.3749528367298905E-9</v>
      </c>
      <c r="BM20"/>
      <c r="BO20" s="8"/>
    </row>
    <row r="21" spans="1:67" ht="15.75" thickBot="1" x14ac:dyDescent="0.3">
      <c r="A21" s="19" t="s">
        <v>54</v>
      </c>
      <c r="B21" s="31">
        <v>0.01</v>
      </c>
      <c r="C21" s="23">
        <v>1</v>
      </c>
      <c r="D21" s="23">
        <v>10</v>
      </c>
      <c r="E21" s="23">
        <v>10</v>
      </c>
      <c r="F21" s="22">
        <f t="shared" si="10"/>
        <v>1.6726219000000001E-26</v>
      </c>
      <c r="G21" s="22">
        <f t="shared" si="11"/>
        <v>9.1093856E-30</v>
      </c>
      <c r="H21" s="24">
        <f t="shared" si="12"/>
        <v>1836.1522647586683</v>
      </c>
      <c r="I21" s="24">
        <f t="shared" si="13"/>
        <v>1</v>
      </c>
      <c r="J21" s="26">
        <f t="shared" si="14"/>
        <v>1.6717109614400002E-26</v>
      </c>
      <c r="K21" s="9">
        <v>18.015000000000001</v>
      </c>
      <c r="L21" s="21">
        <v>1.7930000000000001E-3</v>
      </c>
      <c r="M21" s="27">
        <f t="shared" si="15"/>
        <v>3.6609921288669233E-3</v>
      </c>
      <c r="N21" s="4">
        <v>273.14999999999998</v>
      </c>
      <c r="O21" s="18">
        <v>1.802E-5</v>
      </c>
      <c r="P21" s="18">
        <v>5.1E-5</v>
      </c>
      <c r="T21" s="22">
        <v>3.1000000000000002E-10</v>
      </c>
      <c r="U21" s="8">
        <v>999840</v>
      </c>
      <c r="V21" s="4">
        <v>1403</v>
      </c>
      <c r="W21" s="4">
        <v>0</v>
      </c>
      <c r="X21" s="18">
        <v>999840</v>
      </c>
      <c r="Y21" s="4">
        <v>0</v>
      </c>
      <c r="AC21" s="54">
        <v>0.56100000000000005</v>
      </c>
      <c r="AD21" s="166"/>
      <c r="AE21" s="104">
        <f>$AI$21*AJ21</f>
        <v>0.53393579634110244</v>
      </c>
      <c r="AF21" s="162">
        <v>0.55623382223307438</v>
      </c>
      <c r="AG21" s="112">
        <f>$AI$21*AK21</f>
        <v>0.55623382223307438</v>
      </c>
      <c r="AH21" s="107">
        <f>$AI$21*AL21</f>
        <v>0.53393579634110244</v>
      </c>
      <c r="AI21" s="101">
        <f>1/3*BE21*V21</f>
        <v>1956310395.8564556</v>
      </c>
      <c r="AJ21" s="114">
        <v>2.7293000000000001E-10</v>
      </c>
      <c r="AK21" s="119">
        <v>2.8432800000000002E-10</v>
      </c>
      <c r="AL21" s="116">
        <v>2.7293000000000001E-10</v>
      </c>
      <c r="AM21" s="94">
        <f>T21</f>
        <v>3.1000000000000002E-10</v>
      </c>
      <c r="AN21" s="94">
        <f>AC21/(1/3*BE21*V21)</f>
        <v>2.8676430958411341E-10</v>
      </c>
      <c r="AO21" s="39">
        <f t="shared" si="16"/>
        <v>-7.4953840051247111E-2</v>
      </c>
      <c r="AP21" s="121">
        <f>AE21/AS21</f>
        <v>3.8056721050684422E-4</v>
      </c>
      <c r="AQ21" s="126">
        <f>AG21/AS21</f>
        <v>3.9646031520532745E-4</v>
      </c>
      <c r="AR21" s="123">
        <f>AH21/AS21</f>
        <v>3.8056721050684422E-4</v>
      </c>
      <c r="AS21" s="45">
        <f t="shared" si="17"/>
        <v>1403</v>
      </c>
      <c r="AT21" s="153"/>
      <c r="AU21" s="153"/>
      <c r="AV21" s="128">
        <f t="shared" si="18"/>
        <v>1474.1154374620271</v>
      </c>
      <c r="AW21" s="134">
        <f t="shared" si="19"/>
        <v>1415.0218281228406</v>
      </c>
      <c r="AX21" s="130">
        <f t="shared" si="20"/>
        <v>1474.1154374620271</v>
      </c>
      <c r="AY21" s="136">
        <v>1.2764026333333335E-7</v>
      </c>
      <c r="AZ21" s="156">
        <v>1.32970728E-7</v>
      </c>
      <c r="BA21" s="141">
        <v>1.32970728E-7</v>
      </c>
      <c r="BB21" s="156">
        <v>0</v>
      </c>
      <c r="BC21" s="138">
        <v>1.2764026333333335E-7</v>
      </c>
      <c r="BD21" s="150">
        <v>75.38</v>
      </c>
      <c r="BE21" s="48">
        <f t="shared" si="6"/>
        <v>4183129.8557158709</v>
      </c>
      <c r="BF21" s="143">
        <f t="shared" si="21"/>
        <v>4395164.8590299832</v>
      </c>
      <c r="BG21" s="149"/>
      <c r="BH21" s="149">
        <f t="shared" si="22"/>
        <v>4218973.6676481161</v>
      </c>
      <c r="BI21" s="145">
        <f t="shared" si="8"/>
        <v>4395164.8590299832</v>
      </c>
      <c r="BJ21" s="8">
        <f t="shared" si="23"/>
        <v>1.2781802750592626E-9</v>
      </c>
      <c r="BM21"/>
      <c r="BO21" s="8"/>
    </row>
    <row r="22" spans="1:67" x14ac:dyDescent="0.25">
      <c r="M22" s="4"/>
      <c r="N22" s="4"/>
      <c r="AF22" s="108"/>
      <c r="AG22" s="108"/>
      <c r="AK22" s="108"/>
      <c r="AQ22" s="108"/>
      <c r="AW22" s="131"/>
      <c r="AZ22" s="108"/>
      <c r="BA22" s="108"/>
      <c r="BB22" s="108"/>
      <c r="BG22" s="146"/>
    </row>
    <row r="23" spans="1:67" x14ac:dyDescent="0.25">
      <c r="M23" s="4"/>
      <c r="N23" s="4"/>
      <c r="AY23" s="58">
        <f>1/3*AS4*0.0000000004</f>
        <v>2.3249066666666664E-7</v>
      </c>
      <c r="AZ23" s="58">
        <f>1/3*AT4*0.0000000004</f>
        <v>2.6957866666666664E-7</v>
      </c>
      <c r="BG23" s="58">
        <f>$AC4/($AZ23)</f>
        <v>1769630.4554948662</v>
      </c>
      <c r="BH23" s="58">
        <f>$AC4/($AY23)</f>
        <v>2051930.1936925012</v>
      </c>
    </row>
    <row r="24" spans="1:67" x14ac:dyDescent="0.25">
      <c r="M24" s="4"/>
      <c r="N24" s="4"/>
      <c r="AM24" s="57">
        <v>0</v>
      </c>
      <c r="AY24" s="58">
        <f>1/3*AS3*0.000000000375</f>
        <v>2.5529968125E-7</v>
      </c>
      <c r="AZ24" s="58">
        <f>1/3*AT3*0.000000000375</f>
        <v>4.2577484062499995E-7</v>
      </c>
      <c r="BG24" s="58">
        <f>$AC3/($AZ24)</f>
        <v>1460197.5615832598</v>
      </c>
      <c r="BH24" s="58">
        <f>$AC3/($AY24)</f>
        <v>2435237.6039800714</v>
      </c>
    </row>
    <row r="25" spans="1:67" x14ac:dyDescent="0.25">
      <c r="M25" s="4"/>
      <c r="N25" s="4"/>
      <c r="AM25" s="57">
        <v>250</v>
      </c>
      <c r="AY25" s="58">
        <f>1/3*AS5*0.00000000045</f>
        <v>2.3957759999999995E-7</v>
      </c>
      <c r="AZ25" s="58">
        <f>1/3*AT5*0.00000000045</f>
        <v>2.7203879999999993E-7</v>
      </c>
      <c r="BG25" s="58">
        <f>$AC5/($AZ25)</f>
        <v>1343915.6235148998</v>
      </c>
      <c r="BH25" s="58">
        <f>$AC5/($AY25)</f>
        <v>1526007.4127224127</v>
      </c>
    </row>
    <row r="26" spans="1:67" x14ac:dyDescent="0.25">
      <c r="M26" s="4"/>
      <c r="N26" s="4"/>
      <c r="AY26" s="58">
        <f>1/3*AS6*0.00000000028</f>
        <v>2.3779466666666668E-7</v>
      </c>
      <c r="AZ26" s="58">
        <f>1/3*AT6*0.00000000028</f>
        <v>3.4149733333333329E-7</v>
      </c>
      <c r="BG26" s="58">
        <f>$AC6/($AZ26)</f>
        <v>3713748.055119318</v>
      </c>
      <c r="BH26" s="58">
        <f>$AC6/($AY26)</f>
        <v>5333320.0246785739</v>
      </c>
    </row>
    <row r="27" spans="1:67" x14ac:dyDescent="0.25">
      <c r="M27" s="4"/>
      <c r="N27" s="4"/>
      <c r="AS27" s="100"/>
      <c r="AT27" s="100"/>
      <c r="AU27" s="100"/>
    </row>
    <row r="28" spans="1:67" s="18" customFormat="1" x14ac:dyDescent="0.25">
      <c r="A28" s="19"/>
      <c r="B28" s="23"/>
      <c r="C28" s="23"/>
      <c r="D28" s="23"/>
      <c r="E28" s="23"/>
      <c r="F28" s="23"/>
      <c r="G28" s="23"/>
      <c r="H28" s="23"/>
      <c r="I28" s="23"/>
      <c r="J28" s="23"/>
      <c r="K28" s="11"/>
      <c r="L28" s="20"/>
      <c r="M28" s="4"/>
      <c r="N28" s="4"/>
      <c r="Q28"/>
      <c r="T28" s="13"/>
      <c r="U28" s="8"/>
      <c r="V28" s="4"/>
      <c r="W28" s="4"/>
      <c r="X28" s="4"/>
      <c r="Y28" s="4"/>
      <c r="Z28" s="4"/>
      <c r="AA28" s="4"/>
      <c r="AB28" s="11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8"/>
      <c r="AW28" s="58"/>
      <c r="AX28" s="57"/>
      <c r="AY28" s="57"/>
      <c r="AZ28" s="57"/>
      <c r="BA28" s="57"/>
      <c r="BB28" s="57"/>
      <c r="BC28" s="57"/>
      <c r="BD28" s="57"/>
      <c r="BE28" s="59"/>
      <c r="BF28" s="59"/>
      <c r="BG28" s="59"/>
      <c r="BH28" s="57"/>
      <c r="BI28"/>
      <c r="BJ28"/>
      <c r="BK28"/>
      <c r="BL28"/>
      <c r="BM28" s="4"/>
      <c r="BN28" s="4"/>
    </row>
    <row r="29" spans="1:67" s="18" customFormat="1" x14ac:dyDescent="0.25">
      <c r="A29" s="19"/>
      <c r="B29" s="23"/>
      <c r="C29" s="23"/>
      <c r="D29" s="23"/>
      <c r="E29" s="23"/>
      <c r="F29" s="23"/>
      <c r="G29" s="23"/>
      <c r="H29" s="23"/>
      <c r="I29" s="23"/>
      <c r="J29" s="23"/>
      <c r="K29" s="9"/>
      <c r="L29" s="20"/>
      <c r="M29" s="4"/>
      <c r="N29" s="4"/>
      <c r="Q29"/>
      <c r="T29" s="13"/>
      <c r="U29" s="8"/>
      <c r="V29" s="4"/>
      <c r="W29" s="4"/>
      <c r="X29" s="4"/>
      <c r="Y29" s="4"/>
      <c r="Z29" s="4"/>
      <c r="AA29" s="4"/>
      <c r="AB29" s="11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8"/>
      <c r="AW29" s="153">
        <v>3200</v>
      </c>
      <c r="AX29" s="57"/>
      <c r="AY29" s="57"/>
      <c r="AZ29" s="57"/>
      <c r="BA29" s="57"/>
      <c r="BB29" s="57"/>
      <c r="BC29" s="57"/>
      <c r="BD29" s="57"/>
      <c r="BE29" s="59"/>
      <c r="BF29" s="59"/>
      <c r="BG29" s="59"/>
      <c r="BH29" s="57"/>
      <c r="BI29"/>
      <c r="BJ29"/>
      <c r="BK29"/>
      <c r="BL29"/>
      <c r="BM29" s="4"/>
      <c r="BN29" s="4"/>
    </row>
    <row r="30" spans="1:67" s="18" customFormat="1" x14ac:dyDescent="0.25">
      <c r="A30" s="19"/>
      <c r="B30" s="23"/>
      <c r="C30" s="23"/>
      <c r="D30" s="23"/>
      <c r="E30" s="23"/>
      <c r="F30" s="23"/>
      <c r="G30" s="23"/>
      <c r="H30" s="23"/>
      <c r="I30" s="23"/>
      <c r="J30" s="23"/>
      <c r="K30" s="9"/>
      <c r="L30" s="20"/>
      <c r="M30" s="4"/>
      <c r="N30" s="4"/>
      <c r="Q30"/>
      <c r="T30" s="13"/>
      <c r="U30" s="8"/>
      <c r="V30" s="4"/>
      <c r="W30" s="4"/>
      <c r="X30" s="4"/>
      <c r="Y30" s="4"/>
      <c r="Z30" s="4"/>
      <c r="AA30" s="4"/>
      <c r="AB30" s="11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8"/>
      <c r="AW30" s="153">
        <v>4770</v>
      </c>
      <c r="AX30" s="57"/>
      <c r="AY30" s="57"/>
      <c r="AZ30" s="57"/>
      <c r="BA30" s="57"/>
      <c r="BB30" s="57"/>
      <c r="BC30" s="57"/>
      <c r="BD30" s="57"/>
      <c r="BE30" s="59"/>
      <c r="BF30" s="59"/>
      <c r="BG30" s="59"/>
      <c r="BH30" s="57"/>
      <c r="BI30"/>
      <c r="BJ30"/>
      <c r="BK30"/>
      <c r="BL30"/>
      <c r="BM30" s="4"/>
      <c r="BN30" s="4"/>
    </row>
    <row r="31" spans="1:67" s="18" customFormat="1" x14ac:dyDescent="0.25">
      <c r="A31" s="19"/>
      <c r="B31" s="23"/>
      <c r="C31" s="23"/>
      <c r="D31" s="23"/>
      <c r="E31" s="23"/>
      <c r="F31" s="23"/>
      <c r="G31" s="23" t="s">
        <v>21</v>
      </c>
      <c r="H31" s="23">
        <v>5.6672851556149997</v>
      </c>
      <c r="I31" s="23"/>
      <c r="J31" s="23"/>
      <c r="K31" s="9"/>
      <c r="L31" s="20"/>
      <c r="M31" s="4"/>
      <c r="N31" s="4"/>
      <c r="Q31"/>
      <c r="T31" s="13"/>
      <c r="U31" s="8"/>
      <c r="V31" s="4"/>
      <c r="W31" s="4"/>
      <c r="X31" s="4"/>
      <c r="Y31" s="4"/>
      <c r="Z31" s="4"/>
      <c r="AA31" s="4"/>
      <c r="AB31" s="11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8"/>
      <c r="AW31" s="153">
        <v>2030</v>
      </c>
      <c r="AX31" s="57"/>
      <c r="AY31" s="57"/>
      <c r="AZ31" s="57"/>
      <c r="BA31" s="57"/>
      <c r="BB31" s="57"/>
      <c r="BC31" s="57"/>
      <c r="BD31" s="57"/>
      <c r="BE31" s="59"/>
      <c r="BF31" s="59"/>
      <c r="BG31" s="59"/>
      <c r="BH31" s="57"/>
      <c r="BI31"/>
      <c r="BJ31"/>
      <c r="BK31"/>
      <c r="BL31"/>
      <c r="BM31" s="4"/>
      <c r="BN31" s="4"/>
    </row>
    <row r="32" spans="1:67" s="18" customFormat="1" x14ac:dyDescent="0.25">
      <c r="A32" s="19"/>
      <c r="B32" s="23"/>
      <c r="C32" s="23"/>
      <c r="D32" s="23"/>
      <c r="E32" s="23"/>
      <c r="F32" s="23"/>
      <c r="G32" s="23" t="s">
        <v>22</v>
      </c>
      <c r="H32" s="23">
        <v>3.6125286079999999</v>
      </c>
      <c r="I32" s="23"/>
      <c r="J32" s="23"/>
      <c r="K32" s="9"/>
      <c r="L32" s="20"/>
      <c r="M32" s="4"/>
      <c r="N32" s="4"/>
      <c r="Q32"/>
      <c r="T32" s="13"/>
      <c r="U32" s="8"/>
      <c r="V32" s="4"/>
      <c r="W32" s="4"/>
      <c r="X32" s="4"/>
      <c r="Y32" s="4"/>
      <c r="Z32" s="4"/>
      <c r="AA32" s="4"/>
      <c r="AB32" s="11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8"/>
      <c r="AW32" s="58"/>
      <c r="AX32" s="57"/>
      <c r="AY32" s="57"/>
      <c r="AZ32" s="57"/>
      <c r="BA32" s="57"/>
      <c r="BB32" s="57"/>
      <c r="BC32" s="57"/>
      <c r="BD32" s="57"/>
      <c r="BE32" s="59"/>
      <c r="BF32" s="59"/>
      <c r="BG32" s="59"/>
      <c r="BH32" s="57"/>
      <c r="BI32"/>
      <c r="BJ32"/>
      <c r="BK32"/>
      <c r="BL32"/>
      <c r="BM32" s="4"/>
      <c r="BN32" s="4"/>
    </row>
    <row r="33" spans="1:66" s="18" customFormat="1" x14ac:dyDescent="0.25">
      <c r="A33" s="19"/>
      <c r="B33" s="23"/>
      <c r="C33" s="23"/>
      <c r="D33" s="23"/>
      <c r="E33" s="23"/>
      <c r="F33" s="23"/>
      <c r="G33" s="23" t="s">
        <v>23</v>
      </c>
      <c r="H33" s="23">
        <v>2.1603079999999997</v>
      </c>
      <c r="I33" s="23"/>
      <c r="J33" s="23"/>
      <c r="K33" s="9"/>
      <c r="L33" s="20"/>
      <c r="M33" s="4"/>
      <c r="N33" s="4"/>
      <c r="Q33"/>
      <c r="T33" s="13"/>
      <c r="U33" s="8"/>
      <c r="V33" s="4"/>
      <c r="W33" s="4"/>
      <c r="X33" s="4"/>
      <c r="Y33" s="4"/>
      <c r="Z33" s="4"/>
      <c r="AA33" s="4"/>
      <c r="AB33" s="11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8"/>
      <c r="AT33" s="58"/>
      <c r="AU33" s="58"/>
      <c r="AV33" s="58"/>
      <c r="AW33" s="58"/>
      <c r="AX33" s="57"/>
      <c r="AY33" s="57"/>
      <c r="AZ33" s="57"/>
      <c r="BA33" s="57"/>
      <c r="BB33" s="57"/>
      <c r="BC33" s="57"/>
      <c r="BD33" s="57"/>
      <c r="BE33" s="59"/>
      <c r="BF33" s="59"/>
      <c r="BG33" s="59"/>
      <c r="BH33" s="57"/>
      <c r="BI33"/>
      <c r="BJ33"/>
      <c r="BK33"/>
      <c r="BL33"/>
      <c r="BM33" s="4"/>
      <c r="BN33" s="4"/>
    </row>
    <row r="34" spans="1:66" s="18" customFormat="1" x14ac:dyDescent="0.25">
      <c r="A34" s="19"/>
      <c r="B34" s="23"/>
      <c r="C34" s="23"/>
      <c r="D34" s="23"/>
      <c r="E34" s="23"/>
      <c r="F34" s="23"/>
      <c r="G34" s="23"/>
      <c r="H34" s="23"/>
      <c r="I34" s="23"/>
      <c r="J34" s="23"/>
      <c r="K34" s="9"/>
      <c r="L34" s="20"/>
      <c r="M34" s="4"/>
      <c r="N34" s="4"/>
      <c r="Q34"/>
      <c r="T34" s="13"/>
      <c r="U34" s="8"/>
      <c r="V34" s="4"/>
      <c r="W34" s="4"/>
      <c r="X34" s="4"/>
      <c r="Y34" s="4"/>
      <c r="Z34" s="4"/>
      <c r="AA34" s="4"/>
      <c r="AB34" s="11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8"/>
      <c r="AT34" s="58"/>
      <c r="AU34" s="58"/>
      <c r="AV34" s="58"/>
      <c r="AW34" s="58"/>
      <c r="AX34" s="57"/>
      <c r="AY34" s="57"/>
      <c r="AZ34" s="57"/>
      <c r="BA34" s="57"/>
      <c r="BB34" s="57"/>
      <c r="BC34" s="57"/>
      <c r="BD34" s="57"/>
      <c r="BE34" s="59"/>
      <c r="BF34" s="59"/>
      <c r="BG34" s="59"/>
      <c r="BH34" s="57"/>
      <c r="BI34"/>
      <c r="BJ34"/>
      <c r="BK34"/>
      <c r="BL34"/>
      <c r="BM34" s="4"/>
      <c r="BN34" s="4"/>
    </row>
    <row r="35" spans="1:66" s="18" customFormat="1" x14ac:dyDescent="0.25">
      <c r="A35" s="19"/>
      <c r="B35" s="23"/>
      <c r="C35" s="23"/>
      <c r="D35" s="23"/>
      <c r="E35" s="23"/>
      <c r="F35" s="23"/>
      <c r="G35" s="23"/>
      <c r="H35" s="23"/>
      <c r="I35" s="23"/>
      <c r="J35" s="23"/>
      <c r="K35" s="9"/>
      <c r="L35" s="20"/>
      <c r="M35" s="4"/>
      <c r="N35" s="4"/>
      <c r="Q35"/>
      <c r="T35" s="13"/>
      <c r="U35" s="8"/>
      <c r="V35" s="4"/>
      <c r="W35" s="4"/>
      <c r="X35" s="4"/>
      <c r="Y35" s="4"/>
      <c r="Z35" s="4"/>
      <c r="AA35" s="4"/>
      <c r="AB35" s="11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8"/>
      <c r="AT35" s="58"/>
      <c r="AU35" s="58"/>
      <c r="AV35" s="58"/>
      <c r="AW35" s="58"/>
      <c r="AX35" s="57"/>
      <c r="AY35" s="57"/>
      <c r="AZ35" s="57"/>
      <c r="BA35" s="57"/>
      <c r="BB35" s="57"/>
      <c r="BC35" s="57"/>
      <c r="BD35" s="57"/>
      <c r="BE35" s="59"/>
      <c r="BF35" s="59"/>
      <c r="BG35" s="59"/>
      <c r="BH35" s="57"/>
      <c r="BI35"/>
      <c r="BJ35"/>
      <c r="BK35"/>
      <c r="BL35"/>
      <c r="BM35" s="4"/>
      <c r="BN35" s="4"/>
    </row>
    <row r="70" spans="35:35" x14ac:dyDescent="0.25">
      <c r="AI70" s="57">
        <v>1081717855.4526601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707BB-0862-404C-99BE-9DCA6CF9334F}">
  <sheetPr codeName="Sheet4">
    <outlinePr summaryBelow="0"/>
  </sheetPr>
  <dimension ref="A1:DA81"/>
  <sheetViews>
    <sheetView zoomScale="60" zoomScaleNormal="60" workbookViewId="0">
      <pane xSplit="1" topLeftCell="B1" activePane="topRight" state="frozen"/>
      <selection pane="topRight" activeCell="AE4" sqref="AE4"/>
    </sheetView>
  </sheetViews>
  <sheetFormatPr defaultRowHeight="15" x14ac:dyDescent="0.25"/>
  <cols>
    <col min="1" max="1" width="27.42578125" style="19" customWidth="1"/>
    <col min="2" max="2" width="7.85546875" style="23" customWidth="1"/>
    <col min="3" max="3" width="12.140625" style="23" customWidth="1"/>
    <col min="4" max="4" width="1.7109375" style="23" customWidth="1"/>
    <col min="5" max="5" width="7.28515625" style="23" customWidth="1"/>
    <col min="6" max="6" width="8.42578125" style="23" customWidth="1"/>
    <col min="7" max="7" width="9" style="23" customWidth="1"/>
    <col min="8" max="8" width="10.42578125" style="23" customWidth="1"/>
    <col min="9" max="9" width="11.140625" style="23" customWidth="1"/>
    <col min="10" max="10" width="12.7109375" style="23" customWidth="1"/>
    <col min="11" max="11" width="13" style="23" customWidth="1"/>
    <col min="12" max="12" width="10.5703125" style="23" customWidth="1"/>
    <col min="13" max="13" width="12.140625" style="9" customWidth="1"/>
    <col min="14" max="14" width="16" style="20" customWidth="1"/>
    <col min="15" max="15" width="22" style="18" customWidth="1"/>
    <col min="16" max="16" width="14.5703125" style="18" customWidth="1"/>
    <col min="17" max="17" width="13.140625" style="18" customWidth="1"/>
    <col min="18" max="18" width="12" style="18" customWidth="1"/>
    <col min="20" max="20" width="11.5703125" style="18" customWidth="1"/>
    <col min="21" max="21" width="12.5703125" style="18" customWidth="1"/>
    <col min="22" max="23" width="12" style="13" customWidth="1"/>
    <col min="24" max="24" width="12.140625" style="8" customWidth="1"/>
    <col min="25" max="25" width="10.140625" style="4" customWidth="1"/>
    <col min="26" max="26" width="7.5703125" style="4" customWidth="1"/>
    <col min="27" max="27" width="6.28515625" style="4" customWidth="1"/>
    <col min="28" max="28" width="8.42578125" style="4" customWidth="1"/>
    <col min="29" max="29" width="7.85546875" style="4" customWidth="1"/>
    <col min="30" max="30" width="6.140625" style="4" customWidth="1"/>
    <col min="31" max="36" width="8.85546875" style="11" customWidth="1"/>
    <col min="37" max="37" width="11.28515625" style="57" customWidth="1"/>
    <col min="38" max="38" width="3" style="57" customWidth="1"/>
    <col min="39" max="39" width="14.28515625" style="57" customWidth="1"/>
    <col min="40" max="44" width="18.140625" style="57" customWidth="1"/>
    <col min="45" max="53" width="14.85546875" style="57" customWidth="1"/>
    <col min="54" max="55" width="19" style="57" customWidth="1"/>
    <col min="56" max="61" width="15.5703125" style="57" customWidth="1"/>
    <col min="62" max="62" width="12.85546875" style="57" customWidth="1"/>
    <col min="63" max="63" width="13.7109375" style="57" customWidth="1"/>
    <col min="64" max="64" width="14.42578125" style="57" bestFit="1" customWidth="1"/>
    <col min="65" max="65" width="3.140625" style="57" customWidth="1"/>
    <col min="66" max="67" width="14.42578125" style="57" customWidth="1"/>
    <col min="68" max="68" width="13.42578125" style="58" customWidth="1"/>
    <col min="69" max="69" width="14.140625" style="58" customWidth="1"/>
    <col min="70" max="70" width="15.42578125" style="57" customWidth="1"/>
    <col min="71" max="71" width="14.42578125" style="57" customWidth="1"/>
    <col min="72" max="73" width="14.42578125" style="11" customWidth="1"/>
    <col min="74" max="74" width="13" customWidth="1"/>
    <col min="75" max="75" width="13" style="58" customWidth="1"/>
    <col min="76" max="81" width="11.140625" style="58" customWidth="1"/>
    <col min="82" max="83" width="10.5703125" style="57" customWidth="1"/>
    <col min="84" max="85" width="13" style="57" customWidth="1"/>
    <col min="86" max="86" width="14" style="57" customWidth="1"/>
    <col min="87" max="87" width="0.28515625" style="57" customWidth="1"/>
    <col min="88" max="88" width="13" style="57" customWidth="1"/>
    <col min="89" max="89" width="14.28515625" style="57" customWidth="1"/>
    <col min="90" max="90" width="14.5703125" style="59" customWidth="1"/>
    <col min="94" max="95" width="11" style="59" customWidth="1"/>
    <col min="96" max="96" width="14.28515625" style="57" customWidth="1"/>
    <col min="98" max="98" width="11.85546875" style="4" customWidth="1"/>
    <col min="99" max="99" width="11.5703125" style="4" customWidth="1"/>
    <col min="100" max="100" width="10.28515625" style="4" customWidth="1"/>
    <col min="101" max="16384" width="9.140625" style="4"/>
  </cols>
  <sheetData>
    <row r="1" spans="1:105" s="11" customFormat="1" x14ac:dyDescent="0.25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0"/>
      <c r="N1" s="20"/>
      <c r="O1" s="13"/>
      <c r="P1" s="13"/>
      <c r="Q1" s="13"/>
      <c r="R1" s="13"/>
      <c r="S1" s="32"/>
      <c r="T1" s="13"/>
      <c r="U1" s="13"/>
      <c r="V1" s="13"/>
      <c r="W1" s="13"/>
      <c r="X1" s="22"/>
      <c r="AK1" s="91"/>
      <c r="AL1" s="102"/>
      <c r="AY1" s="91"/>
      <c r="BD1" s="91"/>
      <c r="BE1" s="91"/>
      <c r="BJ1" s="91"/>
      <c r="BK1" s="102"/>
      <c r="BL1" s="102"/>
      <c r="BP1" s="174"/>
      <c r="BQ1" s="92"/>
      <c r="BW1" s="22"/>
      <c r="BX1" s="22"/>
      <c r="BY1" s="22"/>
      <c r="BZ1" s="22"/>
      <c r="CA1" s="22"/>
      <c r="CB1" s="22"/>
      <c r="CC1" s="22"/>
      <c r="CJ1" s="11" t="s">
        <v>158</v>
      </c>
      <c r="CK1" s="22">
        <v>1.6021766E-19</v>
      </c>
      <c r="CL1" s="28"/>
      <c r="CP1" s="28"/>
      <c r="CQ1" s="28"/>
      <c r="CS1" s="32"/>
    </row>
    <row r="2" spans="1:105" s="11" customFormat="1" x14ac:dyDescent="0.25">
      <c r="A2" s="23" t="s">
        <v>144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0"/>
      <c r="N2" s="20"/>
      <c r="O2" s="13"/>
      <c r="P2" s="13"/>
      <c r="Q2" s="13"/>
      <c r="R2" s="13"/>
      <c r="S2" s="32"/>
      <c r="T2" s="13"/>
      <c r="U2" s="13"/>
      <c r="V2" s="13"/>
      <c r="W2" s="13"/>
      <c r="X2" s="22"/>
      <c r="AK2" s="175"/>
      <c r="AL2" s="175"/>
      <c r="AM2" s="175"/>
      <c r="AN2" s="175"/>
      <c r="AO2" s="175"/>
      <c r="AP2" s="175"/>
      <c r="AQ2" s="175"/>
      <c r="AR2" s="175"/>
      <c r="AS2" s="175" t="s">
        <v>147</v>
      </c>
      <c r="AT2" s="175" t="s">
        <v>146</v>
      </c>
      <c r="AU2" s="175" t="s">
        <v>94</v>
      </c>
      <c r="AV2" s="175" t="s">
        <v>94</v>
      </c>
      <c r="AW2" s="175" t="s">
        <v>147</v>
      </c>
      <c r="AX2" s="176" t="s">
        <v>146</v>
      </c>
      <c r="AY2" s="175" t="s">
        <v>147</v>
      </c>
      <c r="AZ2" s="175" t="s">
        <v>146</v>
      </c>
      <c r="BA2" s="175" t="s">
        <v>94</v>
      </c>
      <c r="BB2" s="195"/>
      <c r="BC2" s="195"/>
      <c r="BD2" s="195"/>
      <c r="BE2" s="175" t="s">
        <v>147</v>
      </c>
      <c r="BF2" s="175" t="s">
        <v>146</v>
      </c>
      <c r="BG2" s="175" t="s">
        <v>94</v>
      </c>
      <c r="BH2" s="195"/>
      <c r="BI2" s="195"/>
      <c r="BJ2" s="175" t="s">
        <v>147</v>
      </c>
      <c r="BK2" s="175" t="s">
        <v>94</v>
      </c>
      <c r="BL2" s="175" t="s">
        <v>146</v>
      </c>
      <c r="BM2" s="175"/>
      <c r="BN2" s="195"/>
      <c r="BO2" s="195"/>
      <c r="BP2" s="176"/>
      <c r="BQ2" s="176"/>
      <c r="BR2" s="175" t="s">
        <v>147</v>
      </c>
      <c r="BS2" s="175" t="s">
        <v>146</v>
      </c>
      <c r="BT2" s="175" t="s">
        <v>94</v>
      </c>
      <c r="BU2" s="175" t="s">
        <v>94</v>
      </c>
      <c r="BV2" s="175" t="s">
        <v>147</v>
      </c>
      <c r="BW2" s="176" t="s">
        <v>146</v>
      </c>
      <c r="BX2" s="176" t="s">
        <v>147</v>
      </c>
      <c r="BY2" s="176" t="s">
        <v>146</v>
      </c>
      <c r="BZ2" s="176" t="s">
        <v>94</v>
      </c>
      <c r="CA2" s="175" t="s">
        <v>94</v>
      </c>
      <c r="CB2" s="175" t="s">
        <v>147</v>
      </c>
      <c r="CC2" s="176" t="s">
        <v>146</v>
      </c>
      <c r="CJ2" s="11" t="s">
        <v>159</v>
      </c>
      <c r="CK2" s="22">
        <v>8.8541878170000005E-12</v>
      </c>
      <c r="CL2" s="28"/>
      <c r="CP2" s="28"/>
      <c r="CQ2" s="28"/>
      <c r="CS2" s="32"/>
    </row>
    <row r="3" spans="1:105" s="11" customFormat="1" x14ac:dyDescent="0.25">
      <c r="A3" s="23" t="s">
        <v>145</v>
      </c>
      <c r="B3" s="23" t="s">
        <v>123</v>
      </c>
      <c r="C3" s="23" t="s">
        <v>124</v>
      </c>
      <c r="D3" s="23"/>
      <c r="E3" s="23"/>
      <c r="F3" s="23"/>
      <c r="G3" s="23"/>
      <c r="H3" s="23"/>
      <c r="I3" s="23"/>
      <c r="J3" s="23"/>
      <c r="K3" s="23"/>
      <c r="L3" s="23"/>
      <c r="M3" s="20"/>
      <c r="N3" s="20"/>
      <c r="O3" s="13"/>
      <c r="P3" s="13"/>
      <c r="Q3" s="13"/>
      <c r="R3" s="13"/>
      <c r="S3" s="32"/>
      <c r="T3" s="13"/>
      <c r="U3" s="13"/>
      <c r="V3" s="13"/>
      <c r="W3" s="13"/>
      <c r="X3" s="22"/>
      <c r="AH3" s="175"/>
      <c r="AI3" s="175"/>
      <c r="AJ3" s="198"/>
      <c r="AK3" s="175"/>
      <c r="AL3" s="175"/>
      <c r="AM3" s="175"/>
      <c r="AN3" s="175"/>
      <c r="AO3" s="175"/>
      <c r="AP3" s="175"/>
      <c r="AQ3" s="175"/>
      <c r="AR3" s="175"/>
      <c r="AS3" s="175" t="s">
        <v>94</v>
      </c>
      <c r="AT3" s="175" t="s">
        <v>94</v>
      </c>
      <c r="AU3" s="175" t="s">
        <v>94</v>
      </c>
      <c r="AV3" s="175" t="s">
        <v>146</v>
      </c>
      <c r="AW3" s="175" t="s">
        <v>146</v>
      </c>
      <c r="AX3" s="175" t="s">
        <v>146</v>
      </c>
      <c r="AY3" s="195"/>
      <c r="AZ3" s="195"/>
      <c r="BA3" s="195"/>
      <c r="BB3" s="175" t="s">
        <v>94</v>
      </c>
      <c r="BC3" s="175" t="s">
        <v>146</v>
      </c>
      <c r="BD3" s="175"/>
      <c r="BE3" s="195"/>
      <c r="BF3" s="195"/>
      <c r="BG3" s="195"/>
      <c r="BH3" s="175" t="s">
        <v>94</v>
      </c>
      <c r="BI3" s="175" t="s">
        <v>146</v>
      </c>
      <c r="BJ3" s="196"/>
      <c r="BK3" s="196"/>
      <c r="BL3" s="196"/>
      <c r="BM3" s="196"/>
      <c r="BN3" s="175" t="s">
        <v>94</v>
      </c>
      <c r="BO3" s="175" t="s">
        <v>146</v>
      </c>
      <c r="BP3" s="175"/>
      <c r="BQ3" s="177" t="s">
        <v>109</v>
      </c>
      <c r="BR3" s="175" t="s">
        <v>94</v>
      </c>
      <c r="BS3" s="175" t="s">
        <v>94</v>
      </c>
      <c r="BT3" s="175" t="s">
        <v>94</v>
      </c>
      <c r="BU3" s="175" t="s">
        <v>146</v>
      </c>
      <c r="BV3" s="175" t="s">
        <v>146</v>
      </c>
      <c r="BW3" s="175" t="s">
        <v>146</v>
      </c>
      <c r="BX3" s="175" t="s">
        <v>94</v>
      </c>
      <c r="BY3" s="175" t="s">
        <v>94</v>
      </c>
      <c r="BZ3" s="175" t="s">
        <v>94</v>
      </c>
      <c r="CA3" s="175" t="s">
        <v>146</v>
      </c>
      <c r="CB3" s="175" t="s">
        <v>146</v>
      </c>
      <c r="CC3" s="175" t="s">
        <v>146</v>
      </c>
      <c r="CD3" s="32"/>
      <c r="CE3" s="32"/>
      <c r="CF3" s="32"/>
      <c r="CG3" s="32"/>
      <c r="CH3" s="32"/>
      <c r="CM3" s="252" t="s">
        <v>160</v>
      </c>
      <c r="CN3" s="252"/>
      <c r="CO3" s="252"/>
      <c r="CP3" s="252" t="s">
        <v>152</v>
      </c>
      <c r="CQ3" s="252"/>
      <c r="CR3" s="252"/>
      <c r="CS3" s="11" t="s">
        <v>162</v>
      </c>
      <c r="CV3" s="11" t="s">
        <v>165</v>
      </c>
      <c r="CY3" s="11" t="s">
        <v>162</v>
      </c>
    </row>
    <row r="4" spans="1:105" s="219" customFormat="1" ht="20.25" customHeight="1" x14ac:dyDescent="0.25">
      <c r="A4" s="212" t="s">
        <v>0</v>
      </c>
      <c r="B4" s="213" t="s">
        <v>72</v>
      </c>
      <c r="C4" s="213" t="s">
        <v>125</v>
      </c>
      <c r="D4" s="213" t="s">
        <v>112</v>
      </c>
      <c r="E4" s="212" t="s">
        <v>56</v>
      </c>
      <c r="F4" s="212" t="s">
        <v>57</v>
      </c>
      <c r="G4" s="212" t="s">
        <v>58</v>
      </c>
      <c r="H4" s="214" t="s">
        <v>60</v>
      </c>
      <c r="I4" s="214" t="s">
        <v>61</v>
      </c>
      <c r="J4" s="212" t="s">
        <v>64</v>
      </c>
      <c r="K4" s="212" t="s">
        <v>59</v>
      </c>
      <c r="L4" s="212" t="s">
        <v>62</v>
      </c>
      <c r="M4" s="215" t="s">
        <v>1</v>
      </c>
      <c r="N4" s="215" t="s">
        <v>52</v>
      </c>
      <c r="O4" s="216" t="s">
        <v>74</v>
      </c>
      <c r="P4" s="216" t="s">
        <v>2</v>
      </c>
      <c r="Q4" s="216" t="s">
        <v>3</v>
      </c>
      <c r="R4" s="217" t="s">
        <v>4</v>
      </c>
      <c r="S4" s="213"/>
      <c r="T4" s="216" t="s">
        <v>6</v>
      </c>
      <c r="U4" s="216" t="s">
        <v>7</v>
      </c>
      <c r="V4" s="216" t="s">
        <v>55</v>
      </c>
      <c r="W4" s="216" t="s">
        <v>115</v>
      </c>
      <c r="X4" s="218" t="s">
        <v>8</v>
      </c>
      <c r="Y4" s="219" t="s">
        <v>9</v>
      </c>
      <c r="Z4" s="219" t="s">
        <v>10</v>
      </c>
      <c r="AA4" s="219" t="s">
        <v>11</v>
      </c>
      <c r="AB4" s="219" t="s">
        <v>12</v>
      </c>
      <c r="AC4" s="219" t="s">
        <v>13</v>
      </c>
      <c r="AD4" s="219" t="s">
        <v>14</v>
      </c>
      <c r="AE4" s="219" t="s">
        <v>51</v>
      </c>
      <c r="AF4" s="219" t="s">
        <v>156</v>
      </c>
      <c r="AG4" s="219" t="s">
        <v>157</v>
      </c>
      <c r="AH4" s="220" t="s">
        <v>143</v>
      </c>
      <c r="AI4" s="220" t="s">
        <v>135</v>
      </c>
      <c r="AJ4" s="221" t="s">
        <v>134</v>
      </c>
      <c r="AK4" s="220" t="s">
        <v>15</v>
      </c>
      <c r="AL4" s="220" t="s">
        <v>112</v>
      </c>
      <c r="AM4" s="221" t="s">
        <v>168</v>
      </c>
      <c r="AN4" s="221" t="s">
        <v>166</v>
      </c>
      <c r="AO4" s="221" t="s">
        <v>167</v>
      </c>
      <c r="AP4" s="221" t="s">
        <v>169</v>
      </c>
      <c r="AQ4" s="221" t="s">
        <v>170</v>
      </c>
      <c r="AR4" s="221" t="s">
        <v>171</v>
      </c>
      <c r="AS4" s="263" t="s">
        <v>102</v>
      </c>
      <c r="AT4" s="264"/>
      <c r="AU4" s="264"/>
      <c r="AV4" s="264"/>
      <c r="AW4" s="264"/>
      <c r="AX4" s="265"/>
      <c r="AY4" s="266" t="s">
        <v>67</v>
      </c>
      <c r="AZ4" s="267"/>
      <c r="BA4" s="225"/>
      <c r="BB4" s="266" t="s">
        <v>82</v>
      </c>
      <c r="BC4" s="267"/>
      <c r="BD4" s="222" t="s">
        <v>66</v>
      </c>
      <c r="BE4" s="259" t="s">
        <v>46</v>
      </c>
      <c r="BF4" s="260"/>
      <c r="BG4" s="226"/>
      <c r="BH4" s="268" t="s">
        <v>103</v>
      </c>
      <c r="BI4" s="269"/>
      <c r="BJ4" s="270" t="s">
        <v>63</v>
      </c>
      <c r="BK4" s="271"/>
      <c r="BL4" s="272"/>
      <c r="BM4" s="223" t="s">
        <v>120</v>
      </c>
      <c r="BN4" s="261" t="s">
        <v>71</v>
      </c>
      <c r="BO4" s="262"/>
      <c r="BP4" s="224" t="s">
        <v>149</v>
      </c>
      <c r="BQ4" s="224" t="s">
        <v>148</v>
      </c>
      <c r="BR4" s="253" t="s">
        <v>104</v>
      </c>
      <c r="BS4" s="254"/>
      <c r="BT4" s="254"/>
      <c r="BU4" s="254"/>
      <c r="BV4" s="254"/>
      <c r="BW4" s="255"/>
      <c r="BX4" s="256" t="s">
        <v>69</v>
      </c>
      <c r="BY4" s="257"/>
      <c r="BZ4" s="257"/>
      <c r="CA4" s="257"/>
      <c r="CB4" s="257"/>
      <c r="CC4" s="258"/>
      <c r="CD4" s="219" t="s">
        <v>53</v>
      </c>
      <c r="CF4" s="213" t="s">
        <v>116</v>
      </c>
      <c r="CG4" s="213" t="s">
        <v>117</v>
      </c>
      <c r="CH4" s="219" t="s">
        <v>118</v>
      </c>
      <c r="CJ4" s="219" t="s">
        <v>119</v>
      </c>
      <c r="CK4" s="219" t="s">
        <v>151</v>
      </c>
      <c r="CL4" s="219" t="s">
        <v>150</v>
      </c>
      <c r="CM4" s="219" t="s">
        <v>155</v>
      </c>
      <c r="CN4" s="219" t="s">
        <v>153</v>
      </c>
      <c r="CO4" s="219" t="s">
        <v>154</v>
      </c>
      <c r="CP4" s="219" t="s">
        <v>155</v>
      </c>
      <c r="CQ4" s="219" t="s">
        <v>153</v>
      </c>
      <c r="CR4" s="219" t="s">
        <v>154</v>
      </c>
      <c r="CS4" s="228" t="s">
        <v>161</v>
      </c>
      <c r="CT4" s="228" t="s">
        <v>164</v>
      </c>
      <c r="CU4" s="228" t="s">
        <v>163</v>
      </c>
      <c r="CV4" s="219" t="s">
        <v>155</v>
      </c>
      <c r="CW4" s="219" t="s">
        <v>153</v>
      </c>
      <c r="CX4" s="219" t="s">
        <v>154</v>
      </c>
      <c r="CY4" s="228" t="s">
        <v>161</v>
      </c>
      <c r="CZ4" s="228" t="s">
        <v>164</v>
      </c>
      <c r="DA4" s="228" t="s">
        <v>163</v>
      </c>
    </row>
    <row r="5" spans="1:105" s="11" customFormat="1" ht="20.25" customHeight="1" x14ac:dyDescent="0.25">
      <c r="A5" s="2" t="s">
        <v>21</v>
      </c>
      <c r="B5" s="30">
        <v>3300</v>
      </c>
      <c r="C5" s="173">
        <f>$B$35*P5+$B$37</f>
        <v>2912006.0613824991</v>
      </c>
      <c r="D5" s="173" t="s">
        <v>136</v>
      </c>
      <c r="E5" s="2">
        <v>1</v>
      </c>
      <c r="F5" s="2">
        <v>20</v>
      </c>
      <c r="G5" s="2">
        <v>20</v>
      </c>
      <c r="H5" s="22">
        <v>3.3452438000000001E-26</v>
      </c>
      <c r="I5" s="22">
        <v>1.82187712E-29</v>
      </c>
      <c r="J5" s="24">
        <v>1836.1522647586683</v>
      </c>
      <c r="K5" s="24">
        <v>1</v>
      </c>
      <c r="L5" s="26">
        <v>3.3434219228800004E-26</v>
      </c>
      <c r="M5" s="3">
        <v>42.393999999999998</v>
      </c>
      <c r="N5" s="11">
        <v>1.5609788980515524E-3</v>
      </c>
      <c r="O5" s="27">
        <v>1.1388224575788635E-3</v>
      </c>
      <c r="P5" s="3">
        <v>878.1</v>
      </c>
      <c r="Q5" s="5">
        <v>2.828152101400934E-5</v>
      </c>
      <c r="R5" s="5">
        <v>2.8800000000000001E-4</v>
      </c>
      <c r="S5" s="32"/>
      <c r="T5" s="6">
        <v>7.5999999999999996E-11</v>
      </c>
      <c r="U5" s="6">
        <v>1.81E-10</v>
      </c>
      <c r="V5" s="6">
        <v>2.5699999999999999E-10</v>
      </c>
      <c r="W5" s="6">
        <f>U5-T5</f>
        <v>1.05E-10</v>
      </c>
      <c r="X5" s="6">
        <v>1499000</v>
      </c>
      <c r="Y5" s="11">
        <v>2787.9043499999998</v>
      </c>
      <c r="Z5" s="11">
        <v>-0.84899999999999998</v>
      </c>
      <c r="AA5" s="11">
        <v>1.8842000000000001</v>
      </c>
      <c r="AB5" s="11">
        <v>-4.328E-4</v>
      </c>
      <c r="AC5" s="11">
        <v>1</v>
      </c>
      <c r="AD5" s="11">
        <v>1</v>
      </c>
      <c r="AE5" s="11">
        <v>2</v>
      </c>
      <c r="AF5" s="11">
        <v>1</v>
      </c>
      <c r="AG5" s="11">
        <v>-1</v>
      </c>
      <c r="AH5" s="199">
        <f>56.4</f>
        <v>56.4</v>
      </c>
      <c r="AI5" s="199">
        <f t="shared" ref="AI5:AI11" si="0">0.0000000244*P5*C5</f>
        <v>62.391593548999325</v>
      </c>
      <c r="AJ5" s="200">
        <f t="shared" ref="AJ5:AJ10" si="1">0.0000000244*P5*B5</f>
        <v>7.0704612E-2</v>
      </c>
      <c r="AK5" s="199">
        <v>0.62171538406412596</v>
      </c>
      <c r="AL5" s="199"/>
      <c r="AM5" s="199">
        <f>AO5/AP5*AQ5</f>
        <v>0.37979746319812113</v>
      </c>
      <c r="AN5" s="199">
        <v>0.78670723632944894</v>
      </c>
      <c r="AO5" s="199">
        <v>0.467412663978306</v>
      </c>
      <c r="AP5" s="199">
        <v>2.927136541E-10</v>
      </c>
      <c r="AQ5" s="199">
        <v>2.3784529568456903E-10</v>
      </c>
      <c r="AR5" s="201">
        <f>AK5/(1/3*BL5*AP5)</f>
        <v>1820546.7806579978</v>
      </c>
      <c r="AS5" s="201">
        <v>0.48162168927176202</v>
      </c>
      <c r="AT5" s="201">
        <f t="shared" ref="AT5:AT10" si="2">AS5/BJ5*BL5</f>
        <v>0.82534176315739483</v>
      </c>
      <c r="AU5" s="201">
        <f t="shared" ref="AU5:AU10" si="3">AS5/BJ5*BK5</f>
        <v>0.65348172621457845</v>
      </c>
      <c r="AV5" s="201">
        <f>AS5/(BJ5*BB5)*BK5*BC5</f>
        <v>0.76015224669760251</v>
      </c>
      <c r="AW5" s="201">
        <f t="shared" ref="AW5:AW10" si="4">AS5/BB5*BC5</f>
        <v>0.56023878629164503</v>
      </c>
      <c r="AX5" s="201">
        <f>AS5/(BB5*BJ5)*BC5*BL5</f>
        <v>0.9600657071035601</v>
      </c>
      <c r="AY5" s="202">
        <v>1596825626.1070199</v>
      </c>
      <c r="AZ5" s="202">
        <f>AY5/BJ5*BL5</f>
        <v>2736435893.6966796</v>
      </c>
      <c r="BA5" s="202">
        <f>AY5/BJ5*BK5</f>
        <v>2166630759.9018497</v>
      </c>
      <c r="BB5" s="202">
        <v>3.0056447474785299E-10</v>
      </c>
      <c r="BC5" s="202">
        <v>3.4962685503166299E-10</v>
      </c>
      <c r="BD5" s="202">
        <v>6.4249999999999998E-11</v>
      </c>
      <c r="BE5" s="203">
        <f>$AK$5/AY5</f>
        <v>3.8934456831071569E-10</v>
      </c>
      <c r="BF5" s="203">
        <f>$AK$5/AZ5</f>
        <v>2.2719895813975902E-10</v>
      </c>
      <c r="BG5" s="203">
        <f>$AK$5/BA5</f>
        <v>2.8695031731770035E-10</v>
      </c>
      <c r="BH5" s="204">
        <v>2.30802105895922E-4</v>
      </c>
      <c r="BI5" s="204">
        <f>BH5/BB5*BC5</f>
        <v>2.6847688665392576E-4</v>
      </c>
      <c r="BJ5" s="205">
        <f>Y5+Z5*P5</f>
        <v>2042.3974499999999</v>
      </c>
      <c r="BK5" s="205">
        <f>AVERAGE(BJ5,BL5)</f>
        <v>2771.1987250000002</v>
      </c>
      <c r="BL5" s="229">
        <v>3500</v>
      </c>
      <c r="BM5" s="205"/>
      <c r="BN5" s="206">
        <f>$AK5/BH5</f>
        <v>2693.7162538043849</v>
      </c>
      <c r="BO5" s="206">
        <f>$AK5/BI5</f>
        <v>2315.7128787236516</v>
      </c>
      <c r="BP5" s="207">
        <v>65.02</v>
      </c>
      <c r="BQ5" s="208">
        <f t="shared" ref="BQ5:BQ10" si="5">BP5/Q5</f>
        <v>2299027.692598009</v>
      </c>
      <c r="BR5" s="209">
        <v>2.0876175485837878E-7</v>
      </c>
      <c r="BS5" s="208">
        <f t="shared" ref="BS5:BS10" si="6">1/3*BL5*BB5</f>
        <v>3.5065855387249511E-7</v>
      </c>
      <c r="BT5" s="208">
        <f>1/3*BK5*BB5</f>
        <v>2.7764129640051501E-7</v>
      </c>
      <c r="BU5" s="208">
        <f>1/3*BK5*BC5</f>
        <v>3.229618316298348E-7</v>
      </c>
      <c r="BV5" s="208">
        <f>1/3*BJ5*BC5</f>
        <v>2.3802566572272937E-7</v>
      </c>
      <c r="BW5" s="208">
        <f>1/3*BL5*BC5</f>
        <v>4.0789799753694009E-7</v>
      </c>
      <c r="BX5" s="210">
        <f t="shared" ref="BX5:CC5" si="7">$AK5/(BR5)</f>
        <v>2978109.5894977963</v>
      </c>
      <c r="BY5" s="211">
        <f t="shared" si="7"/>
        <v>1772993.6349711616</v>
      </c>
      <c r="BZ5" s="211">
        <f t="shared" si="7"/>
        <v>2239275.6125416677</v>
      </c>
      <c r="CA5" s="211">
        <f t="shared" si="7"/>
        <v>1925042.9096423688</v>
      </c>
      <c r="CB5" s="210">
        <f t="shared" si="7"/>
        <v>2611967.840427544</v>
      </c>
      <c r="CC5" s="210">
        <f t="shared" si="7"/>
        <v>1524193.2733632068</v>
      </c>
      <c r="CD5" s="22">
        <f>1/CE5</f>
        <v>1961303757.1305401</v>
      </c>
      <c r="CE5" s="22">
        <v>5.0986492855295244E-10</v>
      </c>
      <c r="CF5" s="11">
        <v>6.94</v>
      </c>
      <c r="CG5" s="32">
        <v>35.450000000000003</v>
      </c>
      <c r="CH5" s="25">
        <f t="shared" ref="CH5:CH10" si="8">SUM(CF5:CG5)</f>
        <v>42.39</v>
      </c>
      <c r="CJ5" s="11">
        <f>CF5/CH5</f>
        <v>0.16371785798537392</v>
      </c>
      <c r="CK5" s="11">
        <f t="shared" ref="CK5:CK23" si="9">(6.02214E+23)/Q5</f>
        <v>2.129355064395905E+28</v>
      </c>
      <c r="CL5" s="11">
        <f t="shared" ref="CL5:CL23" si="10">SQRT(($CK$2*1.380649E-23*P5)/(CK5*($CK$1)^2))</f>
        <v>1.4013724262922254E-11</v>
      </c>
      <c r="CM5" s="172">
        <v>2.3784529568456903E-10</v>
      </c>
      <c r="CN5" s="172">
        <v>3.4962685503166304E-10</v>
      </c>
      <c r="CO5" s="172">
        <v>3.60054333539078E-10</v>
      </c>
      <c r="CP5" s="22">
        <f t="shared" ref="CP5:CP15" si="11">($AF5*$AG5*$CK$1^2)/(4*PI()*$CK$2*CM5)*EXP(-CM5/$CL5)</f>
        <v>-4.128443168837259E-26</v>
      </c>
      <c r="CQ5" s="22">
        <f t="shared" ref="CQ5:CQ15" si="12">($AF5*$AF5*$CK$1^2)/(4*PI()*$CK$2*CN5)*EXP(-CN5/$CL5)</f>
        <v>9.6447827044716653E-30</v>
      </c>
      <c r="CR5" s="22">
        <f t="shared" ref="CR5:CR15" si="13">($AG5*$AG5*$CK$1^2)/(4*PI()*$CK$2*CO5)*EXP(-CO5/$CL5)</f>
        <v>4.4501516280506884E-30</v>
      </c>
      <c r="CS5" s="25">
        <f>CQ5/CR5</f>
        <v>2.167293052146269</v>
      </c>
      <c r="CT5" s="22">
        <f>CQ5/CP5</f>
        <v>-2.3361791140237583E-4</v>
      </c>
      <c r="CU5" s="22">
        <f>CR5/CP5</f>
        <v>-1.0779248850127773E-4</v>
      </c>
      <c r="CV5" s="172">
        <f t="shared" ref="CV5:CV15" si="14">($AF5*$AG5*$CK$1^2)/(4*PI()*$CK$2*CM5^2)</f>
        <v>-4.0782424698179419E-9</v>
      </c>
      <c r="CW5" s="172">
        <f t="shared" ref="CW5:CW15" si="15">($AF5*$AF5*$CK$1^2)/(4*PI()*$CK$2*CN5^2)</f>
        <v>1.8873507047910052E-9</v>
      </c>
      <c r="CX5" s="172">
        <f t="shared" ref="CX5:CX15" si="16">($AG5*$AG5*$CK$1^2)/(4*PI()*$CK$2*CO5^2)</f>
        <v>1.7796151332691201E-9</v>
      </c>
      <c r="CY5" s="25">
        <f>CW5/CX5</f>
        <v>1.0605386914888597</v>
      </c>
      <c r="CZ5" s="25">
        <f>CW5/CV5</f>
        <v>-0.46278530978940519</v>
      </c>
      <c r="DA5" s="25">
        <f>CX5/CV5</f>
        <v>-0.43636815281082697</v>
      </c>
    </row>
    <row r="6" spans="1:105" ht="20.25" customHeight="1" x14ac:dyDescent="0.25">
      <c r="A6" s="2" t="s">
        <v>22</v>
      </c>
      <c r="B6" s="30">
        <v>2000</v>
      </c>
      <c r="C6" s="173">
        <f>$G$35*P5+$G$37</f>
        <v>4588166.1378088826</v>
      </c>
      <c r="D6" s="173" t="s">
        <v>137</v>
      </c>
      <c r="E6" s="2">
        <v>1</v>
      </c>
      <c r="F6" s="2">
        <v>28</v>
      </c>
      <c r="G6" s="2">
        <v>28</v>
      </c>
      <c r="H6" s="22">
        <f>F6*1.6726219E-27</f>
        <v>4.6833413199999998E-26</v>
      </c>
      <c r="I6" s="22">
        <f>G6*9.1093856E-31</f>
        <v>2.5506279679999997E-29</v>
      </c>
      <c r="J6" s="24">
        <f>((H6*F6)/(I6*G6))</f>
        <v>1836.1522647586683</v>
      </c>
      <c r="K6" s="24">
        <f>F6/G6</f>
        <v>1</v>
      </c>
      <c r="L6" s="26">
        <f>(H6)-(I6)</f>
        <v>4.680790692032E-26</v>
      </c>
      <c r="M6" s="3">
        <v>58.44</v>
      </c>
      <c r="N6" s="11">
        <f>0.0893*EXP(22000/(8.3144598*P6))/1000</f>
        <v>1.0321390978018604E-3</v>
      </c>
      <c r="O6" s="27">
        <f>P6^-1</f>
        <v>9.2494103500901812E-4</v>
      </c>
      <c r="P6" s="3">
        <v>1081.1500000000001</v>
      </c>
      <c r="Q6" s="5">
        <v>3.765E-5</v>
      </c>
      <c r="R6" s="5">
        <v>3.5E-4</v>
      </c>
      <c r="T6" s="6">
        <v>1.02E-10</v>
      </c>
      <c r="U6" s="6">
        <v>1.81E-10</v>
      </c>
      <c r="V6" s="6">
        <f>U6+T6</f>
        <v>2.8300000000000001E-10</v>
      </c>
      <c r="W6" s="6">
        <f>U6-T6</f>
        <v>7.8999999999999999E-11</v>
      </c>
      <c r="X6" s="6">
        <v>1560000</v>
      </c>
      <c r="Y6" s="4">
        <v>2732.9322499999998</v>
      </c>
      <c r="Z6" s="4">
        <v>-0.91500000000000004</v>
      </c>
      <c r="AA6" s="4">
        <v>2.1393</v>
      </c>
      <c r="AB6" s="4">
        <v>-5.4299999999999997E-4</v>
      </c>
      <c r="AC6" s="4">
        <v>1</v>
      </c>
      <c r="AD6" s="4">
        <v>1</v>
      </c>
      <c r="AE6" s="11">
        <f>AC6+AD6</f>
        <v>2</v>
      </c>
      <c r="AF6" s="11">
        <v>1</v>
      </c>
      <c r="AG6" s="11">
        <v>-1</v>
      </c>
      <c r="AH6" s="178">
        <v>55.3</v>
      </c>
      <c r="AI6" s="178">
        <f t="shared" si="0"/>
        <v>121.0360980053666</v>
      </c>
      <c r="AJ6" s="193">
        <f t="shared" si="1"/>
        <v>5.2760120000000008E-2</v>
      </c>
      <c r="AK6" s="178">
        <v>0.47705461868503202</v>
      </c>
      <c r="AL6" s="178"/>
      <c r="AM6" s="199">
        <f t="shared" ref="AM6:AM22" si="17">AO6/AP6*AQ6</f>
        <v>0.29184445780135787</v>
      </c>
      <c r="AN6" s="178">
        <v>0.53084165353214496</v>
      </c>
      <c r="AO6" s="178">
        <v>0.346144472817148</v>
      </c>
      <c r="AP6" s="178">
        <v>3.1580623349999998E-10</v>
      </c>
      <c r="AQ6" s="178">
        <v>2.66265407146292E-10</v>
      </c>
      <c r="AR6" s="201">
        <f t="shared" ref="AR6:AR16" si="18">AK6/(1/3*BL6*AP6)</f>
        <v>1666094.9866057571</v>
      </c>
      <c r="AS6" s="181">
        <v>0.36608849367903401</v>
      </c>
      <c r="AT6" s="181">
        <f t="shared" si="2"/>
        <v>0.57106848894692408</v>
      </c>
      <c r="AU6" s="201">
        <f t="shared" si="3"/>
        <v>0.46857849131297907</v>
      </c>
      <c r="AV6" s="201">
        <f t="shared" ref="AV6:AV14" si="19">AS6/(BJ6*BB6)*BK6*BC6</f>
        <v>0.55353738599907809</v>
      </c>
      <c r="AW6" s="201">
        <f t="shared" si="4"/>
        <v>0.43246472382378331</v>
      </c>
      <c r="AX6" s="201">
        <f t="shared" ref="AX6:AX14" si="20">AS6/(BB6*BJ6)*BC6*BL6</f>
        <v>0.67461004817437287</v>
      </c>
      <c r="AY6" s="182">
        <v>1096065992.68455</v>
      </c>
      <c r="AZ6" s="202">
        <f t="shared" ref="AZ6:AZ14" si="21">AY6/BJ6*BL6</f>
        <v>1709774442.616751</v>
      </c>
      <c r="BA6" s="202">
        <f t="shared" ref="BA6:BA14" si="22">AY6/BJ6*BK6</f>
        <v>1402920217.6506505</v>
      </c>
      <c r="BB6" s="182">
        <v>3.3400223720324102E-10</v>
      </c>
      <c r="BC6" s="182">
        <v>3.94560844611702E-10</v>
      </c>
      <c r="BD6" s="182">
        <v>7.0750000000000001E-11</v>
      </c>
      <c r="BE6" s="189">
        <f>AK6/AY6</f>
        <v>4.3524260570898789E-10</v>
      </c>
      <c r="BF6" s="203">
        <f t="shared" ref="BF6:BF14" si="23">$AK$5/AZ6</f>
        <v>3.6362421180691646E-10</v>
      </c>
      <c r="BG6" s="203">
        <f t="shared" ref="BG6:BG14" si="24">$AK$5/BA6</f>
        <v>4.4315804722328336E-10</v>
      </c>
      <c r="BH6" s="184">
        <v>2.0640716413749399E-4</v>
      </c>
      <c r="BI6" s="204">
        <f t="shared" ref="BI6:BI14" si="25">BH6/BB6*BC6</f>
        <v>2.4383125603568732E-4</v>
      </c>
      <c r="BJ6" s="183">
        <f>Y6+Z6*P6</f>
        <v>1743.6799999999998</v>
      </c>
      <c r="BK6" s="205">
        <f t="shared" ref="BK6:BK14" si="26">AVERAGE(BJ6,BL6)</f>
        <v>2231.84</v>
      </c>
      <c r="BL6" s="230">
        <v>2720</v>
      </c>
      <c r="BM6" s="183" t="s">
        <v>122</v>
      </c>
      <c r="BN6" s="191">
        <f>$AK6/BH6</f>
        <v>2311.230914287702</v>
      </c>
      <c r="BO6" s="206">
        <f t="shared" ref="BO6:BO14" si="27">$AK6/BI6</f>
        <v>1956.4949401532424</v>
      </c>
      <c r="BP6" s="185">
        <v>69.62</v>
      </c>
      <c r="BQ6" s="186">
        <f t="shared" si="5"/>
        <v>1849136.7861885792</v>
      </c>
      <c r="BR6" s="186">
        <v>1.9797804922458501E-7</v>
      </c>
      <c r="BS6" s="186">
        <f t="shared" si="6"/>
        <v>3.0282869506427185E-7</v>
      </c>
      <c r="BT6" s="208">
        <f t="shared" ref="BT6:BT14" si="28">1/3*BK6*BB6</f>
        <v>2.4847985102656052E-7</v>
      </c>
      <c r="BU6" s="208">
        <f t="shared" ref="BU6:BU14" si="29">1/3*BK6*BC6</f>
        <v>2.9353222514606033E-7</v>
      </c>
      <c r="BV6" s="208">
        <f t="shared" ref="BV6:BV15" si="30">1/3*BJ6*BC6</f>
        <v>2.2932928451084414E-7</v>
      </c>
      <c r="BW6" s="208">
        <f t="shared" ref="BW6:BW14" si="31">1/3*BL6*BC6</f>
        <v>3.5773516578127647E-7</v>
      </c>
      <c r="BX6" s="210">
        <f>$AK6/(BR6)</f>
        <v>2409633.8990787021</v>
      </c>
      <c r="BY6" s="210">
        <f t="shared" ref="BY6:BZ10" si="32">$AK6/(BS6)</f>
        <v>1575328.317495747</v>
      </c>
      <c r="BZ6" s="211">
        <f t="shared" si="32"/>
        <v>1919892.5655909167</v>
      </c>
      <c r="CA6" s="211">
        <f t="shared" ref="CA6:CA14" si="33">$AK6/(BU6)</f>
        <v>1625220.5986843582</v>
      </c>
      <c r="CB6" s="210">
        <f t="shared" ref="CB6:CC10" si="34">$AK6/(BV6)</f>
        <v>2080216.7490409357</v>
      </c>
      <c r="CC6" s="210">
        <f t="shared" si="34"/>
        <v>1333541.3018263597</v>
      </c>
      <c r="CD6" s="22">
        <f t="shared" ref="CD6:CD23" si="35">1/CE6</f>
        <v>2635440131.8514771</v>
      </c>
      <c r="CE6" s="8">
        <f>N6/(X6/1000*(Y6+Z6*P6))</f>
        <v>3.7944326183477726E-10</v>
      </c>
      <c r="CF6" s="11">
        <v>22.99</v>
      </c>
      <c r="CG6" s="32">
        <v>35.450000000000003</v>
      </c>
      <c r="CH6" s="25">
        <f t="shared" si="8"/>
        <v>58.44</v>
      </c>
      <c r="CI6" s="4"/>
      <c r="CJ6" s="11">
        <f>CF6/CH6</f>
        <v>0.39339493497604378</v>
      </c>
      <c r="CK6" s="11">
        <f t="shared" si="9"/>
        <v>1.5995059760956174E+28</v>
      </c>
      <c r="CL6" s="11">
        <f t="shared" si="10"/>
        <v>1.7941372563134259E-11</v>
      </c>
      <c r="CM6" s="227">
        <v>2.66265407146292E-10</v>
      </c>
      <c r="CN6" s="227">
        <v>3.9456084468176301E-10</v>
      </c>
      <c r="CO6" s="227">
        <v>3.9212537593987905E-10</v>
      </c>
      <c r="CP6" s="22">
        <f t="shared" si="11"/>
        <v>-3.1077323728082518E-25</v>
      </c>
      <c r="CQ6" s="22">
        <f t="shared" si="12"/>
        <v>1.6446929945472806E-28</v>
      </c>
      <c r="CR6" s="22">
        <f t="shared" si="13"/>
        <v>1.895516626133582E-28</v>
      </c>
      <c r="CS6" s="25">
        <f t="shared" ref="CS6:CS15" si="36">CQ6/CR6</f>
        <v>0.86767531968425726</v>
      </c>
      <c r="CT6" s="22">
        <f t="shared" ref="CT6:CT15" si="37">CQ6/CP6</f>
        <v>-5.2922607137534188E-4</v>
      </c>
      <c r="CU6" s="22">
        <f t="shared" ref="CU6:CU15" si="38">CR6/CP6</f>
        <v>-6.0993560536898143E-4</v>
      </c>
      <c r="CV6" s="172">
        <f t="shared" si="14"/>
        <v>-3.2541133806154346E-9</v>
      </c>
      <c r="CW6" s="172">
        <f t="shared" si="15"/>
        <v>1.4819522334191937E-9</v>
      </c>
      <c r="CX6" s="172">
        <f t="shared" si="16"/>
        <v>1.5004180455457541E-9</v>
      </c>
      <c r="CY6" s="25">
        <f t="shared" ref="CY6:CY15" si="39">CW6/CX6</f>
        <v>0.98769288853771164</v>
      </c>
      <c r="CZ6" s="25">
        <f t="shared" ref="CZ6:CZ15" si="40">CW6/CV6</f>
        <v>-0.45540891176290832</v>
      </c>
      <c r="DA6" s="25">
        <f t="shared" ref="DA6:DA15" si="41">CX6/CV6</f>
        <v>-0.46108351801251229</v>
      </c>
    </row>
    <row r="7" spans="1:105" s="11" customFormat="1" ht="20.25" customHeight="1" x14ac:dyDescent="0.25">
      <c r="A7" s="2" t="s">
        <v>23</v>
      </c>
      <c r="B7" s="30">
        <v>1300</v>
      </c>
      <c r="C7" s="173">
        <f>$K$35*P7+$K$37</f>
        <v>2436836.8373309374</v>
      </c>
      <c r="D7" s="173" t="s">
        <v>138</v>
      </c>
      <c r="E7" s="2">
        <v>1</v>
      </c>
      <c r="F7" s="2">
        <v>36</v>
      </c>
      <c r="G7" s="2">
        <v>36</v>
      </c>
      <c r="H7" s="22">
        <v>6.0214388399999996E-26</v>
      </c>
      <c r="I7" s="22">
        <v>3.2793788159999999E-29</v>
      </c>
      <c r="J7" s="24">
        <v>1836.1522647586683</v>
      </c>
      <c r="K7" s="24">
        <v>1</v>
      </c>
      <c r="L7" s="26">
        <v>6.0181594611840001E-26</v>
      </c>
      <c r="M7" s="3">
        <v>74.551299999999998</v>
      </c>
      <c r="N7" s="11">
        <v>1.1078669041234444E-3</v>
      </c>
      <c r="O7" s="27">
        <v>9.5680045926422035E-4</v>
      </c>
      <c r="P7" s="3">
        <v>1045.1500000000001</v>
      </c>
      <c r="Q7" s="5">
        <v>4.884E-5</v>
      </c>
      <c r="R7" s="5">
        <v>3.8200000000000002E-4</v>
      </c>
      <c r="S7" s="32"/>
      <c r="T7" s="6">
        <v>1.3799999999999999E-10</v>
      </c>
      <c r="U7" s="6">
        <v>1.81E-10</v>
      </c>
      <c r="V7" s="6">
        <v>3.1899999999999998E-10</v>
      </c>
      <c r="W7" s="6">
        <f t="shared" ref="W7:W17" si="42">U7-T7</f>
        <v>4.3000000000000007E-11</v>
      </c>
      <c r="X7" s="6">
        <v>1530000</v>
      </c>
      <c r="Y7" s="11">
        <v>2514.8256999999999</v>
      </c>
      <c r="Z7" s="11">
        <v>-0.878</v>
      </c>
      <c r="AA7" s="11">
        <v>2.1358999999999999</v>
      </c>
      <c r="AB7" s="11">
        <v>-5.8310000000000002E-4</v>
      </c>
      <c r="AC7" s="11">
        <v>1</v>
      </c>
      <c r="AD7" s="11">
        <v>1</v>
      </c>
      <c r="AE7" s="11">
        <v>2</v>
      </c>
      <c r="AF7" s="11">
        <v>1</v>
      </c>
      <c r="AG7" s="11">
        <v>-1</v>
      </c>
      <c r="AH7" s="178">
        <v>29.4</v>
      </c>
      <c r="AI7" s="178">
        <f t="shared" si="0"/>
        <v>62.143384501088875</v>
      </c>
      <c r="AJ7" s="193">
        <f t="shared" si="1"/>
        <v>3.3152158000000001E-2</v>
      </c>
      <c r="AK7" s="178">
        <v>0.36559719352224501</v>
      </c>
      <c r="AL7" s="178"/>
      <c r="AM7" s="199">
        <f t="shared" si="17"/>
        <v>0.24533629939701559</v>
      </c>
      <c r="AN7" s="178">
        <v>0.41602860665791702</v>
      </c>
      <c r="AO7" s="178">
        <v>0.28781059971565698</v>
      </c>
      <c r="AP7" s="178">
        <v>3.5060205590000002E-10</v>
      </c>
      <c r="AQ7" s="178">
        <v>2.9886116439238405E-10</v>
      </c>
      <c r="AR7" s="201">
        <f t="shared" si="18"/>
        <v>1325554.6775457347</v>
      </c>
      <c r="AS7" s="181">
        <v>0.296937775746827</v>
      </c>
      <c r="AT7" s="181">
        <f t="shared" si="2"/>
        <v>0.43875542878122487</v>
      </c>
      <c r="AU7" s="201">
        <f t="shared" si="3"/>
        <v>0.36784660226402593</v>
      </c>
      <c r="AV7" s="201">
        <f t="shared" si="19"/>
        <v>0.45527649679112014</v>
      </c>
      <c r="AW7" s="201">
        <f t="shared" si="4"/>
        <v>0.36751403839236602</v>
      </c>
      <c r="AX7" s="201">
        <f t="shared" si="20"/>
        <v>0.54303895518987422</v>
      </c>
      <c r="AY7" s="182">
        <v>820903913.34655297</v>
      </c>
      <c r="AZ7" s="202">
        <f t="shared" si="21"/>
        <v>1212968096.0351877</v>
      </c>
      <c r="BA7" s="202">
        <f t="shared" si="22"/>
        <v>1016936004.6908704</v>
      </c>
      <c r="BB7" s="182">
        <v>3.6182029353950698E-10</v>
      </c>
      <c r="BC7" s="182">
        <v>4.4781785313967899E-10</v>
      </c>
      <c r="BD7" s="182">
        <v>7.9749999999999996E-11</v>
      </c>
      <c r="BE7" s="189">
        <f>AK7/AY7</f>
        <v>4.4535930159210294E-10</v>
      </c>
      <c r="BF7" s="203">
        <f t="shared" si="23"/>
        <v>5.1255707886820646E-10</v>
      </c>
      <c r="BG7" s="203">
        <f t="shared" si="24"/>
        <v>6.1136136511669267E-10</v>
      </c>
      <c r="BH7" s="184">
        <v>1.8192385680367899E-4</v>
      </c>
      <c r="BI7" s="204">
        <f t="shared" si="25"/>
        <v>2.2516357551906739E-4</v>
      </c>
      <c r="BJ7" s="183">
        <f>Y7+Z7*P7</f>
        <v>1597.1839999999997</v>
      </c>
      <c r="BK7" s="205">
        <f t="shared" si="26"/>
        <v>1978.5919999999999</v>
      </c>
      <c r="BL7" s="230">
        <v>2360</v>
      </c>
      <c r="BM7" s="183" t="s">
        <v>121</v>
      </c>
      <c r="BN7" s="191">
        <f>$AK7/BH7</f>
        <v>2009.61655027342</v>
      </c>
      <c r="BO7" s="206">
        <f t="shared" si="27"/>
        <v>1623.6959849275681</v>
      </c>
      <c r="BP7" s="185">
        <v>73.599999999999994</v>
      </c>
      <c r="BQ7" s="186">
        <f t="shared" si="5"/>
        <v>1506961.5069615068</v>
      </c>
      <c r="BR7" s="180">
        <v>1.9709839536224268E-7</v>
      </c>
      <c r="BS7" s="186">
        <f t="shared" si="6"/>
        <v>2.8463196425107878E-7</v>
      </c>
      <c r="BT7" s="208">
        <f t="shared" si="28"/>
        <v>2.3863157941164004E-7</v>
      </c>
      <c r="BU7" s="208">
        <f t="shared" si="29"/>
        <v>2.9534960722644786E-7</v>
      </c>
      <c r="BV7" s="208">
        <f t="shared" si="30"/>
        <v>2.3841583664968165E-7</v>
      </c>
      <c r="BW7" s="208">
        <f t="shared" si="31"/>
        <v>3.5228337780321413E-7</v>
      </c>
      <c r="BX7" s="210">
        <f>$AK7/(BR7)</f>
        <v>1854896.8541845416</v>
      </c>
      <c r="BY7" s="210">
        <f t="shared" si="32"/>
        <v>1284455.8568262046</v>
      </c>
      <c r="BZ7" s="211">
        <f t="shared" si="32"/>
        <v>1532057.0497150715</v>
      </c>
      <c r="CA7" s="211">
        <f t="shared" si="33"/>
        <v>1237845.5382266261</v>
      </c>
      <c r="CB7" s="210">
        <f t="shared" si="34"/>
        <v>1533443.4098832048</v>
      </c>
      <c r="CC7" s="210">
        <f t="shared" si="34"/>
        <v>1037792.9149029222</v>
      </c>
      <c r="CD7" s="22">
        <f t="shared" si="35"/>
        <v>2205762723.7573934</v>
      </c>
      <c r="CE7" s="22">
        <v>4.5335791979318428E-10</v>
      </c>
      <c r="CF7" s="4">
        <v>39.1</v>
      </c>
      <c r="CG7" s="32">
        <v>35.450000000000003</v>
      </c>
      <c r="CH7" s="25">
        <f t="shared" si="8"/>
        <v>74.550000000000011</v>
      </c>
      <c r="CJ7" s="11">
        <f t="shared" ref="CJ7:CJ15" si="43">CF7/CH7</f>
        <v>0.52448021462105965</v>
      </c>
      <c r="CK7" s="11">
        <f t="shared" si="9"/>
        <v>1.2330343980343979E+28</v>
      </c>
      <c r="CL7" s="11">
        <f t="shared" si="10"/>
        <v>2.0091267600162987E-11</v>
      </c>
      <c r="CM7" s="172">
        <v>2.9886116439238405E-10</v>
      </c>
      <c r="CN7" s="172">
        <v>4.4781785313967904E-10</v>
      </c>
      <c r="CO7" s="172">
        <v>4.5057108186773498E-10</v>
      </c>
      <c r="CP7" s="22">
        <f t="shared" si="11"/>
        <v>-2.6753791875773571E-25</v>
      </c>
      <c r="CQ7" s="22">
        <f t="shared" si="12"/>
        <v>1.0762011978874663E-28</v>
      </c>
      <c r="CR7" s="22">
        <f t="shared" si="13"/>
        <v>9.326475265360987E-29</v>
      </c>
      <c r="CS7" s="25">
        <f t="shared" si="36"/>
        <v>1.1539206048018307</v>
      </c>
      <c r="CT7" s="22">
        <f t="shared" si="37"/>
        <v>-4.0226118334351008E-4</v>
      </c>
      <c r="CU7" s="22">
        <f t="shared" si="38"/>
        <v>-3.4860386552555992E-4</v>
      </c>
      <c r="CV7" s="172">
        <f t="shared" si="14"/>
        <v>-2.5829928653206969E-9</v>
      </c>
      <c r="CW7" s="172">
        <f t="shared" si="15"/>
        <v>1.1504277996851191E-9</v>
      </c>
      <c r="CX7" s="172">
        <f t="shared" si="16"/>
        <v>1.1364113047341505E-9</v>
      </c>
      <c r="CY7" s="25">
        <f t="shared" si="39"/>
        <v>1.0123339981682491</v>
      </c>
      <c r="CZ7" s="25">
        <f t="shared" si="40"/>
        <v>-0.44538558937997114</v>
      </c>
      <c r="DA7" s="25">
        <f t="shared" si="41"/>
        <v>-0.43995913422434363</v>
      </c>
    </row>
    <row r="8" spans="1:105" s="11" customFormat="1" ht="20.25" customHeight="1" x14ac:dyDescent="0.25">
      <c r="A8" s="2" t="s">
        <v>16</v>
      </c>
      <c r="B8" s="30">
        <v>150</v>
      </c>
      <c r="C8" s="173">
        <f>$B$35*P8+$B$37</f>
        <v>2554019.5537003749</v>
      </c>
      <c r="D8" s="173" t="s">
        <v>139</v>
      </c>
      <c r="E8" s="2">
        <v>1</v>
      </c>
      <c r="F8" s="2">
        <v>12</v>
      </c>
      <c r="G8" s="2">
        <v>12</v>
      </c>
      <c r="H8" s="22">
        <v>2.0071462799999999E-26</v>
      </c>
      <c r="I8" s="22">
        <v>1.0931262719999999E-29</v>
      </c>
      <c r="J8" s="24">
        <v>1836.1522647586683</v>
      </c>
      <c r="K8" s="24">
        <v>1</v>
      </c>
      <c r="L8" s="26">
        <v>2.0060531537279999E-26</v>
      </c>
      <c r="M8" s="3">
        <v>25.939</v>
      </c>
      <c r="N8" s="11">
        <v>2.0988673196732184E-3</v>
      </c>
      <c r="O8" s="27">
        <v>8.9433439162902998E-4</v>
      </c>
      <c r="P8" s="3">
        <v>1118.1500000000001</v>
      </c>
      <c r="Q8" s="5">
        <v>1.42E-5</v>
      </c>
      <c r="R8" s="5">
        <v>2.6800000000000001E-4</v>
      </c>
      <c r="S8" s="32"/>
      <c r="T8" s="6">
        <v>7.5999999999999996E-11</v>
      </c>
      <c r="U8" s="6">
        <v>1.3300000000000001E-10</v>
      </c>
      <c r="V8" s="6">
        <v>2.09E-10</v>
      </c>
      <c r="W8" s="6">
        <f t="shared" si="42"/>
        <v>5.700000000000001E-11</v>
      </c>
      <c r="X8" s="6">
        <v>1810000</v>
      </c>
      <c r="Y8" s="11">
        <v>2547.8000000000002</v>
      </c>
      <c r="Z8" s="11">
        <v>0</v>
      </c>
      <c r="AA8" s="11">
        <v>2.3580999999999999</v>
      </c>
      <c r="AB8" s="11">
        <v>-4.9019999999999999E-4</v>
      </c>
      <c r="AC8" s="11">
        <v>1</v>
      </c>
      <c r="AD8" s="11">
        <v>1</v>
      </c>
      <c r="AE8" s="11">
        <v>2</v>
      </c>
      <c r="AF8" s="11">
        <v>1</v>
      </c>
      <c r="AG8" s="11">
        <v>-1</v>
      </c>
      <c r="AH8" s="178">
        <v>62.5</v>
      </c>
      <c r="AI8" s="178">
        <f t="shared" si="0"/>
        <v>69.680957920869815</v>
      </c>
      <c r="AJ8" s="193">
        <f t="shared" si="1"/>
        <v>4.0924290000000007E-3</v>
      </c>
      <c r="AK8" s="178">
        <v>1.2682350574951</v>
      </c>
      <c r="AL8" s="178"/>
      <c r="AM8" s="199">
        <f t="shared" si="17"/>
        <v>0.72198244099516784</v>
      </c>
      <c r="AN8" s="178">
        <v>1.22987712739888</v>
      </c>
      <c r="AO8" s="178">
        <v>0.90368250947301099</v>
      </c>
      <c r="AP8" s="178">
        <v>2.3551445219999998E-10</v>
      </c>
      <c r="AQ8" s="178">
        <v>1.8816044053807599E-10</v>
      </c>
      <c r="AR8" s="201">
        <f>AK8/0.0000002747668609</f>
        <v>4615676.9172999645</v>
      </c>
      <c r="AS8" s="181">
        <v>0.90535258306336996</v>
      </c>
      <c r="AT8" s="181">
        <f t="shared" si="2"/>
        <v>1.2437138082745092</v>
      </c>
      <c r="AU8" s="201">
        <f t="shared" si="3"/>
        <v>1.0745331956689395</v>
      </c>
      <c r="AV8" s="201">
        <f t="shared" si="19"/>
        <v>1.2835318766111998</v>
      </c>
      <c r="AW8" s="201">
        <f t="shared" si="4"/>
        <v>1.0814453239955075</v>
      </c>
      <c r="AX8" s="201">
        <f t="shared" si="20"/>
        <v>1.4856184292268921</v>
      </c>
      <c r="AY8" s="182">
        <v>3837057560.7207298</v>
      </c>
      <c r="AZ8" s="202">
        <f t="shared" si="21"/>
        <v>5271097206.4222279</v>
      </c>
      <c r="BA8" s="202">
        <f t="shared" si="22"/>
        <v>4554077383.5714788</v>
      </c>
      <c r="BB8" s="182">
        <v>2.3591537099888599E-10</v>
      </c>
      <c r="BC8" s="182">
        <v>2.8180134413727398E-10</v>
      </c>
      <c r="BD8" s="182">
        <v>5.2250000000000001E-11</v>
      </c>
      <c r="BE8" s="190">
        <f>AK8/AY8</f>
        <v>3.3052281270883056E-10</v>
      </c>
      <c r="BF8" s="203">
        <f t="shared" si="23"/>
        <v>1.1794800204151748E-10</v>
      </c>
      <c r="BG8" s="203">
        <f t="shared" si="24"/>
        <v>1.3651840574930095E-10</v>
      </c>
      <c r="BH8" s="184">
        <v>3.5199164586657898E-4</v>
      </c>
      <c r="BI8" s="204">
        <f t="shared" si="25"/>
        <v>4.204546677493163E-4</v>
      </c>
      <c r="BJ8" s="183">
        <f>Y8+Z8*P8</f>
        <v>2547.8000000000002</v>
      </c>
      <c r="BK8" s="205">
        <f t="shared" si="26"/>
        <v>3023.9</v>
      </c>
      <c r="BL8" s="230">
        <v>3500</v>
      </c>
      <c r="BM8" s="183"/>
      <c r="BN8" s="191">
        <f>$AK8/BH8</f>
        <v>3603.0260160657886</v>
      </c>
      <c r="BO8" s="206">
        <f t="shared" si="27"/>
        <v>3016.3419621048133</v>
      </c>
      <c r="BP8" s="185">
        <v>64.2</v>
      </c>
      <c r="BQ8" s="186">
        <f t="shared" si="5"/>
        <v>4521126.760563381</v>
      </c>
      <c r="BR8" s="180">
        <v>2.002201897716116E-7</v>
      </c>
      <c r="BS8" s="186">
        <f t="shared" si="6"/>
        <v>2.752345994987003E-7</v>
      </c>
      <c r="BT8" s="208">
        <f t="shared" si="28"/>
        <v>2.3779483012117713E-7</v>
      </c>
      <c r="BU8" s="208">
        <f t="shared" si="29"/>
        <v>2.8404636151223427E-7</v>
      </c>
      <c r="BV8" s="208">
        <f t="shared" si="30"/>
        <v>2.3932448819764887E-7</v>
      </c>
      <c r="BW8" s="208">
        <f t="shared" si="31"/>
        <v>3.2876823482681962E-7</v>
      </c>
      <c r="BX8" s="210">
        <f>$AK8/(BR8)</f>
        <v>6334201.6553962827</v>
      </c>
      <c r="BY8" s="210">
        <f t="shared" si="32"/>
        <v>4607832.9534331998</v>
      </c>
      <c r="BZ8" s="211">
        <f t="shared" si="32"/>
        <v>5333316.3586812383</v>
      </c>
      <c r="CA8" s="211">
        <f t="shared" si="33"/>
        <v>4464887.5301311519</v>
      </c>
      <c r="CB8" s="210">
        <f t="shared" si="34"/>
        <v>5299228.1193043375</v>
      </c>
      <c r="CC8" s="210">
        <f t="shared" si="34"/>
        <v>3857535.2578181694</v>
      </c>
      <c r="CD8" s="22">
        <f t="shared" si="35"/>
        <v>2197146030.5161104</v>
      </c>
      <c r="CE8" s="22">
        <v>4.5513588360128237E-10</v>
      </c>
      <c r="CF8" s="11">
        <v>6.94</v>
      </c>
      <c r="CG8" s="32">
        <v>19</v>
      </c>
      <c r="CH8" s="25">
        <f t="shared" si="8"/>
        <v>25.94</v>
      </c>
      <c r="CJ8" s="11">
        <f t="shared" si="43"/>
        <v>0.26754047802621433</v>
      </c>
      <c r="CK8" s="11">
        <f t="shared" si="9"/>
        <v>4.2409436619718312E+28</v>
      </c>
      <c r="CL8" s="11">
        <f t="shared" si="10"/>
        <v>1.1205323631899612E-11</v>
      </c>
      <c r="CM8" s="172">
        <v>1.8816044053807599E-10</v>
      </c>
      <c r="CN8" s="172">
        <v>2.8180134413727398E-10</v>
      </c>
      <c r="CO8" s="172">
        <v>2.82245753745491E-10</v>
      </c>
      <c r="CP8" s="22">
        <f t="shared" si="11"/>
        <v>-6.2493647254461605E-26</v>
      </c>
      <c r="CQ8" s="22">
        <f t="shared" si="12"/>
        <v>9.7971356258202976E-30</v>
      </c>
      <c r="CR8" s="22">
        <f t="shared" si="13"/>
        <v>9.4013537312610875E-30</v>
      </c>
      <c r="CS8" s="25">
        <f t="shared" si="36"/>
        <v>1.0420983941113893</v>
      </c>
      <c r="CT8" s="22">
        <f t="shared" si="37"/>
        <v>-1.5677010474246007E-4</v>
      </c>
      <c r="CU8" s="22">
        <f t="shared" si="38"/>
        <v>-1.504369507028556E-4</v>
      </c>
      <c r="CV8" s="172">
        <f t="shared" si="14"/>
        <v>-6.5163669525834072E-9</v>
      </c>
      <c r="CW8" s="172">
        <f t="shared" si="15"/>
        <v>2.9052001262871297E-9</v>
      </c>
      <c r="CX8" s="172">
        <f t="shared" si="16"/>
        <v>2.896058572276397E-9</v>
      </c>
      <c r="CY8" s="25">
        <f t="shared" si="39"/>
        <v>1.003156550112019</v>
      </c>
      <c r="CZ8" s="25">
        <f t="shared" si="40"/>
        <v>-0.4458312657078598</v>
      </c>
      <c r="DA8" s="25">
        <f t="shared" si="41"/>
        <v>-0.44442840517571797</v>
      </c>
    </row>
    <row r="9" spans="1:105" ht="20.25" customHeight="1" x14ac:dyDescent="0.25">
      <c r="A9" s="2" t="s">
        <v>17</v>
      </c>
      <c r="B9" s="29">
        <v>300</v>
      </c>
      <c r="C9" s="173">
        <f>$G$35*P8+$G$37</f>
        <v>3363565.435277028</v>
      </c>
      <c r="D9" s="173" t="s">
        <v>140</v>
      </c>
      <c r="E9" s="2">
        <v>1</v>
      </c>
      <c r="F9" s="2">
        <v>20</v>
      </c>
      <c r="G9" s="2">
        <v>20</v>
      </c>
      <c r="H9" s="22">
        <f>F9*1.6726219E-27</f>
        <v>3.3452438000000001E-26</v>
      </c>
      <c r="I9" s="22">
        <f>G9*9.1093856E-31</f>
        <v>1.82187712E-29</v>
      </c>
      <c r="J9" s="24">
        <f>((H9*F9)/(I9*G9))</f>
        <v>1836.1522647586683</v>
      </c>
      <c r="K9" s="24">
        <f>F9/G9</f>
        <v>1</v>
      </c>
      <c r="L9" s="26">
        <f>(H9)-(I9)</f>
        <v>3.3434219228800004E-26</v>
      </c>
      <c r="M9" s="3">
        <v>41.988</v>
      </c>
      <c r="N9" s="11">
        <f>0.12*EXP(26500/(8.3144598*P9))/1000</f>
        <v>1.4814456494713717E-3</v>
      </c>
      <c r="O9" s="27">
        <f>P9^-1</f>
        <v>7.885502503647044E-4</v>
      </c>
      <c r="P9" s="3">
        <v>1268.1500000000001</v>
      </c>
      <c r="Q9" s="5">
        <v>2.16E-5</v>
      </c>
      <c r="R9" s="5">
        <v>2.8800000000000001E-4</v>
      </c>
      <c r="T9" s="6">
        <v>1.02E-10</v>
      </c>
      <c r="U9" s="6">
        <v>1.3300000000000001E-10</v>
      </c>
      <c r="V9" s="6">
        <f>U9+T9</f>
        <v>2.3500000000000002E-10</v>
      </c>
      <c r="W9" s="6">
        <f t="shared" si="42"/>
        <v>3.1000000000000009E-11</v>
      </c>
      <c r="X9" s="6">
        <v>1950000</v>
      </c>
      <c r="Y9" s="7">
        <v>2085.5</v>
      </c>
      <c r="Z9" s="4">
        <v>0</v>
      </c>
      <c r="AA9" s="8">
        <v>2.7549999999999999</v>
      </c>
      <c r="AB9" s="4">
        <v>-6.3599999999999996E-4</v>
      </c>
      <c r="AC9" s="4">
        <v>1</v>
      </c>
      <c r="AD9" s="4">
        <v>1</v>
      </c>
      <c r="AE9" s="11">
        <f>AC9+AD9</f>
        <v>2</v>
      </c>
      <c r="AF9" s="11">
        <v>1</v>
      </c>
      <c r="AG9" s="11">
        <v>-1</v>
      </c>
      <c r="AH9" s="178">
        <v>47.6</v>
      </c>
      <c r="AI9" s="178">
        <f t="shared" si="0"/>
        <v>104.07833436461614</v>
      </c>
      <c r="AJ9" s="193">
        <f t="shared" si="1"/>
        <v>9.2828580000000015E-3</v>
      </c>
      <c r="AK9" s="178">
        <v>0.90547800000000001</v>
      </c>
      <c r="AL9" s="178" t="s">
        <v>113</v>
      </c>
      <c r="AM9" s="199">
        <f t="shared" si="17"/>
        <v>0.49067523585877765</v>
      </c>
      <c r="AN9" s="178">
        <v>0.78264084714836502</v>
      </c>
      <c r="AO9" s="178">
        <v>0.59812175800891498</v>
      </c>
      <c r="AP9" s="178">
        <v>2.6496648079999998E-10</v>
      </c>
      <c r="AQ9" s="178">
        <v>2.1736793340206901E-10</v>
      </c>
      <c r="AR9" s="201">
        <f t="shared" si="18"/>
        <v>3769114.370893043</v>
      </c>
      <c r="AS9" s="181">
        <v>0.61286742806674199</v>
      </c>
      <c r="AT9" s="181">
        <f t="shared" si="2"/>
        <v>0.79932841253490206</v>
      </c>
      <c r="AU9" s="201">
        <f t="shared" si="3"/>
        <v>0.70609792030082197</v>
      </c>
      <c r="AV9" s="201">
        <f t="shared" si="19"/>
        <v>0.84980152002576392</v>
      </c>
      <c r="AW9" s="201">
        <f t="shared" si="4"/>
        <v>0.73759694933460851</v>
      </c>
      <c r="AX9" s="201">
        <f t="shared" si="20"/>
        <v>0.96200609071691934</v>
      </c>
      <c r="AY9" s="179">
        <v>2260641605.9165201</v>
      </c>
      <c r="AZ9" s="202">
        <f t="shared" si="21"/>
        <v>2948427316.275682</v>
      </c>
      <c r="BA9" s="202">
        <f t="shared" si="22"/>
        <v>2604534461.0961008</v>
      </c>
      <c r="BB9" s="182">
        <v>2.7110331264484899E-10</v>
      </c>
      <c r="BC9" s="182">
        <v>3.2627770249126501E-10</v>
      </c>
      <c r="BD9" s="182">
        <v>5.8750000000000004E-11</v>
      </c>
      <c r="BE9" s="190">
        <f>AK9/AY9</f>
        <v>4.005402703507692E-10</v>
      </c>
      <c r="BF9" s="203">
        <f t="shared" si="23"/>
        <v>2.1086339169094671E-10</v>
      </c>
      <c r="BG9" s="203">
        <f t="shared" si="24"/>
        <v>2.3870499444360635E-10</v>
      </c>
      <c r="BH9" s="184">
        <v>2.9457755653783602E-4</v>
      </c>
      <c r="BI9" s="204">
        <f t="shared" si="25"/>
        <v>3.5452937632882164E-4</v>
      </c>
      <c r="BJ9" s="183">
        <f>Y9+Z9*P9</f>
        <v>2085.5</v>
      </c>
      <c r="BK9" s="205">
        <f t="shared" si="26"/>
        <v>2402.75</v>
      </c>
      <c r="BL9" s="230">
        <v>2720</v>
      </c>
      <c r="BM9" s="183" t="s">
        <v>122</v>
      </c>
      <c r="BN9" s="191">
        <f>$AK9/BH9</f>
        <v>3073.8186935965673</v>
      </c>
      <c r="BO9" s="206">
        <f t="shared" si="27"/>
        <v>2554.0281298443947</v>
      </c>
      <c r="BP9" s="187">
        <v>70.2</v>
      </c>
      <c r="BQ9" s="186">
        <f t="shared" si="5"/>
        <v>3250000</v>
      </c>
      <c r="BR9" s="186">
        <v>1.8800978584811899E-7</v>
      </c>
      <c r="BS9" s="186">
        <f t="shared" si="6"/>
        <v>2.458003367979964E-7</v>
      </c>
      <c r="BT9" s="208">
        <f t="shared" si="28"/>
        <v>2.1713116148580361E-7</v>
      </c>
      <c r="BU9" s="208">
        <f t="shared" si="29"/>
        <v>2.6132124988696234E-7</v>
      </c>
      <c r="BV9" s="208">
        <f t="shared" si="30"/>
        <v>2.2681738284851104E-7</v>
      </c>
      <c r="BW9" s="208">
        <f t="shared" si="31"/>
        <v>2.9582511692541361E-7</v>
      </c>
      <c r="BX9" s="210">
        <f>$AK9/(BR9)</f>
        <v>4816121.6498138951</v>
      </c>
      <c r="BY9" s="210">
        <f t="shared" si="32"/>
        <v>3683794.7896879399</v>
      </c>
      <c r="BZ9" s="211">
        <f t="shared" si="32"/>
        <v>4170189.0866512111</v>
      </c>
      <c r="CA9" s="211">
        <f t="shared" si="33"/>
        <v>3464999.4992434615</v>
      </c>
      <c r="CB9" s="210">
        <f t="shared" si="34"/>
        <v>3992101.4369730176</v>
      </c>
      <c r="CC9" s="210">
        <f t="shared" si="34"/>
        <v>3060855.7157379515</v>
      </c>
      <c r="CD9" s="22">
        <f t="shared" si="35"/>
        <v>2745105769.7939444</v>
      </c>
      <c r="CE9" s="8">
        <f>N9/(X9/1000*(Y9+Z9*P9))</f>
        <v>3.6428468840931505E-10</v>
      </c>
      <c r="CF9" s="11">
        <v>22.99</v>
      </c>
      <c r="CG9" s="32">
        <v>19</v>
      </c>
      <c r="CH9" s="25">
        <f t="shared" si="8"/>
        <v>41.989999999999995</v>
      </c>
      <c r="CI9"/>
      <c r="CJ9" s="11">
        <f t="shared" si="43"/>
        <v>0.54751131221719462</v>
      </c>
      <c r="CK9" s="11">
        <f t="shared" si="9"/>
        <v>2.7880277777777775E+28</v>
      </c>
      <c r="CL9" s="11">
        <f t="shared" si="10"/>
        <v>1.4717782705243564E-11</v>
      </c>
      <c r="CM9" s="227">
        <v>2.1736793340206901E-10</v>
      </c>
      <c r="CN9" s="227">
        <v>3.2627770249126501E-10</v>
      </c>
      <c r="CO9" s="227">
        <v>3.27899528751448E-10</v>
      </c>
      <c r="CP9" s="22">
        <f t="shared" si="11"/>
        <v>-4.0901757414025308E-25</v>
      </c>
      <c r="CQ9" s="22">
        <f t="shared" si="12"/>
        <v>1.6658069690736827E-28</v>
      </c>
      <c r="CR9" s="22">
        <f t="shared" si="13"/>
        <v>1.4846161872545163E-28</v>
      </c>
      <c r="CS9" s="25">
        <f t="shared" si="36"/>
        <v>1.1220455383517274</v>
      </c>
      <c r="CT9" s="22">
        <f t="shared" si="37"/>
        <v>-4.0727026768352833E-4</v>
      </c>
      <c r="CU9" s="22">
        <f t="shared" si="38"/>
        <v>-3.6297124649842992E-4</v>
      </c>
      <c r="CV9" s="172">
        <f t="shared" si="14"/>
        <v>-4.882825704355032E-9</v>
      </c>
      <c r="CW9" s="172">
        <f t="shared" si="15"/>
        <v>2.1671420741743169E-9</v>
      </c>
      <c r="CX9" s="172">
        <f t="shared" si="16"/>
        <v>2.1457572565258799E-9</v>
      </c>
      <c r="CY9" s="25">
        <f t="shared" si="39"/>
        <v>1.0099660935939512</v>
      </c>
      <c r="CZ9" s="25">
        <f t="shared" si="40"/>
        <v>-0.44382949656413606</v>
      </c>
      <c r="DA9" s="25">
        <f t="shared" si="41"/>
        <v>-0.43944989775327464</v>
      </c>
    </row>
    <row r="10" spans="1:105" s="11" customFormat="1" ht="20.25" customHeight="1" x14ac:dyDescent="0.25">
      <c r="A10" s="2" t="s">
        <v>18</v>
      </c>
      <c r="B10" s="30">
        <v>210</v>
      </c>
      <c r="C10" s="173">
        <f>$K$35*P10+$K$37</f>
        <v>2128432.5483899587</v>
      </c>
      <c r="D10" s="173" t="s">
        <v>141</v>
      </c>
      <c r="E10" s="2">
        <v>1</v>
      </c>
      <c r="F10" s="2">
        <v>28</v>
      </c>
      <c r="G10" s="2">
        <v>28</v>
      </c>
      <c r="H10" s="22">
        <v>4.6833413199999998E-26</v>
      </c>
      <c r="I10" s="22">
        <v>2.5506279679999997E-29</v>
      </c>
      <c r="J10" s="24">
        <v>1836.1522647586683</v>
      </c>
      <c r="K10" s="24">
        <v>1</v>
      </c>
      <c r="L10" s="26">
        <v>4.680790692032E-26</v>
      </c>
      <c r="M10" s="3">
        <v>58.097000000000001</v>
      </c>
      <c r="N10" s="11">
        <v>1.3500630387524655E-3</v>
      </c>
      <c r="O10" s="27">
        <v>8.856219279989372E-4</v>
      </c>
      <c r="P10" s="3">
        <v>1129.1500000000001</v>
      </c>
      <c r="Q10" s="5">
        <v>3.04E-5</v>
      </c>
      <c r="R10" s="5">
        <v>3.4099999999999999E-4</v>
      </c>
      <c r="S10" s="32"/>
      <c r="T10" s="6">
        <v>1.3799999999999999E-10</v>
      </c>
      <c r="U10" s="6">
        <v>1.3300000000000001E-10</v>
      </c>
      <c r="V10" s="6">
        <v>2.7099999999999999E-10</v>
      </c>
      <c r="W10" s="6">
        <f t="shared" si="42"/>
        <v>-4.9999999999999827E-12</v>
      </c>
      <c r="X10" s="6">
        <v>1910000</v>
      </c>
      <c r="Y10" s="11">
        <v>1816.4</v>
      </c>
      <c r="Z10" s="11">
        <v>0</v>
      </c>
      <c r="AA10" s="11">
        <v>2.6463999999999999</v>
      </c>
      <c r="AB10" s="11">
        <v>-6.5149999999999995E-4</v>
      </c>
      <c r="AC10" s="11">
        <v>1</v>
      </c>
      <c r="AD10" s="11">
        <v>1</v>
      </c>
      <c r="AE10" s="11">
        <v>2</v>
      </c>
      <c r="AF10" s="11">
        <v>1</v>
      </c>
      <c r="AG10" s="11">
        <v>-1</v>
      </c>
      <c r="AH10" s="178">
        <v>28.7</v>
      </c>
      <c r="AI10" s="178">
        <f t="shared" si="0"/>
        <v>58.640998533154338</v>
      </c>
      <c r="AJ10" s="193">
        <f t="shared" si="1"/>
        <v>5.7857646000000007E-3</v>
      </c>
      <c r="AK10" s="178">
        <v>0.56768789999999902</v>
      </c>
      <c r="AL10" s="178" t="s">
        <v>113</v>
      </c>
      <c r="AM10" s="199">
        <f t="shared" si="17"/>
        <v>0.33236370799974174</v>
      </c>
      <c r="AN10" s="178">
        <v>0.51980918395456199</v>
      </c>
      <c r="AO10" s="178">
        <v>0.40376310518547798</v>
      </c>
      <c r="AP10" s="178">
        <v>3.0052360800000003E-10</v>
      </c>
      <c r="AQ10" s="178">
        <v>2.4738055412580903E-10</v>
      </c>
      <c r="AR10" s="201">
        <f t="shared" si="18"/>
        <v>2401266.1295379759</v>
      </c>
      <c r="AS10" s="181">
        <v>0.42353288371673797</v>
      </c>
      <c r="AT10" s="181">
        <f t="shared" si="2"/>
        <v>0.55028496232740676</v>
      </c>
      <c r="AU10" s="201">
        <f t="shared" si="3"/>
        <v>0.48690892302207234</v>
      </c>
      <c r="AV10" s="201">
        <f t="shared" si="19"/>
        <v>0.58299891529503312</v>
      </c>
      <c r="AW10" s="201">
        <f t="shared" si="4"/>
        <v>0.50711580774920906</v>
      </c>
      <c r="AX10" s="201">
        <f t="shared" si="20"/>
        <v>0.65888202284085728</v>
      </c>
      <c r="AY10" s="182">
        <v>1343585957.1456599</v>
      </c>
      <c r="AZ10" s="202">
        <f t="shared" si="21"/>
        <v>1745685344.0121984</v>
      </c>
      <c r="BA10" s="202">
        <f t="shared" si="22"/>
        <v>1544635650.5789289</v>
      </c>
      <c r="BB10" s="182">
        <v>3.1522574455637898E-10</v>
      </c>
      <c r="BC10" s="182">
        <v>3.77434584703857E-10</v>
      </c>
      <c r="BD10" s="182">
        <v>6.7749999999999999E-11</v>
      </c>
      <c r="BE10" s="190">
        <f>AK10/AY10</f>
        <v>4.2251699415347138E-10</v>
      </c>
      <c r="BF10" s="203">
        <f t="shared" si="23"/>
        <v>3.5614401312163482E-10</v>
      </c>
      <c r="BG10" s="203">
        <f t="shared" si="24"/>
        <v>4.024996987678662E-10</v>
      </c>
      <c r="BH10" s="184">
        <v>2.3103748024325401E-4</v>
      </c>
      <c r="BI10" s="204">
        <f t="shared" si="25"/>
        <v>2.7663202296296558E-4</v>
      </c>
      <c r="BJ10" s="183">
        <v>1816.4</v>
      </c>
      <c r="BK10" s="205">
        <f t="shared" si="26"/>
        <v>2088.1999999999998</v>
      </c>
      <c r="BL10" s="230">
        <v>2360</v>
      </c>
      <c r="BM10" s="183" t="s">
        <v>121</v>
      </c>
      <c r="BN10" s="191">
        <f>$AK10/BH10</f>
        <v>2457.1247028936327</v>
      </c>
      <c r="BO10" s="206">
        <f t="shared" si="27"/>
        <v>2052.1409413110459</v>
      </c>
      <c r="BP10" s="185">
        <v>66.900000000000006</v>
      </c>
      <c r="BQ10" s="186">
        <f t="shared" si="5"/>
        <v>2200657.8947368423</v>
      </c>
      <c r="BR10" s="186">
        <v>1.9262165958693599E-7</v>
      </c>
      <c r="BS10" s="186">
        <f t="shared" si="6"/>
        <v>2.4797758571768477E-7</v>
      </c>
      <c r="BT10" s="208">
        <f t="shared" si="28"/>
        <v>2.1941813326087685E-7</v>
      </c>
      <c r="BU10" s="208">
        <f t="shared" si="29"/>
        <v>2.6271963325953138E-7</v>
      </c>
      <c r="BV10" s="208">
        <f t="shared" si="30"/>
        <v>2.2852405988536197E-7</v>
      </c>
      <c r="BW10" s="208">
        <f t="shared" si="31"/>
        <v>2.9691520663370083E-7</v>
      </c>
      <c r="BX10" s="210">
        <f>$AK10/(BR10)</f>
        <v>2947165.449707821</v>
      </c>
      <c r="BY10" s="211">
        <f t="shared" si="32"/>
        <v>2289271.0176084023</v>
      </c>
      <c r="BZ10" s="211">
        <f t="shared" si="32"/>
        <v>2587242.410475926</v>
      </c>
      <c r="CA10" s="211">
        <f t="shared" si="33"/>
        <v>2160812.6235438231</v>
      </c>
      <c r="CB10" s="210">
        <f t="shared" si="34"/>
        <v>2484149.3726515141</v>
      </c>
      <c r="CC10" s="210">
        <f t="shared" si="34"/>
        <v>1911952.932408564</v>
      </c>
      <c r="CD10" s="22">
        <f t="shared" si="35"/>
        <v>2569749634.2140079</v>
      </c>
      <c r="CE10" s="22">
        <v>3.8914296812648964E-10</v>
      </c>
      <c r="CF10" s="4">
        <v>39.1</v>
      </c>
      <c r="CG10" s="32">
        <v>19</v>
      </c>
      <c r="CH10" s="25">
        <f t="shared" si="8"/>
        <v>58.1</v>
      </c>
      <c r="CJ10" s="11">
        <f t="shared" si="43"/>
        <v>0.67297762478485368</v>
      </c>
      <c r="CK10" s="11">
        <f t="shared" si="9"/>
        <v>1.980967105263158E+28</v>
      </c>
      <c r="CL10" s="11">
        <f t="shared" si="10"/>
        <v>1.647565955450779E-11</v>
      </c>
      <c r="CM10" s="172">
        <v>2.4699999999999997E-10</v>
      </c>
      <c r="CN10" s="172">
        <v>3.7699999999999999E-10</v>
      </c>
      <c r="CO10" s="172">
        <v>3.8600000000000001E-10</v>
      </c>
      <c r="CP10" s="22">
        <f t="shared" si="11"/>
        <v>-2.8807379173544848E-25</v>
      </c>
      <c r="CQ10" s="22">
        <f t="shared" si="12"/>
        <v>7.0646419513159272E-29</v>
      </c>
      <c r="CR10" s="22">
        <f t="shared" si="13"/>
        <v>3.99582384343453E-29</v>
      </c>
      <c r="CS10" s="25">
        <f t="shared" si="36"/>
        <v>1.768006355666484</v>
      </c>
      <c r="CT10" s="22">
        <f t="shared" si="37"/>
        <v>-2.4523723275054869E-4</v>
      </c>
      <c r="CU10" s="22">
        <f t="shared" si="38"/>
        <v>-1.3870834342001094E-4</v>
      </c>
      <c r="CV10" s="172">
        <f t="shared" si="14"/>
        <v>-3.781536254208038E-9</v>
      </c>
      <c r="CW10" s="172">
        <f t="shared" si="15"/>
        <v>1.6232278094757451E-9</v>
      </c>
      <c r="CX10" s="172">
        <f t="shared" si="16"/>
        <v>1.5484156979581878E-9</v>
      </c>
      <c r="CY10" s="25">
        <f t="shared" si="39"/>
        <v>1.0483152628949759</v>
      </c>
      <c r="CZ10" s="25">
        <f t="shared" si="40"/>
        <v>-0.42925089179548154</v>
      </c>
      <c r="DA10" s="25">
        <f t="shared" si="41"/>
        <v>-0.4094673682514966</v>
      </c>
    </row>
    <row r="11" spans="1:105" s="11" customFormat="1" ht="20.25" customHeight="1" x14ac:dyDescent="0.25">
      <c r="A11" s="2" t="s">
        <v>19</v>
      </c>
      <c r="B11" s="30"/>
      <c r="C11" s="173">
        <f>$O$35*P11+$O$37</f>
        <v>1508484.6673803362</v>
      </c>
      <c r="D11" s="173" t="s">
        <v>142</v>
      </c>
      <c r="E11" s="2">
        <v>1</v>
      </c>
      <c r="F11" s="2">
        <v>46</v>
      </c>
      <c r="G11" s="2">
        <v>46</v>
      </c>
      <c r="H11" s="22">
        <v>7.6940607399999996E-26</v>
      </c>
      <c r="I11" s="22">
        <v>4.1903173759999999E-29</v>
      </c>
      <c r="J11" s="24">
        <v>1836.1522647586683</v>
      </c>
      <c r="K11" s="24">
        <v>1</v>
      </c>
      <c r="L11" s="26">
        <v>7.689870422624E-26</v>
      </c>
      <c r="M11" s="3">
        <v>104.4662</v>
      </c>
      <c r="N11" s="11">
        <v>2.5481160758264749E-3</v>
      </c>
      <c r="O11" s="27">
        <v>9.5406191861851825E-4</v>
      </c>
      <c r="P11" s="3">
        <v>1048.1500000000001</v>
      </c>
      <c r="Q11" s="5">
        <v>3.57E-5</v>
      </c>
      <c r="R11" s="5">
        <v>3.4900000000000003E-4</v>
      </c>
      <c r="S11" s="32"/>
      <c r="T11" s="6">
        <v>1.5199999999999999E-10</v>
      </c>
      <c r="U11" s="6">
        <v>1.3300000000000001E-10</v>
      </c>
      <c r="V11" s="6">
        <v>2.85E-10</v>
      </c>
      <c r="W11" s="6">
        <f t="shared" si="42"/>
        <v>-1.8999999999999986E-11</v>
      </c>
      <c r="X11" s="6">
        <v>2926224.0896358541</v>
      </c>
      <c r="Y11" s="11">
        <v>1760.4</v>
      </c>
      <c r="Z11" s="11">
        <v>0</v>
      </c>
      <c r="AA11" s="11">
        <v>2926224089.6358538</v>
      </c>
      <c r="AB11" s="11">
        <v>0</v>
      </c>
      <c r="AF11" s="11">
        <v>1</v>
      </c>
      <c r="AG11" s="11">
        <v>-1</v>
      </c>
      <c r="AH11" s="178">
        <f>0.0000000244*O11*B11</f>
        <v>0</v>
      </c>
      <c r="AI11" s="178">
        <f t="shared" si="0"/>
        <v>38.579284180398666</v>
      </c>
      <c r="AJ11" s="193"/>
      <c r="AK11" s="178"/>
      <c r="AL11" s="178"/>
      <c r="AM11" s="199"/>
      <c r="AN11" s="178"/>
      <c r="AO11" s="178"/>
      <c r="AP11" s="178">
        <v>3.1433567870000001E-10</v>
      </c>
      <c r="AQ11" s="178">
        <v>2.5893228302185304E-10</v>
      </c>
      <c r="AR11" s="201"/>
      <c r="AS11" s="181"/>
      <c r="AT11" s="181"/>
      <c r="AU11" s="201"/>
      <c r="AV11" s="201"/>
      <c r="AW11" s="201"/>
      <c r="AX11" s="201"/>
      <c r="AY11" s="182"/>
      <c r="AZ11" s="202"/>
      <c r="BA11" s="202"/>
      <c r="BB11" s="182"/>
      <c r="BC11" s="182">
        <v>3.9622631368514602E-10</v>
      </c>
      <c r="BD11" s="182"/>
      <c r="BE11" s="190"/>
      <c r="BF11" s="203"/>
      <c r="BG11" s="203"/>
      <c r="BH11" s="184"/>
      <c r="BI11" s="204"/>
      <c r="BJ11" s="183">
        <v>1760.4</v>
      </c>
      <c r="BK11" s="205">
        <f t="shared" si="26"/>
        <v>1760.4</v>
      </c>
      <c r="BL11" s="230"/>
      <c r="BM11" s="183"/>
      <c r="BN11" s="191"/>
      <c r="BO11" s="206"/>
      <c r="BP11" s="185">
        <v>69.5</v>
      </c>
      <c r="BQ11" s="186"/>
      <c r="BR11" s="180"/>
      <c r="BS11" s="186"/>
      <c r="BT11" s="208"/>
      <c r="BU11" s="208">
        <f>1/3*BK11*BC11</f>
        <v>2.3250560087044368E-7</v>
      </c>
      <c r="BV11" s="208">
        <f>1/3*BJ11*BC11</f>
        <v>2.3250560087044368E-7</v>
      </c>
      <c r="BW11" s="208"/>
      <c r="BX11" s="210"/>
      <c r="BY11" s="211"/>
      <c r="BZ11" s="211"/>
      <c r="CA11" s="211"/>
      <c r="CB11" s="210"/>
      <c r="CC11" s="210"/>
      <c r="CD11" s="22">
        <f t="shared" si="35"/>
        <v>2021620967.845485</v>
      </c>
      <c r="CE11" s="22">
        <v>4.94652566383765E-10</v>
      </c>
      <c r="CF11" s="32"/>
      <c r="CG11" s="32"/>
      <c r="CH11" s="25"/>
      <c r="CK11" s="11">
        <f t="shared" si="9"/>
        <v>1.6868739495798319E+28</v>
      </c>
      <c r="CL11" s="11">
        <f t="shared" si="10"/>
        <v>1.7201884426609329E-11</v>
      </c>
      <c r="CM11" s="172">
        <v>2.5899999999999998E-10</v>
      </c>
      <c r="CN11" s="172">
        <v>3.9599999999999998E-10</v>
      </c>
      <c r="CO11" s="172">
        <v>4.03E-10</v>
      </c>
      <c r="CP11" s="22">
        <f t="shared" si="11"/>
        <v>-2.5752056023289238E-25</v>
      </c>
      <c r="CQ11" s="22">
        <f t="shared" si="12"/>
        <v>5.8558424946394074E-29</v>
      </c>
      <c r="CR11" s="22">
        <f t="shared" si="13"/>
        <v>3.8304617924741604E-29</v>
      </c>
      <c r="CS11" s="25">
        <f t="shared" si="36"/>
        <v>1.5287562732369715</v>
      </c>
      <c r="CT11" s="22">
        <f t="shared" si="37"/>
        <v>-2.2739320267646176E-4</v>
      </c>
      <c r="CU11" s="22">
        <f t="shared" si="38"/>
        <v>-1.4874392122361135E-4</v>
      </c>
      <c r="CV11" s="172">
        <f t="shared" si="14"/>
        <v>-3.4392412953441095E-9</v>
      </c>
      <c r="CW11" s="172">
        <f t="shared" si="15"/>
        <v>1.4712002941854035E-9</v>
      </c>
      <c r="CX11" s="172">
        <f t="shared" si="16"/>
        <v>1.4205354711437061E-9</v>
      </c>
      <c r="CY11" s="25">
        <f t="shared" si="39"/>
        <v>1.0356660034690341</v>
      </c>
      <c r="CZ11" s="25">
        <f t="shared" si="40"/>
        <v>-0.42776885011733501</v>
      </c>
      <c r="DA11" s="25">
        <f t="shared" si="41"/>
        <v>-0.41303745482085341</v>
      </c>
    </row>
    <row r="12" spans="1:105" s="11" customFormat="1" ht="20.25" customHeight="1" x14ac:dyDescent="0.25">
      <c r="A12" s="2" t="s">
        <v>20</v>
      </c>
      <c r="B12" s="30"/>
      <c r="C12" s="30"/>
      <c r="D12" s="30"/>
      <c r="E12" s="2">
        <v>1</v>
      </c>
      <c r="F12" s="2">
        <v>64</v>
      </c>
      <c r="G12" s="2">
        <v>64</v>
      </c>
      <c r="H12" s="22">
        <v>1.070478016E-25</v>
      </c>
      <c r="I12" s="22">
        <v>5.8300067839999996E-29</v>
      </c>
      <c r="J12" s="24">
        <v>1836.1522647586685</v>
      </c>
      <c r="K12" s="24">
        <v>1</v>
      </c>
      <c r="L12" s="26">
        <v>1.0698950153215999E-25</v>
      </c>
      <c r="M12" s="3">
        <v>58.44</v>
      </c>
      <c r="N12" s="11">
        <v>3.4453112314492135E-3</v>
      </c>
      <c r="O12" s="27">
        <v>1.0469559755012302E-3</v>
      </c>
      <c r="P12" s="3">
        <v>955.15</v>
      </c>
      <c r="Q12" s="5">
        <v>4.57E-5</v>
      </c>
      <c r="R12" s="5">
        <v>3.8499999999999998E-4</v>
      </c>
      <c r="S12" s="32"/>
      <c r="T12" s="6">
        <v>1.6699999999999999E-10</v>
      </c>
      <c r="U12" s="6">
        <v>1.3300000000000001E-10</v>
      </c>
      <c r="V12" s="6">
        <v>3E-10</v>
      </c>
      <c r="W12" s="6">
        <f t="shared" si="42"/>
        <v>-3.3999999999999986E-11</v>
      </c>
      <c r="X12" s="6">
        <v>2196977.25</v>
      </c>
      <c r="Y12" s="11">
        <v>2732.9322499999998</v>
      </c>
      <c r="Z12" s="11">
        <v>-0.91500000000000004</v>
      </c>
      <c r="AA12" s="11">
        <v>4.8985000000000003</v>
      </c>
      <c r="AB12" s="11">
        <v>-5.4299999999999997E-4</v>
      </c>
      <c r="AF12" s="11">
        <v>1</v>
      </c>
      <c r="AG12" s="11">
        <v>-1</v>
      </c>
      <c r="AH12" s="178"/>
      <c r="AI12" s="178"/>
      <c r="AJ12" s="193"/>
      <c r="AK12" s="178"/>
      <c r="AL12" s="178"/>
      <c r="AM12" s="199"/>
      <c r="AN12" s="178"/>
      <c r="AO12" s="178"/>
      <c r="AP12" s="178">
        <v>3.3920043010000001E-10</v>
      </c>
      <c r="AQ12" s="178">
        <v>2.7962928465917803E-10</v>
      </c>
      <c r="AR12" s="201"/>
      <c r="AS12" s="181"/>
      <c r="AT12" s="181"/>
      <c r="AU12" s="201"/>
      <c r="AV12" s="201"/>
      <c r="AW12" s="201"/>
      <c r="AX12" s="201"/>
      <c r="AY12" s="182"/>
      <c r="AZ12" s="202"/>
      <c r="BA12" s="202"/>
      <c r="BB12" s="182"/>
      <c r="BC12" s="182">
        <v>4.3148798302744901E-10</v>
      </c>
      <c r="BD12" s="182"/>
      <c r="BE12" s="190"/>
      <c r="BF12" s="203"/>
      <c r="BG12" s="203"/>
      <c r="BH12" s="184"/>
      <c r="BI12" s="204"/>
      <c r="BJ12" s="183">
        <v>1858.9699999999998</v>
      </c>
      <c r="BK12" s="205">
        <f t="shared" si="26"/>
        <v>1858.9699999999998</v>
      </c>
      <c r="BL12" s="230"/>
      <c r="BM12" s="183"/>
      <c r="BN12" s="191"/>
      <c r="BO12" s="206"/>
      <c r="BP12" s="185">
        <v>74.099999999999994</v>
      </c>
      <c r="BQ12" s="186"/>
      <c r="BR12" s="180"/>
      <c r="BS12" s="186"/>
      <c r="BT12" s="208"/>
      <c r="BU12" s="208">
        <f t="shared" si="29"/>
        <v>2.6737440526951226E-7</v>
      </c>
      <c r="BV12" s="208">
        <f t="shared" si="30"/>
        <v>2.6737440526951226E-7</v>
      </c>
      <c r="BW12" s="208"/>
      <c r="BX12" s="210"/>
      <c r="BY12" s="211"/>
      <c r="BZ12" s="211"/>
      <c r="CA12" s="211"/>
      <c r="CB12" s="210"/>
      <c r="CC12" s="210"/>
      <c r="CD12" s="22">
        <f t="shared" si="35"/>
        <v>1185412441.4515038</v>
      </c>
      <c r="CE12" s="22">
        <v>8.4358824408450485E-10</v>
      </c>
      <c r="CF12" s="32"/>
      <c r="CG12" s="32"/>
      <c r="CH12" s="25"/>
      <c r="CK12" s="11">
        <f t="shared" si="9"/>
        <v>1.3177549234135668E+28</v>
      </c>
      <c r="CL12" s="11">
        <f t="shared" si="10"/>
        <v>1.8579075009852375E-11</v>
      </c>
      <c r="CM12" s="172">
        <v>2.8000000000000002E-10</v>
      </c>
      <c r="CN12" s="172">
        <v>4.3100000000000001E-10</v>
      </c>
      <c r="CO12" s="172">
        <v>4.2E-10</v>
      </c>
      <c r="CP12" s="22">
        <f t="shared" si="11"/>
        <v>-2.3484130330974972E-25</v>
      </c>
      <c r="CQ12" s="22">
        <f t="shared" si="12"/>
        <v>4.5056797322619321E-29</v>
      </c>
      <c r="CR12" s="22">
        <f t="shared" si="13"/>
        <v>8.3583084117439271E-29</v>
      </c>
      <c r="CS12" s="25">
        <f t="shared" si="36"/>
        <v>0.53906598205100698</v>
      </c>
      <c r="CT12" s="22">
        <f t="shared" si="37"/>
        <v>-1.918606168830129E-4</v>
      </c>
      <c r="CU12" s="22">
        <f t="shared" si="38"/>
        <v>-3.559130482562316E-4</v>
      </c>
      <c r="CV12" s="172">
        <f t="shared" si="14"/>
        <v>-2.942700833328803E-9</v>
      </c>
      <c r="CW12" s="172">
        <f t="shared" si="15"/>
        <v>1.2419600741435402E-9</v>
      </c>
      <c r="CX12" s="172">
        <f t="shared" si="16"/>
        <v>1.3078670370350236E-9</v>
      </c>
      <c r="CY12" s="25">
        <f t="shared" si="39"/>
        <v>0.94960729108908759</v>
      </c>
      <c r="CZ12" s="25">
        <f t="shared" si="40"/>
        <v>-0.42204768492848344</v>
      </c>
      <c r="DA12" s="25">
        <f t="shared" si="41"/>
        <v>-0.44444444444444448</v>
      </c>
    </row>
    <row r="13" spans="1:105" s="11" customFormat="1" ht="20.25" customHeight="1" x14ac:dyDescent="0.25">
      <c r="A13" s="2" t="s">
        <v>28</v>
      </c>
      <c r="B13" s="30">
        <v>0.8</v>
      </c>
      <c r="C13" s="30"/>
      <c r="D13" s="30"/>
      <c r="E13" s="2">
        <v>1</v>
      </c>
      <c r="F13" s="2">
        <v>29</v>
      </c>
      <c r="G13" s="2">
        <v>28</v>
      </c>
      <c r="H13" s="22">
        <v>4.8506035099999997E-26</v>
      </c>
      <c r="I13" s="22">
        <v>2.5506279679999997E-29</v>
      </c>
      <c r="J13" s="24">
        <v>1969.6480289056633</v>
      </c>
      <c r="K13" s="24">
        <v>1.0357142857142858</v>
      </c>
      <c r="L13" s="26">
        <v>4.8480528820319999E-26</v>
      </c>
      <c r="M13" s="3">
        <v>95.210999999999999</v>
      </c>
      <c r="N13" s="11">
        <v>2.1885964575678765E-3</v>
      </c>
      <c r="O13" s="27">
        <v>1.0131712259371835E-3</v>
      </c>
      <c r="P13" s="3">
        <v>987</v>
      </c>
      <c r="Q13" s="5">
        <v>5.651027632231827E-5</v>
      </c>
      <c r="R13" s="5">
        <v>1.8000000000000001E-4</v>
      </c>
      <c r="S13" s="32"/>
      <c r="T13" s="6">
        <v>7.1999999999999997E-11</v>
      </c>
      <c r="U13" s="6">
        <v>1.81E-10</v>
      </c>
      <c r="V13" s="6">
        <v>2.5300000000000001E-10</v>
      </c>
      <c r="W13" s="6">
        <f t="shared" si="42"/>
        <v>1.09E-10</v>
      </c>
      <c r="X13" s="6">
        <v>1684844</v>
      </c>
      <c r="Y13" s="11">
        <v>2101</v>
      </c>
      <c r="Z13" s="11">
        <v>0</v>
      </c>
      <c r="AA13" s="11">
        <v>1.9691000000000001</v>
      </c>
      <c r="AB13" s="11">
        <v>-2.8800000000000001E-4</v>
      </c>
      <c r="AC13" s="11">
        <v>1</v>
      </c>
      <c r="AD13" s="11">
        <v>2</v>
      </c>
      <c r="AE13" s="11">
        <v>3</v>
      </c>
      <c r="AF13" s="11">
        <v>2</v>
      </c>
      <c r="AG13" s="11">
        <v>-2</v>
      </c>
      <c r="AH13" s="178"/>
      <c r="AI13" s="178"/>
      <c r="AJ13" s="193"/>
      <c r="AK13" s="178">
        <v>0.46200000000000002</v>
      </c>
      <c r="AL13" s="178" t="s">
        <v>114</v>
      </c>
      <c r="AM13" s="199">
        <f t="shared" si="17"/>
        <v>0.269940662012365</v>
      </c>
      <c r="AN13" s="178">
        <v>0.54002025954196298</v>
      </c>
      <c r="AO13" s="178">
        <v>0.33370075449931302</v>
      </c>
      <c r="AP13" s="178">
        <v>2.9252666850000001E-10</v>
      </c>
      <c r="AQ13" s="178">
        <v>2.36633694969138E-10</v>
      </c>
      <c r="AR13" s="201">
        <f t="shared" si="18"/>
        <v>1393538.1034277545</v>
      </c>
      <c r="AS13" s="181">
        <v>0.35221854185797102</v>
      </c>
      <c r="AT13" s="181">
        <f>AS13/BJ13*BL13</f>
        <v>0.56998716911808733</v>
      </c>
      <c r="AU13" s="201">
        <f>AS13/BJ13*BK13</f>
        <v>0.46110285548802915</v>
      </c>
      <c r="AV13" s="201">
        <f t="shared" si="19"/>
        <v>0.53865932656527438</v>
      </c>
      <c r="AW13" s="201">
        <f>AS13/BB13*BC13</f>
        <v>0.41146091442052046</v>
      </c>
      <c r="AX13" s="201">
        <f t="shared" si="20"/>
        <v>0.66585773871002829</v>
      </c>
      <c r="AY13" s="182">
        <v>1140753272.89112</v>
      </c>
      <c r="AZ13" s="202">
        <f t="shared" si="21"/>
        <v>1846054796.6824405</v>
      </c>
      <c r="BA13" s="202">
        <f t="shared" si="22"/>
        <v>1493404034.7867801</v>
      </c>
      <c r="BB13" s="182">
        <v>3.08759615447175E-10</v>
      </c>
      <c r="BC13" s="182">
        <v>3.60692293590982E-10</v>
      </c>
      <c r="BD13" s="182">
        <v>6.3250000000000001E-11</v>
      </c>
      <c r="BE13" s="190">
        <f>AK13/AY13</f>
        <v>4.0499555072860697E-10</v>
      </c>
      <c r="BF13" s="203">
        <f t="shared" si="23"/>
        <v>3.3678056858410461E-10</v>
      </c>
      <c r="BG13" s="203">
        <f t="shared" si="24"/>
        <v>4.1630755614832056E-10</v>
      </c>
      <c r="BH13" s="184">
        <v>1.6764328503473099E-4</v>
      </c>
      <c r="BI13" s="204">
        <f t="shared" si="25"/>
        <v>1.9584051138530178E-4</v>
      </c>
      <c r="BJ13" s="183">
        <v>2101</v>
      </c>
      <c r="BK13" s="205">
        <f>AVERAGE(BJ13,BL13)</f>
        <v>2750.5</v>
      </c>
      <c r="BL13" s="230">
        <v>3400</v>
      </c>
      <c r="BM13" s="183"/>
      <c r="BN13" s="191">
        <f>$AK13/BH13</f>
        <v>2755.8515087811993</v>
      </c>
      <c r="BO13" s="206">
        <f t="shared" si="27"/>
        <v>2359.0624673719785</v>
      </c>
      <c r="BP13" s="185">
        <v>92.048000000000002</v>
      </c>
      <c r="BQ13" s="186">
        <f>BP13/Q13</f>
        <v>1628871.8794256966</v>
      </c>
      <c r="BR13" s="186">
        <v>2.16234650684838E-7</v>
      </c>
      <c r="BS13" s="186">
        <f>1/3*BL13*BB13</f>
        <v>3.4992756417346495E-7</v>
      </c>
      <c r="BT13" s="208">
        <f t="shared" si="28"/>
        <v>2.8308110742915158E-7</v>
      </c>
      <c r="BU13" s="208">
        <f t="shared" si="29"/>
        <v>3.3069471784066529E-7</v>
      </c>
      <c r="BV13" s="208">
        <f t="shared" si="30"/>
        <v>2.526048362782177E-7</v>
      </c>
      <c r="BW13" s="208">
        <f t="shared" si="31"/>
        <v>4.0878459940311292E-7</v>
      </c>
      <c r="BX13" s="210">
        <f t="shared" ref="BX13:BZ14" si="44">$AK13/(BR13)</f>
        <v>2136567.8374709934</v>
      </c>
      <c r="BY13" s="211">
        <f t="shared" si="44"/>
        <v>1320273.2430960452</v>
      </c>
      <c r="BZ13" s="211">
        <f t="shared" si="44"/>
        <v>1632041.0930836406</v>
      </c>
      <c r="CA13" s="211">
        <f t="shared" si="33"/>
        <v>1397058.9038032352</v>
      </c>
      <c r="CB13" s="211">
        <f>$AK13/(BV13)</f>
        <v>1828943.605383531</v>
      </c>
      <c r="CC13" s="210">
        <f>$AK13/(BW13)</f>
        <v>1130179.5632090583</v>
      </c>
      <c r="CD13" s="22">
        <f t="shared" si="35"/>
        <v>1617409747.5848701</v>
      </c>
      <c r="CE13" s="22">
        <v>6.1827251968353004E-10</v>
      </c>
      <c r="CF13" s="11">
        <v>24.31</v>
      </c>
      <c r="CG13" s="32">
        <v>70.900000000000006</v>
      </c>
      <c r="CH13" s="25">
        <f>SUM(CF13:CG13)</f>
        <v>95.210000000000008</v>
      </c>
      <c r="CJ13" s="11">
        <f t="shared" si="43"/>
        <v>0.25533032244512127</v>
      </c>
      <c r="CK13" s="11">
        <f t="shared" si="9"/>
        <v>1.0656716604341934E+28</v>
      </c>
      <c r="CL13" s="11">
        <f t="shared" si="10"/>
        <v>2.1001605188213379E-11</v>
      </c>
      <c r="CM13" s="172">
        <v>2.36633694969138E-10</v>
      </c>
      <c r="CN13" s="172">
        <v>3.60692293590982E-10</v>
      </c>
      <c r="CO13" s="172">
        <v>3.5942460919017999E-10</v>
      </c>
      <c r="CP13" s="22">
        <f t="shared" si="11"/>
        <v>-4.9850741268392759E-23</v>
      </c>
      <c r="CQ13" s="22">
        <f t="shared" si="12"/>
        <v>8.8959035300169526E-26</v>
      </c>
      <c r="CR13" s="22">
        <f t="shared" si="13"/>
        <v>9.4827369345365731E-26</v>
      </c>
      <c r="CS13" s="25">
        <f t="shared" si="36"/>
        <v>0.93811560854521381</v>
      </c>
      <c r="CT13" s="22">
        <f t="shared" si="37"/>
        <v>-1.784507773339228E-3</v>
      </c>
      <c r="CU13" s="22">
        <f t="shared" si="38"/>
        <v>-1.9022258632990447E-3</v>
      </c>
      <c r="CV13" s="172">
        <f t="shared" si="14"/>
        <v>-1.648044734180387E-8</v>
      </c>
      <c r="CW13" s="172">
        <f t="shared" si="15"/>
        <v>7.093301817926188E-9</v>
      </c>
      <c r="CX13" s="172">
        <f t="shared" si="16"/>
        <v>7.1434259622889806E-9</v>
      </c>
      <c r="CY13" s="25">
        <f t="shared" si="39"/>
        <v>0.99298317857182195</v>
      </c>
      <c r="CZ13" s="25">
        <f t="shared" si="40"/>
        <v>-0.43040711643387891</v>
      </c>
      <c r="DA13" s="25">
        <f t="shared" si="41"/>
        <v>-0.43344854748991879</v>
      </c>
    </row>
    <row r="14" spans="1:105" s="11" customFormat="1" ht="20.25" customHeight="1" x14ac:dyDescent="0.25">
      <c r="A14" s="2" t="s">
        <v>29</v>
      </c>
      <c r="B14" s="30">
        <v>2.5</v>
      </c>
      <c r="C14" s="30"/>
      <c r="D14" s="30"/>
      <c r="E14" s="2">
        <v>1</v>
      </c>
      <c r="F14" s="2">
        <v>37</v>
      </c>
      <c r="G14" s="2">
        <v>36</v>
      </c>
      <c r="H14" s="22">
        <v>6.1887010299999994E-26</v>
      </c>
      <c r="I14" s="22">
        <v>3.2793788159999999E-29</v>
      </c>
      <c r="J14" s="24">
        <v>1939.5775080668341</v>
      </c>
      <c r="K14" s="24">
        <v>1.0277777777777777</v>
      </c>
      <c r="L14" s="26">
        <v>6.185421651184E-26</v>
      </c>
      <c r="M14" s="3">
        <v>110.98399999999999</v>
      </c>
      <c r="N14" s="11">
        <v>3.3595446651079881E-3</v>
      </c>
      <c r="O14" s="27">
        <v>9.5693779904306223E-4</v>
      </c>
      <c r="P14" s="3">
        <v>1045</v>
      </c>
      <c r="Q14" s="5">
        <v>5.3154147698835956E-5</v>
      </c>
      <c r="R14" s="5">
        <v>2.03E-4</v>
      </c>
      <c r="S14" s="32"/>
      <c r="T14" s="6">
        <v>1E-10</v>
      </c>
      <c r="U14" s="6">
        <v>1.81E-10</v>
      </c>
      <c r="V14" s="6">
        <v>2.8100000000000001E-10</v>
      </c>
      <c r="W14" s="6">
        <f t="shared" si="42"/>
        <v>8.0999999999999992E-11</v>
      </c>
      <c r="X14" s="6">
        <v>2087964.9999999995</v>
      </c>
      <c r="Y14" s="11">
        <v>2065.0300000000002</v>
      </c>
      <c r="Z14" s="11">
        <v>0</v>
      </c>
      <c r="AA14" s="11">
        <v>2.5299999999999998</v>
      </c>
      <c r="AB14" s="11">
        <v>-4.2299999999999998E-4</v>
      </c>
      <c r="AF14" s="11">
        <v>2</v>
      </c>
      <c r="AG14" s="11">
        <v>-2</v>
      </c>
      <c r="AH14" s="178"/>
      <c r="AI14" s="178"/>
      <c r="AJ14" s="193"/>
      <c r="AK14" s="178">
        <v>0.44782499999999897</v>
      </c>
      <c r="AL14" s="178" t="s">
        <v>113</v>
      </c>
      <c r="AM14" s="199">
        <f t="shared" si="17"/>
        <v>0.37024310108699071</v>
      </c>
      <c r="AN14" s="178">
        <v>0.42656474196147098</v>
      </c>
      <c r="AO14" s="178">
        <v>0.40039499504213499</v>
      </c>
      <c r="AP14" s="178">
        <v>3.0154839680000001E-10</v>
      </c>
      <c r="AQ14" s="178">
        <v>2.7884018267334601E-10</v>
      </c>
      <c r="AR14" s="201">
        <f t="shared" si="18"/>
        <v>2025115.9051940721</v>
      </c>
      <c r="AS14" s="181">
        <v>0.44097489408671398</v>
      </c>
      <c r="AT14" s="181">
        <f>AS14/BJ14*BL14</f>
        <v>0.46979693611752404</v>
      </c>
      <c r="AU14" s="201">
        <f>AS14/BJ14*BK14</f>
        <v>0.45538591510211907</v>
      </c>
      <c r="AV14" s="201">
        <f t="shared" si="19"/>
        <v>0.49477856340506143</v>
      </c>
      <c r="AW14" s="201">
        <f>AS14/BB14*BC14</f>
        <v>0.47912093316499721</v>
      </c>
      <c r="AX14" s="201">
        <f t="shared" si="20"/>
        <v>0.5104361936451256</v>
      </c>
      <c r="AY14" s="182">
        <v>1327796795.7750199</v>
      </c>
      <c r="AZ14" s="202">
        <f t="shared" si="21"/>
        <v>1414581362.3555317</v>
      </c>
      <c r="BA14" s="202">
        <f t="shared" si="22"/>
        <v>1371189079.0652759</v>
      </c>
      <c r="BB14" s="182">
        <v>3.3211022612034601E-10</v>
      </c>
      <c r="BC14" s="182">
        <v>3.6083904908456901E-10</v>
      </c>
      <c r="BD14" s="182">
        <v>7.0250000000000003E-11</v>
      </c>
      <c r="BE14" s="190">
        <f>AK14/AY14</f>
        <v>3.3726922781027543E-10</v>
      </c>
      <c r="BF14" s="203">
        <f t="shared" si="23"/>
        <v>4.395048603134841E-10</v>
      </c>
      <c r="BG14" s="203">
        <f t="shared" si="24"/>
        <v>4.5341331371158696E-10</v>
      </c>
      <c r="BH14" s="184">
        <v>2.13544061871601E-4</v>
      </c>
      <c r="BI14" s="204">
        <f t="shared" si="25"/>
        <v>2.3201645165687434E-4</v>
      </c>
      <c r="BJ14" s="183">
        <v>2065.0300000000002</v>
      </c>
      <c r="BK14" s="205">
        <f t="shared" si="26"/>
        <v>2132.5150000000003</v>
      </c>
      <c r="BL14" s="230">
        <v>2200</v>
      </c>
      <c r="BM14" s="183"/>
      <c r="BN14" s="191">
        <f>$AK14/BH14</f>
        <v>2097.1081849574707</v>
      </c>
      <c r="BO14" s="206">
        <f t="shared" si="27"/>
        <v>1930.1433014857096</v>
      </c>
      <c r="BP14" s="185">
        <v>102.533</v>
      </c>
      <c r="BQ14" s="186">
        <f>BP14/Q14</f>
        <v>1928974.5850302745</v>
      </c>
      <c r="BR14" s="186">
        <v>2.2860586008176599E-7</v>
      </c>
      <c r="BS14" s="186">
        <f>1/3*BL14*BB14</f>
        <v>2.4354749915492038E-7</v>
      </c>
      <c r="BT14" s="208">
        <f t="shared" si="28"/>
        <v>2.3607667961834324E-7</v>
      </c>
      <c r="BU14" s="208">
        <f t="shared" si="29"/>
        <v>2.5649822825285991E-7</v>
      </c>
      <c r="BV14" s="208">
        <f t="shared" si="30"/>
        <v>2.4838115384370252E-7</v>
      </c>
      <c r="BW14" s="208">
        <f t="shared" si="31"/>
        <v>2.6461530266201724E-7</v>
      </c>
      <c r="BX14" s="210">
        <f t="shared" si="44"/>
        <v>1958939.2845827502</v>
      </c>
      <c r="BY14" s="211">
        <f t="shared" si="44"/>
        <v>1838758.3594735984</v>
      </c>
      <c r="BZ14" s="211">
        <f t="shared" si="44"/>
        <v>1896947.215303018</v>
      </c>
      <c r="CA14" s="211">
        <f t="shared" si="33"/>
        <v>1745918.4924993953</v>
      </c>
      <c r="CB14" s="210">
        <f>$AK14/(BV14)</f>
        <v>1802974.956311699</v>
      </c>
      <c r="CC14" s="210">
        <f>$AK14/(BW14)</f>
        <v>1692362.4427419766</v>
      </c>
      <c r="CD14" s="22">
        <f t="shared" si="35"/>
        <v>1283421056.6482842</v>
      </c>
      <c r="CE14" s="22">
        <v>7.7916751857846874E-10</v>
      </c>
      <c r="CF14" s="11">
        <v>40.08</v>
      </c>
      <c r="CG14" s="32">
        <v>70.900000000000006</v>
      </c>
      <c r="CH14" s="25">
        <f>SUM(CF14:CG14)</f>
        <v>110.98</v>
      </c>
      <c r="CJ14" s="11">
        <f t="shared" si="43"/>
        <v>0.36114615245990267</v>
      </c>
      <c r="CK14" s="11">
        <f t="shared" si="9"/>
        <v>1.1329576826479489E+28</v>
      </c>
      <c r="CL14" s="11">
        <f t="shared" si="10"/>
        <v>2.0958341989755692E-11</v>
      </c>
      <c r="CM14" s="172">
        <v>2.7884018267334601E-10</v>
      </c>
      <c r="CN14" s="172">
        <v>3.6083904908456901E-10</v>
      </c>
      <c r="CO14" s="172">
        <v>3.7278880607214401E-10</v>
      </c>
      <c r="CP14" s="22">
        <f t="shared" si="11"/>
        <v>-5.5169302889417085E-24</v>
      </c>
      <c r="CQ14" s="22">
        <f t="shared" si="12"/>
        <v>8.5226678653207637E-26</v>
      </c>
      <c r="CR14" s="22">
        <f t="shared" si="13"/>
        <v>4.6645076217670404E-26</v>
      </c>
      <c r="CS14" s="25">
        <f t="shared" si="36"/>
        <v>1.8271312979636956</v>
      </c>
      <c r="CT14" s="22">
        <f t="shared" si="37"/>
        <v>-1.544820655501818E-2</v>
      </c>
      <c r="CU14" s="22">
        <f t="shared" si="38"/>
        <v>-8.454896794901889E-3</v>
      </c>
      <c r="CV14" s="172">
        <f t="shared" si="14"/>
        <v>-1.1868926737062473E-8</v>
      </c>
      <c r="CW14" s="172">
        <f t="shared" si="15"/>
        <v>7.0875332109788254E-9</v>
      </c>
      <c r="CX14" s="172">
        <f t="shared" si="16"/>
        <v>6.6404336257538526E-9</v>
      </c>
      <c r="CY14" s="25">
        <f t="shared" si="39"/>
        <v>1.0673298778999867</v>
      </c>
      <c r="CZ14" s="25">
        <f t="shared" si="40"/>
        <v>-0.59715030415066583</v>
      </c>
      <c r="DA14" s="25">
        <f t="shared" si="41"/>
        <v>-0.55948054721899332</v>
      </c>
    </row>
    <row r="15" spans="1:105" s="11" customFormat="1" ht="20.25" customHeight="1" x14ac:dyDescent="0.25">
      <c r="A15" s="2" t="s">
        <v>30</v>
      </c>
      <c r="B15" s="30"/>
      <c r="C15" s="30"/>
      <c r="D15" s="30"/>
      <c r="E15" s="2">
        <v>1</v>
      </c>
      <c r="F15" s="2">
        <v>55</v>
      </c>
      <c r="G15" s="2">
        <v>54</v>
      </c>
      <c r="H15" s="22">
        <v>9.1994204499999998E-26</v>
      </c>
      <c r="I15" s="22">
        <v>4.9190682239999996E-29</v>
      </c>
      <c r="J15" s="24">
        <v>1904.7875860407996</v>
      </c>
      <c r="K15" s="24">
        <v>1.0185185185185186</v>
      </c>
      <c r="L15" s="26">
        <v>9.1945013817760001E-26</v>
      </c>
      <c r="M15" s="3">
        <v>158.52600000000001</v>
      </c>
      <c r="N15" s="11">
        <v>3.78088190424221E-3</v>
      </c>
      <c r="O15" s="27">
        <v>8.7260034904013963E-4</v>
      </c>
      <c r="P15" s="3">
        <v>1146</v>
      </c>
      <c r="Q15" s="5">
        <v>5.811897000013199E-5</v>
      </c>
      <c r="R15" s="5">
        <v>2.12E-4</v>
      </c>
      <c r="S15" s="32"/>
      <c r="T15" s="6">
        <v>1.1800000000000001E-10</v>
      </c>
      <c r="U15" s="6">
        <v>1.81E-10</v>
      </c>
      <c r="V15" s="6">
        <v>2.99E-10</v>
      </c>
      <c r="W15" s="6">
        <f t="shared" si="42"/>
        <v>6.2999999999999989E-11</v>
      </c>
      <c r="X15" s="6">
        <v>2727612</v>
      </c>
      <c r="Y15" s="11">
        <v>1873.13</v>
      </c>
      <c r="Z15" s="11">
        <v>0</v>
      </c>
      <c r="AA15" s="11">
        <v>3.39</v>
      </c>
      <c r="AB15" s="11">
        <v>-5.7799999999999995E-4</v>
      </c>
      <c r="AC15" s="11">
        <v>1</v>
      </c>
      <c r="AD15" s="11">
        <v>2</v>
      </c>
      <c r="AE15" s="11">
        <v>3</v>
      </c>
      <c r="AF15" s="11">
        <v>2</v>
      </c>
      <c r="AG15" s="11">
        <v>-2</v>
      </c>
      <c r="AH15" s="178"/>
      <c r="AI15" s="178"/>
      <c r="AJ15" s="193"/>
      <c r="AK15" s="178">
        <v>0.380772</v>
      </c>
      <c r="AL15" s="178" t="s">
        <v>113</v>
      </c>
      <c r="AM15" s="199">
        <f t="shared" si="17"/>
        <v>0.32666098973626601</v>
      </c>
      <c r="AN15" s="178"/>
      <c r="AO15" s="178">
        <v>0.36759447686851399</v>
      </c>
      <c r="AP15" s="178">
        <v>3.2712108429999999E-10</v>
      </c>
      <c r="AQ15" s="178">
        <v>2.9069451225530999E-10</v>
      </c>
      <c r="AR15" s="201">
        <f t="shared" si="18"/>
        <v>1864274.2594016758</v>
      </c>
      <c r="AS15" s="181">
        <v>0.48314180608273199</v>
      </c>
      <c r="AT15" s="181"/>
      <c r="AU15" s="201"/>
      <c r="AV15" s="201"/>
      <c r="AW15" s="201">
        <f>AS15/BB15*BC15</f>
        <v>0.55522074200137805</v>
      </c>
      <c r="AX15" s="201"/>
      <c r="AY15" s="182">
        <v>1123726028.4066401</v>
      </c>
      <c r="AZ15" s="202"/>
      <c r="BA15" s="202"/>
      <c r="BB15" s="182">
        <v>4.2994626258483001E-10</v>
      </c>
      <c r="BC15" s="182">
        <v>4.9408906438577101E-10</v>
      </c>
      <c r="BD15" s="182">
        <v>7.475E-11</v>
      </c>
      <c r="BE15" s="190">
        <f>AK15/AY15</f>
        <v>3.3884771765935365E-10</v>
      </c>
      <c r="BF15" s="190"/>
      <c r="BG15" s="203"/>
      <c r="BH15" s="184">
        <v>2.57932874964755E-4</v>
      </c>
      <c r="BI15" s="204">
        <f>BH15/BB15*BC15</f>
        <v>2.9641335198377983E-4</v>
      </c>
      <c r="BJ15" s="183">
        <v>1873.13</v>
      </c>
      <c r="BK15" s="183"/>
      <c r="BL15" s="183">
        <v>1873.13</v>
      </c>
      <c r="BM15" s="183"/>
      <c r="BN15" s="191">
        <f>$AK15/BH15</f>
        <v>1476.2445463845206</v>
      </c>
      <c r="BO15" s="206">
        <f>$AK15/BI15</f>
        <v>1284.5980029294915</v>
      </c>
      <c r="BP15" s="185">
        <v>104.6</v>
      </c>
      <c r="BQ15" s="186">
        <f>BP15/Q15</f>
        <v>1799756.6027023955</v>
      </c>
      <c r="BR15" s="186">
        <v>2.68448414278508E-7</v>
      </c>
      <c r="BS15" s="186"/>
      <c r="BT15" s="208"/>
      <c r="BU15" s="208"/>
      <c r="BV15" s="208">
        <f t="shared" si="30"/>
        <v>3.0849768305763975E-7</v>
      </c>
      <c r="BW15" s="208"/>
      <c r="BX15" s="210">
        <f>$AK15/(BR15)</f>
        <v>1418417.7657498075</v>
      </c>
      <c r="BY15" s="210"/>
      <c r="BZ15" s="211"/>
      <c r="CA15" s="211"/>
      <c r="CB15" s="210">
        <f>$AK15/(BV15)</f>
        <v>1234278.3136198027</v>
      </c>
      <c r="CC15" s="210"/>
      <c r="CD15" s="22">
        <f t="shared" si="35"/>
        <v>1351317495.4836404</v>
      </c>
      <c r="CE15" s="22">
        <v>7.4001853993764589E-10</v>
      </c>
      <c r="CF15" s="11">
        <v>87.62</v>
      </c>
      <c r="CG15" s="32">
        <v>70.900000000000006</v>
      </c>
      <c r="CH15" s="25">
        <f>SUM(CF15:CG15)</f>
        <v>158.52000000000001</v>
      </c>
      <c r="CJ15" s="11">
        <f t="shared" si="43"/>
        <v>0.55273782488014134</v>
      </c>
      <c r="CK15" s="11">
        <f t="shared" si="9"/>
        <v>1.0361745915294651E+28</v>
      </c>
      <c r="CL15" s="11">
        <f t="shared" si="10"/>
        <v>2.2949935082211439E-11</v>
      </c>
      <c r="CM15" s="172">
        <v>2.9069451225530999E-10</v>
      </c>
      <c r="CN15" s="172">
        <v>4.9408906438577101E-10</v>
      </c>
      <c r="CO15" s="172">
        <v>3.7844741538236401E-10</v>
      </c>
      <c r="CP15" s="22">
        <f t="shared" si="11"/>
        <v>-1.0016365935594962E-23</v>
      </c>
      <c r="CQ15" s="22">
        <f t="shared" si="12"/>
        <v>8.3443533954109139E-28</v>
      </c>
      <c r="CR15" s="22">
        <f t="shared" si="13"/>
        <v>1.6809086523566032E-25</v>
      </c>
      <c r="CS15" s="25">
        <f t="shared" si="36"/>
        <v>4.9641920658283741E-3</v>
      </c>
      <c r="CT15" s="22">
        <f t="shared" si="37"/>
        <v>-8.3307193937052053E-5</v>
      </c>
      <c r="CU15" s="22">
        <f t="shared" si="38"/>
        <v>-1.6781621829362197E-2</v>
      </c>
      <c r="CV15" s="172">
        <f t="shared" si="14"/>
        <v>-1.0920650285607979E-8</v>
      </c>
      <c r="CW15" s="172">
        <f t="shared" si="15"/>
        <v>3.7801730593014461E-9</v>
      </c>
      <c r="CX15" s="172">
        <f t="shared" si="16"/>
        <v>6.4433404522461721E-9</v>
      </c>
      <c r="CY15" s="25">
        <f t="shared" si="39"/>
        <v>0.58667908165300564</v>
      </c>
      <c r="CZ15" s="25">
        <f t="shared" si="40"/>
        <v>-0.34614908090988233</v>
      </c>
      <c r="DA15" s="25">
        <f t="shared" si="41"/>
        <v>-0.59001435663017898</v>
      </c>
    </row>
    <row r="16" spans="1:105" s="11" customFormat="1" ht="20.25" customHeight="1" x14ac:dyDescent="0.25">
      <c r="A16" s="2" t="s">
        <v>31</v>
      </c>
      <c r="B16" s="30">
        <v>0.3</v>
      </c>
      <c r="C16" s="30"/>
      <c r="D16" s="30"/>
      <c r="E16" s="2">
        <v>1</v>
      </c>
      <c r="F16" s="2">
        <v>26</v>
      </c>
      <c r="G16" s="2">
        <v>25</v>
      </c>
      <c r="H16" s="22">
        <v>4.3488169400000001E-26</v>
      </c>
      <c r="I16" s="22">
        <v>2.2773463999999997E-29</v>
      </c>
      <c r="J16" s="24">
        <v>1985.9822895629759</v>
      </c>
      <c r="K16" s="24">
        <v>1.04</v>
      </c>
      <c r="L16" s="26">
        <v>4.3465395936000002E-26</v>
      </c>
      <c r="M16" s="3">
        <v>84.99</v>
      </c>
      <c r="O16" s="27">
        <v>1.7148246591785991E-3</v>
      </c>
      <c r="P16" s="3">
        <v>583.15</v>
      </c>
      <c r="Q16" s="5">
        <v>4.4669999999999998E-5</v>
      </c>
      <c r="R16" s="5">
        <v>3.7599999999999998E-4</v>
      </c>
      <c r="S16" s="32"/>
      <c r="T16" s="6">
        <v>1.02E-10</v>
      </c>
      <c r="U16" s="6">
        <v>2.31E-10</v>
      </c>
      <c r="V16" s="6">
        <v>3.3299999999999999E-10</v>
      </c>
      <c r="W16" s="6">
        <f t="shared" si="42"/>
        <v>1.2900000000000002E-10</v>
      </c>
      <c r="X16" s="6">
        <v>1886915.5249999999</v>
      </c>
      <c r="Y16" s="11">
        <v>2490.4882499999999</v>
      </c>
      <c r="Z16" s="11">
        <v>-1.155</v>
      </c>
      <c r="AA16" s="11">
        <v>2.3338999999999999</v>
      </c>
      <c r="AB16" s="11">
        <v>-7.6650000000000004E-4</v>
      </c>
      <c r="AC16" s="11">
        <v>2</v>
      </c>
      <c r="AD16" s="11">
        <v>3</v>
      </c>
      <c r="AE16" s="11">
        <v>5</v>
      </c>
      <c r="AF16" s="11">
        <v>3</v>
      </c>
      <c r="AG16" s="11">
        <v>-3</v>
      </c>
      <c r="AH16" s="178"/>
      <c r="AI16" s="178"/>
      <c r="AJ16" s="193"/>
      <c r="AK16" s="178">
        <v>0.59593560000000001</v>
      </c>
      <c r="AL16" s="178"/>
      <c r="AM16" s="199">
        <f t="shared" si="17"/>
        <v>0.38288813854392989</v>
      </c>
      <c r="AN16" s="178">
        <v>0.54571904518309799</v>
      </c>
      <c r="AO16" s="178">
        <v>0.54571904518309799</v>
      </c>
      <c r="AP16" s="178">
        <v>2.9210006750000005E-10</v>
      </c>
      <c r="AQ16" s="178">
        <v>2.0494364655370699E-10</v>
      </c>
      <c r="AR16" s="201">
        <f t="shared" si="18"/>
        <v>3368572.905765628</v>
      </c>
      <c r="AS16" s="181"/>
      <c r="AT16" s="181"/>
      <c r="AU16" s="181"/>
      <c r="AV16" s="181"/>
      <c r="AW16" s="181"/>
      <c r="AX16" s="181"/>
      <c r="AY16" s="182"/>
      <c r="AZ16" s="182"/>
      <c r="BA16" s="182"/>
      <c r="BB16" s="182"/>
      <c r="BC16" s="182">
        <v>4.2035554602204399E-10</v>
      </c>
      <c r="BD16" s="182"/>
      <c r="BE16" s="189"/>
      <c r="BF16" s="189"/>
      <c r="BG16" s="189"/>
      <c r="BH16" s="184"/>
      <c r="BI16" s="204"/>
      <c r="BJ16" s="183">
        <v>1816.9499999999998</v>
      </c>
      <c r="BK16" s="183"/>
      <c r="BL16" s="183">
        <v>1816.9499999999998</v>
      </c>
      <c r="BM16" s="183"/>
      <c r="BN16" s="191"/>
      <c r="BO16" s="191"/>
      <c r="BP16" s="185">
        <v>155.6</v>
      </c>
      <c r="BQ16" s="186"/>
      <c r="BR16" s="180"/>
      <c r="BS16" s="186"/>
      <c r="BT16" s="208"/>
      <c r="BU16" s="208"/>
      <c r="BV16" s="208">
        <f>1/3*BJ16*BC16</f>
        <v>2.545883364482509E-7</v>
      </c>
      <c r="BW16" s="208"/>
      <c r="BX16" s="192"/>
      <c r="BY16" s="192"/>
      <c r="BZ16" s="192"/>
      <c r="CA16" s="192"/>
      <c r="CB16" s="192"/>
      <c r="CC16" s="192"/>
      <c r="CD16" s="22" t="e">
        <f t="shared" si="35"/>
        <v>#DIV/0!</v>
      </c>
      <c r="CE16" s="22"/>
      <c r="CF16" s="32"/>
      <c r="CG16" s="32"/>
      <c r="CH16" s="32"/>
      <c r="CJ16" s="22"/>
      <c r="CK16" s="11">
        <f t="shared" si="9"/>
        <v>1.3481396910678308E+28</v>
      </c>
      <c r="CL16" s="11">
        <f t="shared" si="10"/>
        <v>1.4352525075244772E-11</v>
      </c>
    </row>
    <row r="17" spans="1:99" s="11" customFormat="1" ht="20.25" customHeight="1" x14ac:dyDescent="0.25">
      <c r="A17" s="2" t="s">
        <v>32</v>
      </c>
      <c r="B17" s="30">
        <v>0.2</v>
      </c>
      <c r="C17" s="30"/>
      <c r="D17" s="30"/>
      <c r="E17" s="2">
        <v>1</v>
      </c>
      <c r="F17" s="2">
        <v>34</v>
      </c>
      <c r="G17" s="2">
        <v>33</v>
      </c>
      <c r="H17" s="22">
        <v>5.6869144599999998E-26</v>
      </c>
      <c r="I17" s="22">
        <v>3.0060972479999997E-29</v>
      </c>
      <c r="J17" s="24">
        <v>1949.1203104325261</v>
      </c>
      <c r="K17" s="24">
        <v>1.0303030303030303</v>
      </c>
      <c r="L17" s="26">
        <v>5.6839083627519992E-26</v>
      </c>
      <c r="M17" s="3">
        <v>101.1</v>
      </c>
      <c r="O17" s="27">
        <v>1.6389412439564042E-3</v>
      </c>
      <c r="P17" s="3">
        <v>610.15</v>
      </c>
      <c r="Q17" s="5">
        <v>5.4060000000000001E-5</v>
      </c>
      <c r="R17" s="5">
        <v>3.8999999999999999E-4</v>
      </c>
      <c r="S17" s="32"/>
      <c r="T17" s="6">
        <v>1.3799999999999999E-10</v>
      </c>
      <c r="U17" s="6">
        <v>2.31E-10</v>
      </c>
      <c r="V17" s="6">
        <v>3.6899999999999997E-10</v>
      </c>
      <c r="W17" s="6">
        <f t="shared" si="42"/>
        <v>9.3000000000000015E-11</v>
      </c>
      <c r="X17" s="6">
        <v>1870200.65</v>
      </c>
      <c r="Y17" s="11">
        <v>2449.9279999999999</v>
      </c>
      <c r="Z17" s="11">
        <v>-1.1200000000000001</v>
      </c>
      <c r="AA17" s="11">
        <v>2.3149999999999999</v>
      </c>
      <c r="AB17" s="11">
        <v>-7.2900000000000005E-4</v>
      </c>
      <c r="AC17" s="11">
        <v>2</v>
      </c>
      <c r="AD17" s="11">
        <v>3</v>
      </c>
      <c r="AE17" s="11">
        <v>5</v>
      </c>
      <c r="AF17" s="11">
        <v>3</v>
      </c>
      <c r="AG17" s="11">
        <v>-3</v>
      </c>
      <c r="AH17" s="178"/>
      <c r="AI17" s="178"/>
      <c r="AJ17" s="193"/>
      <c r="AK17" s="178">
        <v>0.14599400000000001</v>
      </c>
      <c r="AL17" s="178"/>
      <c r="AM17" s="199"/>
      <c r="AN17" s="178"/>
      <c r="AO17" s="178"/>
      <c r="AP17" s="178"/>
      <c r="AQ17" s="178"/>
      <c r="AR17" s="201"/>
      <c r="AS17" s="181"/>
      <c r="AT17" s="181"/>
      <c r="AU17" s="181"/>
      <c r="AV17" s="181"/>
      <c r="AW17" s="181"/>
      <c r="AX17" s="181"/>
      <c r="AY17" s="182"/>
      <c r="AZ17" s="182"/>
      <c r="BA17" s="182"/>
      <c r="BB17" s="182"/>
      <c r="BC17" s="182"/>
      <c r="BD17" s="182"/>
      <c r="BE17" s="189"/>
      <c r="BF17" s="189"/>
      <c r="BG17" s="189"/>
      <c r="BH17" s="184"/>
      <c r="BI17" s="184"/>
      <c r="BJ17" s="183">
        <v>1766.56</v>
      </c>
      <c r="BK17" s="183"/>
      <c r="BL17" s="183">
        <v>1766.56</v>
      </c>
      <c r="BM17" s="183"/>
      <c r="BN17" s="191"/>
      <c r="BO17" s="191"/>
      <c r="BP17" s="185">
        <v>141</v>
      </c>
      <c r="BQ17" s="186"/>
      <c r="BR17" s="180"/>
      <c r="BS17" s="186"/>
      <c r="BT17" s="186"/>
      <c r="BU17" s="186"/>
      <c r="BV17" s="186"/>
      <c r="BW17" s="180"/>
      <c r="BX17" s="192"/>
      <c r="BY17" s="192"/>
      <c r="BZ17" s="192"/>
      <c r="CA17" s="192"/>
      <c r="CB17" s="192"/>
      <c r="CC17" s="192"/>
      <c r="CD17" s="22" t="e">
        <f t="shared" si="35"/>
        <v>#DIV/0!</v>
      </c>
      <c r="CE17" s="22"/>
      <c r="CF17" s="32"/>
      <c r="CG17" s="32"/>
      <c r="CH17" s="32"/>
      <c r="CJ17" s="22"/>
      <c r="CK17" s="11">
        <f t="shared" si="9"/>
        <v>1.1139733629300775E+28</v>
      </c>
      <c r="CL17" s="11">
        <f t="shared" si="10"/>
        <v>1.6150520619007024E-11</v>
      </c>
    </row>
    <row r="18" spans="1:99" x14ac:dyDescent="0.25">
      <c r="A18" s="4" t="s">
        <v>38</v>
      </c>
      <c r="B18" s="31"/>
      <c r="C18" s="31"/>
      <c r="D18" s="31"/>
      <c r="E18" s="11">
        <v>2</v>
      </c>
      <c r="F18" s="25">
        <v>12.34</v>
      </c>
      <c r="G18" s="25">
        <v>11.34</v>
      </c>
      <c r="H18" s="22">
        <f t="shared" ref="H18:H23" si="45">F18*1.6726219E-27</f>
        <v>2.0640154245999999E-26</v>
      </c>
      <c r="I18" s="22">
        <f t="shared" ref="I18:I23" si="46">G18*9.1093856E-31</f>
        <v>1.0330043270399999E-29</v>
      </c>
      <c r="J18" s="24">
        <f t="shared" ref="J18:J23" si="47">((H18*F18)/(I18*G18))</f>
        <v>2174.2671429464549</v>
      </c>
      <c r="K18" s="24">
        <f t="shared" ref="K18:K23" si="48">F18/G18</f>
        <v>1.088183421516755</v>
      </c>
      <c r="L18" s="26">
        <f t="shared" ref="L18:L23" si="49">(H18)-(I18)</f>
        <v>2.06298242027296E-26</v>
      </c>
      <c r="M18" s="4">
        <v>33.103140000000003</v>
      </c>
      <c r="N18" s="11">
        <f>0.116*EXP(31200/(8.3144598*P18))/1000</f>
        <v>1.9398692129051695E-2</v>
      </c>
      <c r="O18" s="27">
        <f t="shared" ref="O18:O23" si="50">P18^-1</f>
        <v>1.364256480218281E-3</v>
      </c>
      <c r="P18" s="4">
        <v>733</v>
      </c>
      <c r="Q18" s="4">
        <v>1.6714173769923689E-5</v>
      </c>
      <c r="R18" s="4">
        <v>1.409526898683356E-4</v>
      </c>
      <c r="X18" s="8">
        <v>1986063.3540000001</v>
      </c>
      <c r="Y18" s="4">
        <v>2547.6863757231322</v>
      </c>
      <c r="AC18" s="4">
        <v>2</v>
      </c>
      <c r="AD18" s="4">
        <v>3</v>
      </c>
      <c r="AE18" s="11">
        <f>AC18+AD18</f>
        <v>5</v>
      </c>
      <c r="AH18" s="178"/>
      <c r="AI18" s="178"/>
      <c r="AJ18" s="178">
        <v>0.98602842355479803</v>
      </c>
      <c r="AK18" s="178">
        <v>1.18</v>
      </c>
      <c r="AL18" s="178"/>
      <c r="AM18" s="199">
        <v>1.0187917505808699</v>
      </c>
      <c r="AN18" s="178">
        <v>1.28305844543897</v>
      </c>
      <c r="AO18" s="178">
        <v>1.28305844543897</v>
      </c>
      <c r="AP18" s="178">
        <v>2.090905522E-10</v>
      </c>
      <c r="AQ18" s="178">
        <v>1.6602500929042107E-10</v>
      </c>
      <c r="AR18" s="201">
        <f>AK18/2.41471418628523E-07</f>
        <v>4886706.7030210271</v>
      </c>
      <c r="AS18" s="181">
        <v>1.2641169574941</v>
      </c>
      <c r="AT18" s="181">
        <v>1.2641169574941</v>
      </c>
      <c r="AU18" s="181">
        <v>1.2641169574941</v>
      </c>
      <c r="AV18" s="181">
        <v>1.2641169574941</v>
      </c>
      <c r="AW18" s="181">
        <v>1.2641169574941</v>
      </c>
      <c r="AX18" s="181">
        <v>1.2641169574941</v>
      </c>
      <c r="AY18" s="182">
        <v>6136375549.3502598</v>
      </c>
      <c r="AZ18" s="182"/>
      <c r="BA18" s="182"/>
      <c r="BB18" s="182">
        <v>2.06003844994128E-10</v>
      </c>
      <c r="BC18" s="182"/>
      <c r="BD18" s="182">
        <v>4.2509000000000002E-11</v>
      </c>
      <c r="BE18" s="190">
        <f>AK18/AY18</f>
        <v>1.9229592297768383E-10</v>
      </c>
      <c r="BF18" s="189"/>
      <c r="BG18" s="189"/>
      <c r="BH18" s="184">
        <v>3.64867161248093E-4</v>
      </c>
      <c r="BI18" s="184"/>
      <c r="BJ18" s="183">
        <f t="shared" ref="BJ18:BJ23" si="51">Y18+Z18*P18</f>
        <v>2547.6863757231322</v>
      </c>
      <c r="BK18" s="183"/>
      <c r="BL18" s="183">
        <v>2547.6863757231322</v>
      </c>
      <c r="BM18" s="183"/>
      <c r="BN18" s="191">
        <f t="shared" ref="BN18:BN23" si="52">$AK18/BH18</f>
        <v>3234.0537196156542</v>
      </c>
      <c r="BO18" s="191"/>
      <c r="BP18" s="185">
        <v>72.25800000000001</v>
      </c>
      <c r="BQ18" s="186">
        <f t="shared" ref="BQ18:BQ23" si="53">BP18/Q18</f>
        <v>4323157.1595853949</v>
      </c>
      <c r="BR18" s="180">
        <v>2.6515208606205915E-7</v>
      </c>
      <c r="BS18" s="180"/>
      <c r="BT18" s="180"/>
      <c r="BU18" s="180"/>
      <c r="BV18" s="180"/>
      <c r="BW18" s="180"/>
      <c r="BX18" s="192">
        <f t="shared" ref="BX18:BX23" si="54">$AK18/(BR18)</f>
        <v>4450276.1321810596</v>
      </c>
      <c r="BY18" s="192"/>
      <c r="BZ18" s="192"/>
      <c r="CA18" s="192"/>
      <c r="CB18" s="192"/>
      <c r="CC18" s="192"/>
      <c r="CD18" s="22">
        <f t="shared" si="35"/>
        <v>260835447.80480725</v>
      </c>
      <c r="CE18" s="8">
        <f t="shared" ref="CE18:CE23" si="55">N18/(X18/1000*(Y18+Z18*P18))</f>
        <v>3.8338347353322035E-9</v>
      </c>
      <c r="CF18"/>
      <c r="CG18"/>
      <c r="CH18"/>
      <c r="CI18" s="4"/>
      <c r="CJ18" s="8"/>
      <c r="CK18" s="11">
        <f t="shared" si="9"/>
        <v>3.603013874868608E+28</v>
      </c>
      <c r="CL18" s="11">
        <f t="shared" si="10"/>
        <v>9.8429355610459986E-12</v>
      </c>
      <c r="CP18" s="4"/>
      <c r="CQ18" s="4"/>
      <c r="CR18" s="4"/>
      <c r="CS18" s="4"/>
    </row>
    <row r="19" spans="1:99" x14ac:dyDescent="0.25">
      <c r="A19" s="4" t="s">
        <v>39</v>
      </c>
      <c r="B19" s="31"/>
      <c r="C19" s="31"/>
      <c r="D19" s="31"/>
      <c r="E19" s="11">
        <v>3</v>
      </c>
      <c r="F19" s="25">
        <v>19.64</v>
      </c>
      <c r="G19" s="25">
        <v>19.64</v>
      </c>
      <c r="H19" s="22">
        <f t="shared" si="45"/>
        <v>3.2850294116000003E-26</v>
      </c>
      <c r="I19" s="22">
        <f t="shared" si="46"/>
        <v>1.78908333184E-29</v>
      </c>
      <c r="J19" s="24">
        <f t="shared" si="47"/>
        <v>1836.1522647586683</v>
      </c>
      <c r="K19" s="24">
        <f t="shared" si="48"/>
        <v>1</v>
      </c>
      <c r="L19" s="26">
        <f t="shared" si="49"/>
        <v>3.2832403282681602E-26</v>
      </c>
      <c r="M19" s="4">
        <v>41.290994999999988</v>
      </c>
      <c r="N19" s="11">
        <f>10^(0.213+-1200/P19+1350000/P19^2)/1000</f>
        <v>1.2003439447166342E-2</v>
      </c>
      <c r="O19" s="27">
        <f t="shared" si="50"/>
        <v>1.3605442176870747E-3</v>
      </c>
      <c r="P19" s="4">
        <v>735</v>
      </c>
      <c r="Q19" s="4">
        <v>1.9405588331960499E-5</v>
      </c>
      <c r="R19" s="4">
        <v>3.1252324985815613E-4</v>
      </c>
      <c r="X19" s="8">
        <v>2102415.4449999998</v>
      </c>
      <c r="Y19" s="4">
        <v>2012.468707779205</v>
      </c>
      <c r="AC19" s="4">
        <v>3</v>
      </c>
      <c r="AD19" s="4">
        <v>3</v>
      </c>
      <c r="AE19" s="11">
        <f>AC19+AD19</f>
        <v>6</v>
      </c>
      <c r="AH19" s="178"/>
      <c r="AI19" s="178"/>
      <c r="AJ19" s="193"/>
      <c r="AK19" s="178">
        <v>0.78633287605038305</v>
      </c>
      <c r="AL19" s="178"/>
      <c r="AM19" s="199">
        <f>AO19/AP19*AQ19</f>
        <v>0.68591483111751272</v>
      </c>
      <c r="AN19" s="178">
        <v>0.85046707066330796</v>
      </c>
      <c r="AO19" s="178">
        <v>0.85046707066330796</v>
      </c>
      <c r="AP19" s="178">
        <v>2.6189981379999998E-10</v>
      </c>
      <c r="AQ19" s="178">
        <v>2.1122624584656404E-10</v>
      </c>
      <c r="AR19" s="201">
        <f>AK19/2.05953648575423E-07</f>
        <v>3818008.9621593538</v>
      </c>
      <c r="AS19" s="181">
        <v>0.84284465559077204</v>
      </c>
      <c r="AT19" s="181">
        <v>0.84284465559077204</v>
      </c>
      <c r="AU19" s="181">
        <v>0.84284465559077204</v>
      </c>
      <c r="AV19" s="181">
        <v>0.84284465559077204</v>
      </c>
      <c r="AW19" s="181">
        <v>0.84284465559077204</v>
      </c>
      <c r="AX19" s="181">
        <v>0.84284465559077204</v>
      </c>
      <c r="AY19" s="182">
        <v>3247299256.6262999</v>
      </c>
      <c r="AZ19" s="182"/>
      <c r="BA19" s="182"/>
      <c r="BB19" s="182">
        <v>2.5955250470707202E-10</v>
      </c>
      <c r="BC19" s="182"/>
      <c r="BD19" s="182">
        <v>4.3781312500000001E-11</v>
      </c>
      <c r="BE19" s="189">
        <f>AK19/AY19</f>
        <v>2.4214980323905345E-10</v>
      </c>
      <c r="BF19" s="189"/>
      <c r="BG19" s="189"/>
      <c r="BH19" s="184">
        <v>3.5726624232913199E-4</v>
      </c>
      <c r="BI19" s="184"/>
      <c r="BJ19" s="183">
        <f t="shared" si="51"/>
        <v>2012.468707779205</v>
      </c>
      <c r="BK19" s="183"/>
      <c r="BL19" s="183">
        <v>2012.468707779205</v>
      </c>
      <c r="BM19" s="183"/>
      <c r="BN19" s="191">
        <f t="shared" si="52"/>
        <v>2200.9716645044032</v>
      </c>
      <c r="BO19" s="191"/>
      <c r="BP19" s="185">
        <v>66.024000000000001</v>
      </c>
      <c r="BQ19" s="186">
        <f t="shared" si="53"/>
        <v>3402318.9027080508</v>
      </c>
      <c r="BR19" s="180">
        <v>2.1033914784311533E-7</v>
      </c>
      <c r="BS19" s="180"/>
      <c r="BT19" s="180"/>
      <c r="BU19" s="180"/>
      <c r="BV19" s="180"/>
      <c r="BW19" s="180"/>
      <c r="BX19" s="192">
        <f t="shared" si="54"/>
        <v>3738404.7815810372</v>
      </c>
      <c r="BY19" s="192"/>
      <c r="BZ19" s="192"/>
      <c r="CA19" s="192"/>
      <c r="CB19" s="192"/>
      <c r="CC19" s="192"/>
      <c r="CD19" s="22">
        <f t="shared" si="35"/>
        <v>352486078.0476563</v>
      </c>
      <c r="CE19" s="8">
        <f t="shared" si="55"/>
        <v>2.8369914793196441E-9</v>
      </c>
      <c r="CF19"/>
      <c r="CG19"/>
      <c r="CH19"/>
      <c r="CI19" s="4"/>
      <c r="CJ19" s="8"/>
      <c r="CK19" s="11">
        <f t="shared" si="9"/>
        <v>3.1033019442557644E+28</v>
      </c>
      <c r="CL19" s="11">
        <f t="shared" si="10"/>
        <v>1.0620311979487752E-11</v>
      </c>
      <c r="CP19" s="4"/>
      <c r="CQ19" s="4"/>
      <c r="CR19" s="4"/>
      <c r="CS19" s="4"/>
    </row>
    <row r="20" spans="1:99" x14ac:dyDescent="0.25">
      <c r="A20" s="4" t="s">
        <v>45</v>
      </c>
      <c r="B20" s="31"/>
      <c r="C20" s="31"/>
      <c r="D20" s="31"/>
      <c r="E20" s="11">
        <v>2</v>
      </c>
      <c r="F20" s="25">
        <v>15.2</v>
      </c>
      <c r="G20" s="25">
        <v>15.2</v>
      </c>
      <c r="H20" s="22">
        <f t="shared" si="45"/>
        <v>2.5423852879999997E-26</v>
      </c>
      <c r="I20" s="22">
        <f t="shared" si="46"/>
        <v>1.3846266111999999E-29</v>
      </c>
      <c r="J20" s="24">
        <f t="shared" si="47"/>
        <v>1836.152264758668</v>
      </c>
      <c r="K20" s="24">
        <f t="shared" si="48"/>
        <v>1</v>
      </c>
      <c r="L20" s="26">
        <f t="shared" si="49"/>
        <v>2.5410006613887998E-26</v>
      </c>
      <c r="M20" s="4">
        <v>32.358600000000003</v>
      </c>
      <c r="N20" s="11">
        <f>0.116*EXP(26800/(8.3144598*P20))/1000</f>
        <v>3.9071251973790879E-3</v>
      </c>
      <c r="O20" s="27">
        <f t="shared" si="50"/>
        <v>1.0911074740861974E-3</v>
      </c>
      <c r="P20" s="4">
        <v>916.5</v>
      </c>
      <c r="Q20" s="4">
        <v>1.5885583505580338E-5</v>
      </c>
      <c r="R20" s="4">
        <v>2.7773488865206569E-4</v>
      </c>
      <c r="X20" s="8">
        <v>2014141.42</v>
      </c>
      <c r="Y20" s="4">
        <v>2298.228366828082</v>
      </c>
      <c r="AC20" s="4">
        <v>2</v>
      </c>
      <c r="AD20" s="4">
        <v>2</v>
      </c>
      <c r="AE20" s="11">
        <f>AC20+AD20</f>
        <v>4</v>
      </c>
      <c r="AH20" s="178"/>
      <c r="AI20" s="178"/>
      <c r="AJ20" s="193"/>
      <c r="AK20" s="178">
        <v>0.86544945017474995</v>
      </c>
      <c r="AL20" s="178"/>
      <c r="AM20" s="199">
        <f t="shared" si="17"/>
        <v>0.64595928661301927</v>
      </c>
      <c r="AN20" s="178">
        <v>0.73223097949286997</v>
      </c>
      <c r="AO20" s="178">
        <v>0.73223097949286997</v>
      </c>
      <c r="AP20" s="178">
        <v>2.1702517760000003E-10</v>
      </c>
      <c r="AQ20" s="178">
        <v>1.9145520037495888E-10</v>
      </c>
      <c r="AR20" s="201">
        <f>AK20/1.74653398950553E-07</f>
        <v>4955239.6653887713</v>
      </c>
      <c r="AS20" s="181">
        <v>0.93676902087574598</v>
      </c>
      <c r="AT20" s="181">
        <v>0.93676902087574598</v>
      </c>
      <c r="AU20" s="181">
        <v>0.93676902087574598</v>
      </c>
      <c r="AV20" s="181">
        <v>0.93676902087574598</v>
      </c>
      <c r="AW20" s="181">
        <v>0.93676902087574598</v>
      </c>
      <c r="AX20" s="181">
        <v>0.93676902087574598</v>
      </c>
      <c r="AY20" s="182">
        <v>3639311303.4173899</v>
      </c>
      <c r="AZ20" s="182"/>
      <c r="BA20" s="182"/>
      <c r="BB20" s="182">
        <v>2.4173581555363199E-10</v>
      </c>
      <c r="BC20" s="182"/>
      <c r="BD20" s="182">
        <v>4.4170000000000001E-11</v>
      </c>
      <c r="BE20" s="189">
        <f>AK20/AY20</f>
        <v>2.3780583138410686E-10</v>
      </c>
      <c r="BF20" s="189"/>
      <c r="BG20" s="189"/>
      <c r="BH20" s="184">
        <v>3.3782423562883098E-4</v>
      </c>
      <c r="BI20" s="184"/>
      <c r="BJ20" s="183">
        <f t="shared" si="51"/>
        <v>2298.228366828082</v>
      </c>
      <c r="BK20" s="183"/>
      <c r="BL20" s="183">
        <v>2298.228366828082</v>
      </c>
      <c r="BM20" s="183"/>
      <c r="BN20" s="191">
        <f t="shared" si="52"/>
        <v>2561.8335184383373</v>
      </c>
      <c r="BO20" s="191"/>
      <c r="BP20" s="185">
        <v>66.600000000000009</v>
      </c>
      <c r="BQ20" s="186">
        <f t="shared" si="53"/>
        <v>4192480.558023226</v>
      </c>
      <c r="BR20" s="180">
        <v>2.0984042115629121E-7</v>
      </c>
      <c r="BS20" s="180"/>
      <c r="BT20" s="180"/>
      <c r="BU20" s="180"/>
      <c r="BV20" s="180"/>
      <c r="BW20" s="180"/>
      <c r="BX20" s="192">
        <f t="shared" si="54"/>
        <v>4124321.9271379304</v>
      </c>
      <c r="BY20" s="192"/>
      <c r="BZ20" s="192"/>
      <c r="CA20" s="192"/>
      <c r="CB20" s="192"/>
      <c r="CC20" s="192"/>
      <c r="CD20" s="22">
        <f t="shared" si="35"/>
        <v>1184747534.927346</v>
      </c>
      <c r="CE20" s="8">
        <f t="shared" si="55"/>
        <v>8.4406168446792717E-10</v>
      </c>
      <c r="CF20"/>
      <c r="CG20"/>
      <c r="CH20"/>
      <c r="CI20" s="4"/>
      <c r="CJ20" s="8"/>
      <c r="CK20" s="11">
        <f t="shared" si="9"/>
        <v>3.7909466768309286E+28</v>
      </c>
      <c r="CL20" s="11">
        <f t="shared" si="10"/>
        <v>1.0729957916880337E-11</v>
      </c>
      <c r="CP20" s="4"/>
      <c r="CQ20" s="4"/>
      <c r="CR20" s="4"/>
      <c r="CS20" s="4"/>
    </row>
    <row r="21" spans="1:99" x14ac:dyDescent="0.25">
      <c r="A21" s="4" t="s">
        <v>75</v>
      </c>
      <c r="B21" s="31"/>
      <c r="C21" s="31"/>
      <c r="D21" s="31"/>
      <c r="E21" s="11">
        <v>2</v>
      </c>
      <c r="F21" s="25">
        <v>57.97</v>
      </c>
      <c r="G21" s="25">
        <v>57.23</v>
      </c>
      <c r="H21" s="22">
        <f t="shared" si="45"/>
        <v>9.6961891543000003E-26</v>
      </c>
      <c r="I21" s="22">
        <f t="shared" si="46"/>
        <v>5.2133013788799995E-29</v>
      </c>
      <c r="J21" s="24">
        <f t="shared" si="47"/>
        <v>1883.9431857125064</v>
      </c>
      <c r="K21" s="24">
        <f t="shared" si="48"/>
        <v>1.0129302813209855</v>
      </c>
      <c r="L21" s="26">
        <f t="shared" si="49"/>
        <v>9.6909758529211207E-26</v>
      </c>
      <c r="M21" s="4">
        <v>164.240723</v>
      </c>
      <c r="N21" s="11">
        <f>10^(-1.2675+1704/P21+0/P21^2)/1000</f>
        <v>8.0532167424896099E-3</v>
      </c>
      <c r="O21" s="27">
        <f t="shared" si="50"/>
        <v>1.2755102040816326E-3</v>
      </c>
      <c r="P21" s="4">
        <v>784</v>
      </c>
      <c r="Q21" s="4">
        <v>4.607843109406244E-5</v>
      </c>
      <c r="R21" s="4">
        <v>3.4092675768507421E-4</v>
      </c>
      <c r="X21" s="8">
        <v>2996639.6639999989</v>
      </c>
      <c r="Y21" s="4">
        <v>1451.7494609289899</v>
      </c>
      <c r="AC21" s="4">
        <v>2</v>
      </c>
      <c r="AD21" s="4">
        <v>4</v>
      </c>
      <c r="AE21" s="11">
        <f>AC21+AD21</f>
        <v>6</v>
      </c>
      <c r="AH21" s="178"/>
      <c r="AI21" s="178"/>
      <c r="AJ21" s="193"/>
      <c r="AK21" s="178">
        <v>0.239262577144952</v>
      </c>
      <c r="AL21" s="178"/>
      <c r="AM21" s="199">
        <f t="shared" si="17"/>
        <v>0.26539205378729858</v>
      </c>
      <c r="AN21" s="178">
        <v>0.29301529878909899</v>
      </c>
      <c r="AO21" s="178">
        <v>0.29301529878909899</v>
      </c>
      <c r="AP21" s="178">
        <v>3.0068514500000001E-10</v>
      </c>
      <c r="AQ21" s="178">
        <v>2.7233884546184811E-10</v>
      </c>
      <c r="AR21" s="201">
        <f>AK21/1.45914569323326E-07</f>
        <v>1639744.2575784195</v>
      </c>
      <c r="AS21" s="181">
        <v>0.30884033107708703</v>
      </c>
      <c r="AT21" s="181">
        <v>0.30884033107708703</v>
      </c>
      <c r="AU21" s="181">
        <v>0.30884033107708703</v>
      </c>
      <c r="AV21" s="181">
        <v>0.30884033107708703</v>
      </c>
      <c r="AW21" s="181">
        <v>0.30884033107708703</v>
      </c>
      <c r="AX21" s="181">
        <v>0.30884033107708703</v>
      </c>
      <c r="AY21" s="182">
        <v>974492101.32778299</v>
      </c>
      <c r="AZ21" s="182"/>
      <c r="BA21" s="182"/>
      <c r="BB21" s="182">
        <v>3.1692440673072701E-10</v>
      </c>
      <c r="BC21" s="182"/>
      <c r="BD21" s="182">
        <v>5.9341049999999997E-11</v>
      </c>
      <c r="BE21" s="189">
        <f>AK21/AY21</f>
        <v>2.4552541454050528E-10</v>
      </c>
      <c r="BF21" s="189"/>
      <c r="BG21" s="189"/>
      <c r="BH21" s="184">
        <v>2.12141712241654E-4</v>
      </c>
      <c r="BI21" s="184"/>
      <c r="BJ21" s="183">
        <f t="shared" si="51"/>
        <v>1451.7494609289899</v>
      </c>
      <c r="BK21" s="183"/>
      <c r="BL21" s="183">
        <v>1451.7494609289899</v>
      </c>
      <c r="BM21" s="183"/>
      <c r="BN21" s="191">
        <f t="shared" si="52"/>
        <v>1127.8431507727448</v>
      </c>
      <c r="BO21" s="191"/>
      <c r="BP21" s="185">
        <v>99.360600000000005</v>
      </c>
      <c r="BQ21" s="186">
        <f t="shared" si="53"/>
        <v>2156336.4385642763</v>
      </c>
      <c r="BR21" s="180">
        <v>1.4322455696325306E-7</v>
      </c>
      <c r="BS21" s="180"/>
      <c r="BT21" s="180"/>
      <c r="BU21" s="180"/>
      <c r="BV21" s="180"/>
      <c r="BW21" s="180"/>
      <c r="BX21" s="192">
        <f t="shared" si="54"/>
        <v>1670541.5762349977</v>
      </c>
      <c r="BY21" s="192"/>
      <c r="BZ21" s="192"/>
      <c r="CA21" s="192"/>
      <c r="CB21" s="192"/>
      <c r="CC21" s="192"/>
      <c r="CD21" s="22">
        <f t="shared" si="35"/>
        <v>540202773.11765659</v>
      </c>
      <c r="CE21" s="8">
        <f t="shared" si="55"/>
        <v>1.8511567318115176E-9</v>
      </c>
      <c r="CF21"/>
      <c r="CG21"/>
      <c r="CH21"/>
      <c r="CI21" s="4"/>
      <c r="CJ21" s="8"/>
      <c r="CK21" s="11">
        <f t="shared" si="9"/>
        <v>1.306932518537073E+28</v>
      </c>
      <c r="CL21" s="11">
        <f t="shared" si="10"/>
        <v>1.6901960063072087E-11</v>
      </c>
      <c r="CP21" s="4"/>
      <c r="CQ21" s="4"/>
      <c r="CR21" s="4"/>
      <c r="CS21" s="4"/>
    </row>
    <row r="22" spans="1:99" x14ac:dyDescent="0.25">
      <c r="A22" s="4" t="s">
        <v>76</v>
      </c>
      <c r="B22" s="31"/>
      <c r="C22" s="31"/>
      <c r="D22" s="31"/>
      <c r="E22" s="11">
        <v>2</v>
      </c>
      <c r="F22" s="25">
        <v>55.701999999999998</v>
      </c>
      <c r="G22" s="25">
        <v>55.018000000000001</v>
      </c>
      <c r="H22" s="22">
        <f t="shared" si="45"/>
        <v>9.3168385073799999E-26</v>
      </c>
      <c r="I22" s="22">
        <f t="shared" si="46"/>
        <v>5.0118017694079994E-29</v>
      </c>
      <c r="J22" s="24">
        <f t="shared" si="47"/>
        <v>1882.0912368640552</v>
      </c>
      <c r="K22" s="24">
        <f t="shared" si="48"/>
        <v>1.0124322948853102</v>
      </c>
      <c r="L22" s="26">
        <f t="shared" si="49"/>
        <v>9.3118267056105916E-26</v>
      </c>
      <c r="M22" s="4">
        <v>156.23418179999999</v>
      </c>
      <c r="N22" s="11">
        <f>10^(-1.2179+1557/P22+0/P22^2)/1000</f>
        <v>5.8623181999963962E-3</v>
      </c>
      <c r="O22" s="27">
        <f>P22^-1</f>
        <v>1.2755102040816326E-3</v>
      </c>
      <c r="P22" s="4">
        <v>784</v>
      </c>
      <c r="Q22" s="4">
        <v>4.5172248870240592E-5</v>
      </c>
      <c r="R22" s="4">
        <v>3.4144514086291769E-4</v>
      </c>
      <c r="X22" s="8">
        <v>2899543.8624</v>
      </c>
      <c r="Y22" s="4">
        <v>1470.4555590061771</v>
      </c>
      <c r="AC22" s="4">
        <v>2</v>
      </c>
      <c r="AD22" s="4">
        <v>4</v>
      </c>
      <c r="AE22" s="11">
        <f>AC22+AD22</f>
        <v>6</v>
      </c>
      <c r="AH22" s="178"/>
      <c r="AI22" s="178"/>
      <c r="AJ22" s="193"/>
      <c r="AK22" s="178">
        <v>0.27567442291687039</v>
      </c>
      <c r="AL22" s="178"/>
      <c r="AM22" s="199">
        <f t="shared" si="17"/>
        <v>0.28667900791014594</v>
      </c>
      <c r="AN22" s="178">
        <v>0.316517898560285</v>
      </c>
      <c r="AO22" s="178">
        <v>0.316517898560285</v>
      </c>
      <c r="AP22" s="178">
        <v>3.0068514500000001E-10</v>
      </c>
      <c r="AQ22" s="178">
        <v>2.7233884546184811E-10</v>
      </c>
      <c r="AR22" s="201">
        <f>AK22/1.47819962437806E-07</f>
        <v>1864933.6555802338</v>
      </c>
      <c r="AS22" s="181">
        <v>0.32145693534244602</v>
      </c>
      <c r="AT22" s="181">
        <v>0.32145693534244602</v>
      </c>
      <c r="AU22" s="181">
        <v>0.32145693534244602</v>
      </c>
      <c r="AV22" s="181">
        <v>0.32145693534244602</v>
      </c>
      <c r="AW22" s="181">
        <v>0.32145693534244602</v>
      </c>
      <c r="AX22" s="181">
        <v>0.32145693534244602</v>
      </c>
      <c r="AY22" s="182">
        <v>1014301607.94012</v>
      </c>
      <c r="AZ22" s="182"/>
      <c r="BA22" s="182"/>
      <c r="BB22" s="182">
        <v>3.1692440673072701E-10</v>
      </c>
      <c r="BC22" s="182"/>
      <c r="BD22" s="182">
        <v>5.9682537999999999E-11</v>
      </c>
      <c r="BE22" s="189">
        <f>AK22/AY22</f>
        <v>2.7178742571129298E-10</v>
      </c>
      <c r="BF22" s="189"/>
      <c r="BG22" s="189"/>
      <c r="BH22" s="184">
        <v>2.1796182243284901E-4</v>
      </c>
      <c r="BI22" s="184"/>
      <c r="BJ22" s="183">
        <f t="shared" si="51"/>
        <v>1470.4555590061771</v>
      </c>
      <c r="BK22" s="183"/>
      <c r="BL22" s="183">
        <v>1470.4555590061771</v>
      </c>
      <c r="BM22" s="183"/>
      <c r="BN22" s="191">
        <f t="shared" si="52"/>
        <v>1264.7830699883316</v>
      </c>
      <c r="BO22" s="191"/>
      <c r="BP22" s="185">
        <v>97.109960000000001</v>
      </c>
      <c r="BQ22" s="186">
        <f t="shared" si="53"/>
        <v>2149770.3220167966</v>
      </c>
      <c r="BR22" s="180">
        <v>1.4953082757272077E-7</v>
      </c>
      <c r="BS22" s="180"/>
      <c r="BT22" s="180"/>
      <c r="BU22" s="180"/>
      <c r="BV22" s="180"/>
      <c r="BW22" s="180"/>
      <c r="BX22" s="192">
        <f t="shared" si="54"/>
        <v>1843595.9152489989</v>
      </c>
      <c r="BY22" s="192"/>
      <c r="BZ22" s="192"/>
      <c r="CA22" s="192"/>
      <c r="CB22" s="192"/>
      <c r="CC22" s="192"/>
      <c r="CD22" s="22">
        <f t="shared" si="35"/>
        <v>727297673.99028981</v>
      </c>
      <c r="CE22" s="8">
        <f t="shared" si="55"/>
        <v>1.3749528367298905E-9</v>
      </c>
      <c r="CF22"/>
      <c r="CG22"/>
      <c r="CH22"/>
      <c r="CI22" s="4"/>
      <c r="CJ22" s="8"/>
      <c r="CK22" s="11">
        <f t="shared" si="9"/>
        <v>1.3331503634673758E+28</v>
      </c>
      <c r="CL22" s="11">
        <f t="shared" si="10"/>
        <v>1.6734937144092352E-11</v>
      </c>
      <c r="CP22" s="4"/>
      <c r="CQ22" s="4"/>
      <c r="CR22" s="4"/>
      <c r="CS22" s="4"/>
    </row>
    <row r="23" spans="1:99" x14ac:dyDescent="0.25">
      <c r="A23" s="19" t="s">
        <v>54</v>
      </c>
      <c r="B23" s="31">
        <v>0.01</v>
      </c>
      <c r="C23" s="31"/>
      <c r="D23" s="31"/>
      <c r="E23" s="23">
        <v>1</v>
      </c>
      <c r="F23" s="23">
        <v>10</v>
      </c>
      <c r="G23" s="23">
        <v>10</v>
      </c>
      <c r="H23" s="22">
        <f t="shared" si="45"/>
        <v>1.6726219000000001E-26</v>
      </c>
      <c r="I23" s="22">
        <f t="shared" si="46"/>
        <v>9.1093856E-30</v>
      </c>
      <c r="J23" s="24">
        <f t="shared" si="47"/>
        <v>1836.1522647586683</v>
      </c>
      <c r="K23" s="24">
        <f t="shared" si="48"/>
        <v>1</v>
      </c>
      <c r="L23" s="26">
        <f t="shared" si="49"/>
        <v>1.6717109614400002E-26</v>
      </c>
      <c r="M23" s="9">
        <v>18.015000000000001</v>
      </c>
      <c r="N23" s="21">
        <v>1.7930000000000001E-3</v>
      </c>
      <c r="O23" s="27">
        <f t="shared" si="50"/>
        <v>3.6609921288669233E-3</v>
      </c>
      <c r="P23" s="4">
        <v>273.14999999999998</v>
      </c>
      <c r="Q23" s="18">
        <v>1.802E-5</v>
      </c>
      <c r="R23" s="18">
        <v>5.1E-5</v>
      </c>
      <c r="V23" s="22">
        <v>3.1000000000000002E-10</v>
      </c>
      <c r="W23" s="22"/>
      <c r="X23" s="8">
        <v>999840</v>
      </c>
      <c r="Y23" s="4">
        <v>1403</v>
      </c>
      <c r="Z23" s="4">
        <v>0</v>
      </c>
      <c r="AA23" s="18">
        <v>999840</v>
      </c>
      <c r="AB23" s="4">
        <v>0</v>
      </c>
      <c r="AH23" s="188"/>
      <c r="AI23" s="188"/>
      <c r="AJ23" s="194"/>
      <c r="AK23" s="188">
        <v>0.56100000000000005</v>
      </c>
      <c r="AL23" s="188"/>
      <c r="AM23" s="188"/>
      <c r="AN23" s="188"/>
      <c r="AO23" s="188"/>
      <c r="AP23" s="188"/>
      <c r="AQ23" s="188"/>
      <c r="AR23" s="201">
        <v>4218973.6676481161</v>
      </c>
      <c r="AS23" s="181">
        <f>$AY$23*BB23</f>
        <v>0.55623382223307438</v>
      </c>
      <c r="AT23" s="181">
        <v>0.55623382223307438</v>
      </c>
      <c r="AU23" s="181">
        <v>0.55623382223307438</v>
      </c>
      <c r="AV23" s="181">
        <v>0.55623382223307438</v>
      </c>
      <c r="AW23" s="181">
        <v>0.55623382223307438</v>
      </c>
      <c r="AX23" s="181">
        <v>0.55623382223307438</v>
      </c>
      <c r="AY23" s="182">
        <f>1/3*BQ23*Y23</f>
        <v>1956310395.8564556</v>
      </c>
      <c r="AZ23" s="182"/>
      <c r="BA23" s="182"/>
      <c r="BB23" s="182">
        <v>2.8432800000000002E-10</v>
      </c>
      <c r="BC23" s="182"/>
      <c r="BD23" s="182">
        <f>V23</f>
        <v>3.1000000000000002E-10</v>
      </c>
      <c r="BE23" s="190">
        <f>AK23/(1/3*BQ23*Y23)</f>
        <v>2.8676430958411341E-10</v>
      </c>
      <c r="BF23" s="190"/>
      <c r="BG23" s="190"/>
      <c r="BH23" s="184">
        <f>AS23/BJ23</f>
        <v>3.9646031520532745E-4</v>
      </c>
      <c r="BI23" s="184"/>
      <c r="BJ23" s="183">
        <f t="shared" si="51"/>
        <v>1403</v>
      </c>
      <c r="BK23" s="183"/>
      <c r="BL23" s="183">
        <v>1403</v>
      </c>
      <c r="BM23" s="183"/>
      <c r="BN23" s="191">
        <f t="shared" si="52"/>
        <v>1415.0218281228406</v>
      </c>
      <c r="BO23" s="191"/>
      <c r="BP23" s="185">
        <v>75.38</v>
      </c>
      <c r="BQ23" s="186">
        <f t="shared" si="53"/>
        <v>4183129.8557158709</v>
      </c>
      <c r="BR23" s="180">
        <v>1.32970728E-7</v>
      </c>
      <c r="BS23" s="180"/>
      <c r="BT23" s="180"/>
      <c r="BU23" s="180"/>
      <c r="BV23" s="180"/>
      <c r="BW23" s="180"/>
      <c r="BX23" s="192">
        <f t="shared" si="54"/>
        <v>4218973.6676481161</v>
      </c>
      <c r="BY23" s="192"/>
      <c r="BZ23" s="192"/>
      <c r="CA23" s="192"/>
      <c r="CB23" s="192"/>
      <c r="CC23" s="192"/>
      <c r="CD23" s="22">
        <f t="shared" si="35"/>
        <v>782362253.20691574</v>
      </c>
      <c r="CE23" s="8">
        <f t="shared" si="55"/>
        <v>1.2781802750592626E-9</v>
      </c>
      <c r="CF23"/>
      <c r="CG23"/>
      <c r="CH23"/>
      <c r="CI23" s="4"/>
      <c r="CJ23" s="8"/>
      <c r="CK23" s="11">
        <f t="shared" si="9"/>
        <v>3.341920088790233E+28</v>
      </c>
      <c r="CL23" s="11">
        <f t="shared" si="10"/>
        <v>6.2389024308471206E-12</v>
      </c>
      <c r="CP23" s="4"/>
      <c r="CQ23" s="4"/>
      <c r="CR23" s="4"/>
      <c r="CS23" s="4"/>
    </row>
    <row r="24" spans="1:99" x14ac:dyDescent="0.25">
      <c r="O24" s="4"/>
      <c r="P24" s="4"/>
      <c r="AK24" s="108"/>
      <c r="AL24" s="108"/>
      <c r="AM24" s="108"/>
      <c r="AN24" s="108"/>
      <c r="AO24" s="108"/>
      <c r="AP24" s="108"/>
      <c r="AQ24" s="108"/>
      <c r="AR24" s="108"/>
      <c r="AS24" s="108"/>
      <c r="AT24" s="108"/>
      <c r="AU24" s="108"/>
      <c r="AV24" s="108"/>
      <c r="AW24" s="108"/>
      <c r="AX24" s="108"/>
      <c r="AY24" s="108"/>
      <c r="AZ24" s="108"/>
      <c r="BA24" s="108"/>
      <c r="BB24" s="108"/>
      <c r="BC24" s="108"/>
      <c r="BD24" s="108"/>
      <c r="BE24" s="108"/>
      <c r="BF24" s="108"/>
      <c r="BG24" s="108"/>
      <c r="BH24" s="108"/>
      <c r="BI24" s="108"/>
      <c r="BJ24" s="108"/>
      <c r="BK24" s="108"/>
      <c r="BL24" s="108"/>
      <c r="BM24" s="108"/>
      <c r="BN24" s="108"/>
      <c r="BO24" s="108"/>
      <c r="BP24" s="131"/>
      <c r="BQ24" s="131"/>
      <c r="BR24" s="108"/>
      <c r="BS24" s="108"/>
      <c r="BW24" s="131"/>
      <c r="BX24" s="131"/>
      <c r="BY24" s="131"/>
      <c r="BZ24" s="131"/>
      <c r="CA24" s="131"/>
      <c r="CB24" s="131"/>
      <c r="CC24" s="131"/>
      <c r="CG24" s="108"/>
      <c r="CH24" s="108"/>
      <c r="CI24" s="108"/>
      <c r="CQ24" s="146"/>
    </row>
    <row r="25" spans="1:99" x14ac:dyDescent="0.25">
      <c r="O25" s="4"/>
      <c r="P25" s="4"/>
      <c r="CF25" s="58">
        <f>1/3*BJ6*0.0000000004</f>
        <v>2.3249066666666664E-7</v>
      </c>
      <c r="CG25" s="58">
        <f>1/3*BK6*0.0000000004</f>
        <v>2.9757866666666668E-7</v>
      </c>
      <c r="CJ25" s="58">
        <f>$AK6/($CG25)</f>
        <v>1603121.0302430908</v>
      </c>
      <c r="CK25" s="58">
        <f>$AK6/($CF25)</f>
        <v>2051930.1936925012</v>
      </c>
    </row>
    <row r="26" spans="1:99" x14ac:dyDescent="0.25">
      <c r="O26" s="4"/>
      <c r="P26" s="4"/>
      <c r="BJ26" s="57">
        <v>0</v>
      </c>
      <c r="CF26" s="58">
        <f>1/3*BJ5*0.000000000375</f>
        <v>2.5529968125E-7</v>
      </c>
      <c r="CG26" s="58">
        <f>1/3*BK5*0.000000000375</f>
        <v>3.4639984062500002E-7</v>
      </c>
      <c r="CJ26" s="58">
        <f>$AK5/($CG26)</f>
        <v>1794791.1954647019</v>
      </c>
      <c r="CK26" s="58">
        <f>$AK5/($CF26)</f>
        <v>2435237.6039800714</v>
      </c>
    </row>
    <row r="27" spans="1:99" x14ac:dyDescent="0.25">
      <c r="L27" s="23" t="s">
        <v>21</v>
      </c>
      <c r="M27" s="23">
        <v>5.6672851556149997</v>
      </c>
      <c r="O27" s="4"/>
      <c r="P27" s="4"/>
      <c r="BJ27" s="57">
        <v>250</v>
      </c>
      <c r="CF27" s="58">
        <f>1/3*BJ7*0.00000000045</f>
        <v>2.3957759999999995E-7</v>
      </c>
      <c r="CG27" s="58">
        <f>1/3*BK7*0.00000000045</f>
        <v>2.9678879999999993E-7</v>
      </c>
      <c r="CJ27" s="58">
        <f>$AK7/($CG27)</f>
        <v>1231842.9587715073</v>
      </c>
      <c r="CK27" s="58">
        <f>$AK7/($CF27)</f>
        <v>1526007.4127224127</v>
      </c>
    </row>
    <row r="28" spans="1:99" x14ac:dyDescent="0.25">
      <c r="L28" s="23" t="s">
        <v>22</v>
      </c>
      <c r="M28" s="23">
        <v>3.6125286079999999</v>
      </c>
      <c r="O28" s="4"/>
      <c r="P28" s="4"/>
      <c r="CF28" s="58">
        <f>1/3*BJ8*0.00000000028</f>
        <v>2.3779466666666668E-7</v>
      </c>
      <c r="CG28" s="58">
        <f>1/3*BK8*0.00000000028</f>
        <v>2.8223066666666669E-7</v>
      </c>
      <c r="CJ28" s="58">
        <f>$AK8/($CG28)</f>
        <v>4493611.8121882575</v>
      </c>
      <c r="CK28" s="58">
        <f>$AK8/($CF28)</f>
        <v>5333320.0246785739</v>
      </c>
    </row>
    <row r="29" spans="1:99" x14ac:dyDescent="0.25">
      <c r="L29" s="23" t="s">
        <v>23</v>
      </c>
      <c r="M29" s="23">
        <v>2.1603079999999997</v>
      </c>
      <c r="O29" s="4"/>
      <c r="P29" s="4"/>
      <c r="BP29" s="100"/>
      <c r="BQ29" s="100"/>
      <c r="BW29" s="100"/>
      <c r="CF29" s="58">
        <f>1/3*BJ9*0.00000000034</f>
        <v>2.3635666666666666E-7</v>
      </c>
      <c r="CG29" s="58">
        <f>1/3*BK9*0.00000000034</f>
        <v>2.7231166666666664E-7</v>
      </c>
      <c r="CJ29" s="58">
        <f>$AK9/($CG29)</f>
        <v>3325153.1639604135</v>
      </c>
      <c r="CK29" s="58">
        <f>$AK9/($CF29)</f>
        <v>3830981.4263753933</v>
      </c>
    </row>
    <row r="30" spans="1:99" s="18" customFormat="1" x14ac:dyDescent="0.25">
      <c r="A30" s="19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11"/>
      <c r="N30" s="20"/>
      <c r="O30" s="4"/>
      <c r="P30" s="4"/>
      <c r="S30"/>
      <c r="V30" s="13"/>
      <c r="W30" s="13"/>
      <c r="X30" s="8"/>
      <c r="Y30" s="4"/>
      <c r="Z30" s="4"/>
      <c r="AA30" s="4"/>
      <c r="AB30" s="4"/>
      <c r="AC30" s="4"/>
      <c r="AD30" s="4"/>
      <c r="AE30" s="11"/>
      <c r="AF30" s="11"/>
      <c r="AG30" s="11"/>
      <c r="AH30" s="11"/>
      <c r="AI30" s="11"/>
      <c r="AJ30" s="11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57"/>
      <c r="BF30" s="57"/>
      <c r="BG30" s="57"/>
      <c r="BH30" s="57"/>
      <c r="BI30" s="57"/>
      <c r="BJ30" s="57"/>
      <c r="BK30" s="57"/>
      <c r="BL30" s="57"/>
      <c r="BM30" s="57"/>
      <c r="BN30" s="57"/>
      <c r="BO30" s="57"/>
      <c r="BP30" s="57"/>
      <c r="BQ30" s="57"/>
      <c r="BR30" s="57"/>
      <c r="BS30" s="57"/>
      <c r="BT30" s="11"/>
      <c r="BU30" s="11"/>
      <c r="BW30" s="57"/>
      <c r="BX30" s="58"/>
      <c r="BY30" s="58"/>
      <c r="BZ30" s="58"/>
      <c r="CA30" s="58"/>
      <c r="CB30" s="58"/>
      <c r="CC30" s="58"/>
      <c r="CD30" s="57"/>
      <c r="CE30" s="57"/>
      <c r="CF30" s="58">
        <f>1/3*BJ10*0.000000000375</f>
        <v>2.2705000000000001E-7</v>
      </c>
      <c r="CG30" s="58">
        <f>1/3*BK10*0.000000000375</f>
        <v>2.6102499999999997E-7</v>
      </c>
      <c r="CH30" s="57"/>
      <c r="CI30" s="57"/>
      <c r="CJ30" s="58">
        <f>$AK10/($CG30)</f>
        <v>2174841.1071736389</v>
      </c>
      <c r="CK30" s="58">
        <f>$AK10/($CF30)</f>
        <v>2500277.0314908568</v>
      </c>
      <c r="CL30" s="59"/>
      <c r="CP30" s="59"/>
      <c r="CS30"/>
      <c r="CT30" s="4"/>
      <c r="CU30" s="4"/>
    </row>
    <row r="31" spans="1:99" s="18" customFormat="1" x14ac:dyDescent="0.25">
      <c r="A31" s="19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9"/>
      <c r="N31" s="20"/>
      <c r="O31" s="4"/>
      <c r="P31" s="4"/>
      <c r="S31"/>
      <c r="V31" s="13"/>
      <c r="W31" s="13"/>
      <c r="X31" s="8"/>
      <c r="Y31" s="4"/>
      <c r="Z31" s="4"/>
      <c r="AA31" s="4"/>
      <c r="AB31" s="4"/>
      <c r="AC31" s="4"/>
      <c r="AD31" s="4"/>
      <c r="AE31" s="11"/>
      <c r="AF31" s="11"/>
      <c r="AG31" s="11"/>
      <c r="AH31" s="11"/>
      <c r="AI31" s="11"/>
      <c r="AJ31" s="11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57"/>
      <c r="BF31" s="57"/>
      <c r="BG31" s="57"/>
      <c r="BH31" s="57"/>
      <c r="BI31" s="57"/>
      <c r="BJ31" s="57"/>
      <c r="BK31" s="57"/>
      <c r="BL31" s="57"/>
      <c r="BM31" s="57"/>
      <c r="BN31" s="57"/>
      <c r="BO31" s="57"/>
      <c r="BP31" s="57"/>
      <c r="BQ31" s="57"/>
      <c r="BR31" s="57"/>
      <c r="BS31" s="57"/>
      <c r="BT31" s="11"/>
      <c r="BU31" s="11"/>
      <c r="BW31" s="57"/>
      <c r="BX31" s="153">
        <v>3200</v>
      </c>
      <c r="BY31" s="58"/>
      <c r="BZ31" s="197"/>
      <c r="CA31" s="197"/>
      <c r="CB31" s="197"/>
      <c r="CC31" s="153"/>
      <c r="CD31" s="57"/>
      <c r="CE31" s="57"/>
      <c r="CF31" s="57"/>
      <c r="CG31" s="57"/>
      <c r="CH31" s="57"/>
      <c r="CI31" s="57"/>
      <c r="CJ31" s="59"/>
      <c r="CK31" s="57"/>
      <c r="CL31" s="59"/>
      <c r="CP31" s="59"/>
      <c r="CS31"/>
      <c r="CT31" s="4"/>
      <c r="CU31" s="4"/>
    </row>
    <row r="32" spans="1:99" s="18" customFormat="1" x14ac:dyDescent="0.25">
      <c r="A32" s="19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9"/>
      <c r="N32" s="20"/>
      <c r="O32" s="4"/>
      <c r="P32" s="4"/>
      <c r="S32"/>
      <c r="V32" s="13"/>
      <c r="W32" s="13"/>
      <c r="X32" s="8"/>
      <c r="Y32" s="4"/>
      <c r="Z32" s="4"/>
      <c r="AA32" s="4"/>
      <c r="AB32" s="4"/>
      <c r="AC32" s="4"/>
      <c r="AD32" s="4"/>
      <c r="AE32" s="11"/>
      <c r="AF32" s="11"/>
      <c r="AG32" s="11"/>
      <c r="AH32" s="11"/>
      <c r="AI32" s="11"/>
      <c r="AJ32" s="11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57"/>
      <c r="BF32" s="57"/>
      <c r="BG32" s="57"/>
      <c r="BH32" s="57"/>
      <c r="BI32" s="57"/>
      <c r="BJ32" s="57"/>
      <c r="BK32" s="57"/>
      <c r="BL32" s="57"/>
      <c r="BM32" s="57"/>
      <c r="BN32" s="57"/>
      <c r="BO32" s="57"/>
      <c r="BP32" s="57"/>
      <c r="BQ32" s="57"/>
      <c r="BR32" s="57"/>
      <c r="BS32" s="57"/>
      <c r="BT32" s="11"/>
      <c r="BU32" s="11"/>
      <c r="BW32" s="57"/>
      <c r="BX32" s="153">
        <v>4770</v>
      </c>
      <c r="BY32" s="58"/>
      <c r="BZ32" s="197"/>
      <c r="CA32" s="197"/>
      <c r="CB32" s="197"/>
      <c r="CC32" s="153"/>
      <c r="CD32" s="57"/>
      <c r="CE32" s="57"/>
      <c r="CF32" s="57"/>
      <c r="CG32" s="57"/>
      <c r="CH32" s="57"/>
      <c r="CI32" s="57"/>
      <c r="CJ32" s="57"/>
      <c r="CK32" s="57"/>
      <c r="CL32" s="59"/>
      <c r="CP32" s="59"/>
      <c r="CQ32" s="59"/>
      <c r="CR32" s="57"/>
      <c r="CS32"/>
      <c r="CT32" s="4"/>
      <c r="CU32" s="4"/>
    </row>
    <row r="33" spans="1:99" s="18" customFormat="1" x14ac:dyDescent="0.25">
      <c r="A33" s="19"/>
      <c r="B33" s="23" t="s">
        <v>126</v>
      </c>
      <c r="C33" s="23" t="s">
        <v>127</v>
      </c>
      <c r="D33" s="23"/>
      <c r="E33" s="23" t="s">
        <v>128</v>
      </c>
      <c r="F33" s="23" t="s">
        <v>129</v>
      </c>
      <c r="G33" s="23" t="s">
        <v>132</v>
      </c>
      <c r="H33" s="23" t="s">
        <v>127</v>
      </c>
      <c r="I33" s="23" t="s">
        <v>128</v>
      </c>
      <c r="J33" s="23" t="s">
        <v>129</v>
      </c>
      <c r="K33" s="23" t="s">
        <v>133</v>
      </c>
      <c r="L33" s="23" t="s">
        <v>127</v>
      </c>
      <c r="M33" s="23" t="s">
        <v>128</v>
      </c>
      <c r="N33" s="23" t="s">
        <v>129</v>
      </c>
      <c r="O33" s="23" t="s">
        <v>133</v>
      </c>
      <c r="P33" s="23" t="s">
        <v>127</v>
      </c>
      <c r="Q33" s="23" t="s">
        <v>128</v>
      </c>
      <c r="R33" s="23" t="s">
        <v>129</v>
      </c>
      <c r="S33"/>
      <c r="V33" s="13"/>
      <c r="W33" s="13"/>
      <c r="X33" s="8"/>
      <c r="Y33" s="4"/>
      <c r="Z33" s="4"/>
      <c r="AA33" s="4"/>
      <c r="AB33" s="4"/>
      <c r="AC33" s="4"/>
      <c r="AD33" s="4"/>
      <c r="AE33" s="11"/>
      <c r="AF33" s="11"/>
      <c r="AG33" s="11"/>
      <c r="AH33" s="11"/>
      <c r="AI33" s="11"/>
      <c r="AJ33" s="11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57"/>
      <c r="BF33" s="57"/>
      <c r="BG33" s="57"/>
      <c r="BH33" s="57"/>
      <c r="BI33" s="57"/>
      <c r="BJ33" s="57"/>
      <c r="BK33" s="57"/>
      <c r="BL33" s="57"/>
      <c r="BM33" s="57"/>
      <c r="BN33" s="57"/>
      <c r="BO33" s="57"/>
      <c r="BP33" s="57"/>
      <c r="BQ33" s="57"/>
      <c r="BR33" s="57"/>
      <c r="BS33" s="57"/>
      <c r="BT33" s="11"/>
      <c r="BU33" s="11"/>
      <c r="BW33" s="57"/>
      <c r="BX33" s="153">
        <v>2030</v>
      </c>
      <c r="BY33" s="58"/>
      <c r="BZ33" s="197"/>
      <c r="CA33" s="197"/>
      <c r="CB33" s="197"/>
      <c r="CC33" s="153"/>
      <c r="CD33" s="57"/>
      <c r="CE33" s="57"/>
      <c r="CF33" s="57"/>
      <c r="CG33" s="57"/>
      <c r="CH33" s="57"/>
      <c r="CI33" s="57"/>
      <c r="CJ33" s="57"/>
      <c r="CK33" s="57"/>
      <c r="CL33" s="59"/>
      <c r="CP33" s="59"/>
      <c r="CQ33" s="59"/>
      <c r="CR33" s="57"/>
      <c r="CS33"/>
      <c r="CT33" s="4"/>
      <c r="CU33" s="4"/>
    </row>
    <row r="34" spans="1:99" s="18" customFormat="1" x14ac:dyDescent="0.25">
      <c r="A34" s="19"/>
      <c r="B34" s="23" t="s">
        <v>130</v>
      </c>
      <c r="C34" s="23">
        <v>453.7</v>
      </c>
      <c r="D34" s="23"/>
      <c r="E34" s="28">
        <v>24.8</v>
      </c>
      <c r="F34" s="171">
        <f>1/(E34*10^-8)</f>
        <v>4032258.064516129</v>
      </c>
      <c r="G34" s="23" t="s">
        <v>130</v>
      </c>
      <c r="H34" s="23">
        <v>371</v>
      </c>
      <c r="I34" s="28">
        <v>9.43</v>
      </c>
      <c r="J34" s="171">
        <f>1/(I34*10^-8)</f>
        <v>10604453.870625662</v>
      </c>
      <c r="K34" s="23" t="s">
        <v>130</v>
      </c>
      <c r="L34" s="23">
        <v>336.35</v>
      </c>
      <c r="M34" s="28">
        <v>13.95</v>
      </c>
      <c r="N34" s="171">
        <f>1/(M34*10^-8)</f>
        <v>7168458.7813620074</v>
      </c>
      <c r="O34" s="23" t="s">
        <v>130</v>
      </c>
      <c r="P34" s="23">
        <v>312.64</v>
      </c>
      <c r="Q34" s="28">
        <v>22.52</v>
      </c>
      <c r="R34" s="171">
        <f>1/(Q34*10^-8)</f>
        <v>4440497.3357015988</v>
      </c>
      <c r="S34"/>
      <c r="V34" s="13"/>
      <c r="W34" s="13"/>
      <c r="X34" s="8"/>
      <c r="Y34" s="4"/>
      <c r="Z34" s="4"/>
      <c r="AA34" s="4"/>
      <c r="AB34" s="4"/>
      <c r="AC34" s="4"/>
      <c r="AD34" s="4"/>
      <c r="AE34" s="11"/>
      <c r="AF34" s="11"/>
      <c r="AG34" s="11"/>
      <c r="AH34" s="11"/>
      <c r="AI34" s="11"/>
      <c r="AJ34" s="11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/>
      <c r="BG34" s="57"/>
      <c r="BH34" s="57"/>
      <c r="BI34" s="57"/>
      <c r="BJ34" s="57"/>
      <c r="BK34" s="57"/>
      <c r="BL34" s="57"/>
      <c r="BM34" s="57"/>
      <c r="BN34" s="57"/>
      <c r="BO34" s="57"/>
      <c r="BP34" s="57"/>
      <c r="BQ34" s="57"/>
      <c r="BR34" s="57"/>
      <c r="BS34" s="57"/>
      <c r="BT34" s="11"/>
      <c r="BU34" s="11"/>
      <c r="BW34" s="57"/>
      <c r="BX34" s="58"/>
      <c r="BY34" s="58"/>
      <c r="BZ34" s="58"/>
      <c r="CA34" s="58"/>
      <c r="CB34" s="58"/>
      <c r="CC34" s="58"/>
      <c r="CD34" s="57"/>
      <c r="CE34" s="57"/>
      <c r="CF34" s="57"/>
      <c r="CG34" s="57"/>
      <c r="CH34" s="57"/>
      <c r="CI34" s="57"/>
      <c r="CJ34" s="57"/>
      <c r="CK34" s="57"/>
      <c r="CL34" s="59"/>
      <c r="CP34" s="59"/>
      <c r="CQ34" s="59"/>
      <c r="CR34" s="57"/>
      <c r="CS34"/>
      <c r="CT34" s="4"/>
      <c r="CU34" s="4"/>
    </row>
    <row r="35" spans="1:99" s="18" customFormat="1" x14ac:dyDescent="0.25">
      <c r="A35" s="19"/>
      <c r="B35" s="172">
        <f>SLOPE(F34:F52,C34:C52)</f>
        <v>-1491.2997612252611</v>
      </c>
      <c r="C35" s="23">
        <v>500</v>
      </c>
      <c r="D35" s="23"/>
      <c r="E35" s="28">
        <v>26.33</v>
      </c>
      <c r="F35" s="171">
        <f t="shared" ref="F35:F52" si="56">1/(E35*10^-8)</f>
        <v>3797949.1074819602</v>
      </c>
      <c r="G35" s="172">
        <f>SLOPE(J34:J52,H34:H52)</f>
        <v>-5101.4401271895649</v>
      </c>
      <c r="H35" s="23">
        <v>400</v>
      </c>
      <c r="I35" s="28">
        <v>10.5</v>
      </c>
      <c r="J35" s="171">
        <f t="shared" ref="J35:J51" si="57">1/(I35*10^-8)</f>
        <v>9523809.5238095243</v>
      </c>
      <c r="K35" s="172">
        <f>SLOPE(N34:N52,L34:L52)</f>
        <v>-3671.4796302497452</v>
      </c>
      <c r="L35" s="23">
        <v>350</v>
      </c>
      <c r="M35" s="28">
        <v>14.64</v>
      </c>
      <c r="N35" s="171">
        <f t="shared" ref="N35:N52" si="58">1/(M35*10^-8)</f>
        <v>6830601.0928961746</v>
      </c>
      <c r="O35" s="172">
        <f>SLOPE(R34:R52,P34:P52)</f>
        <v>-2184.3569093429992</v>
      </c>
      <c r="P35" s="23">
        <v>350</v>
      </c>
      <c r="Q35" s="28">
        <v>25.42</v>
      </c>
      <c r="R35" s="171">
        <f t="shared" ref="R35:R52" si="59">1/(Q35*10^-8)</f>
        <v>3933910.3068450033</v>
      </c>
      <c r="S35"/>
      <c r="V35" s="13"/>
      <c r="W35" s="13"/>
      <c r="X35" s="8"/>
      <c r="Y35" s="4"/>
      <c r="Z35" s="4"/>
      <c r="AA35" s="4"/>
      <c r="AB35" s="4"/>
      <c r="AC35" s="4"/>
      <c r="AD35" s="4"/>
      <c r="AE35" s="11"/>
      <c r="AF35" s="11"/>
      <c r="AG35" s="11"/>
      <c r="AH35" s="11"/>
      <c r="AI35" s="11"/>
      <c r="AJ35" s="11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57"/>
      <c r="BF35" s="57"/>
      <c r="BG35" s="57"/>
      <c r="BH35" s="57"/>
      <c r="BI35" s="57"/>
      <c r="BJ35" s="57"/>
      <c r="BK35" s="57"/>
      <c r="BL35" s="57"/>
      <c r="BM35" s="57"/>
      <c r="BN35" s="57"/>
      <c r="BO35" s="57"/>
      <c r="BP35" s="58"/>
      <c r="BQ35" s="58"/>
      <c r="BR35" s="57"/>
      <c r="BS35" s="57"/>
      <c r="BT35" s="11"/>
      <c r="BU35" s="11"/>
      <c r="BW35" s="58"/>
      <c r="BX35" s="58"/>
      <c r="BY35" s="58"/>
      <c r="BZ35" s="58"/>
      <c r="CA35" s="58"/>
      <c r="CB35" s="58"/>
      <c r="CC35" s="58"/>
      <c r="CD35" s="57"/>
      <c r="CE35" s="57"/>
      <c r="CF35" s="57"/>
      <c r="CG35" s="57"/>
      <c r="CH35" s="57"/>
      <c r="CI35" s="57"/>
      <c r="CJ35" s="57"/>
      <c r="CK35" s="57"/>
      <c r="CL35" s="59"/>
      <c r="CP35" s="59"/>
      <c r="CQ35" s="59"/>
      <c r="CR35" s="57"/>
      <c r="CS35"/>
      <c r="CT35" s="4"/>
      <c r="CU35" s="4"/>
    </row>
    <row r="36" spans="1:99" s="18" customFormat="1" x14ac:dyDescent="0.25">
      <c r="A36" s="19"/>
      <c r="B36" s="23" t="s">
        <v>131</v>
      </c>
      <c r="C36" s="23">
        <v>600</v>
      </c>
      <c r="D36" s="23"/>
      <c r="E36" s="28">
        <v>29.34</v>
      </c>
      <c r="F36" s="171">
        <f t="shared" si="56"/>
        <v>3408316.2917518741</v>
      </c>
      <c r="G36" s="23" t="s">
        <v>131</v>
      </c>
      <c r="H36" s="23">
        <v>500</v>
      </c>
      <c r="I36" s="28">
        <v>14.36</v>
      </c>
      <c r="J36" s="171">
        <f t="shared" si="57"/>
        <v>6963788.3008356551</v>
      </c>
      <c r="K36" s="23" t="s">
        <v>131</v>
      </c>
      <c r="L36" s="23">
        <v>400</v>
      </c>
      <c r="M36" s="28">
        <v>17.18</v>
      </c>
      <c r="N36" s="171">
        <f t="shared" si="58"/>
        <v>5820721.7694994183</v>
      </c>
      <c r="O36" s="23" t="s">
        <v>131</v>
      </c>
      <c r="P36" s="23">
        <v>400</v>
      </c>
      <c r="Q36" s="28">
        <v>29.51</v>
      </c>
      <c r="R36" s="171">
        <f t="shared" si="59"/>
        <v>3388681.8027787185</v>
      </c>
      <c r="S36"/>
      <c r="V36" s="13"/>
      <c r="W36" s="13"/>
      <c r="X36" s="8"/>
      <c r="Y36" s="4"/>
      <c r="Z36" s="4"/>
      <c r="AA36" s="4"/>
      <c r="AB36" s="4"/>
      <c r="AC36" s="4"/>
      <c r="AD36" s="4"/>
      <c r="AE36" s="11"/>
      <c r="AF36" s="11"/>
      <c r="AG36" s="11"/>
      <c r="AH36" s="11"/>
      <c r="AI36" s="11"/>
      <c r="AJ36" s="11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57"/>
      <c r="BG36" s="57"/>
      <c r="BH36" s="57"/>
      <c r="BI36" s="57"/>
      <c r="BJ36" s="57"/>
      <c r="BK36" s="57"/>
      <c r="BL36" s="57"/>
      <c r="BM36" s="57"/>
      <c r="BN36" s="57"/>
      <c r="BO36" s="57"/>
      <c r="BP36" s="58"/>
      <c r="BQ36" s="58"/>
      <c r="BR36" s="57"/>
      <c r="BS36" s="57"/>
      <c r="BT36" s="11"/>
      <c r="BU36" s="11"/>
      <c r="BW36" s="58"/>
      <c r="BX36" s="58"/>
      <c r="BY36" s="58"/>
      <c r="BZ36" s="58"/>
      <c r="CA36" s="58"/>
      <c r="CB36" s="58"/>
      <c r="CC36" s="58"/>
      <c r="CD36" s="57"/>
      <c r="CE36" s="57"/>
      <c r="CF36" s="57"/>
      <c r="CG36" s="57"/>
      <c r="CH36" s="57"/>
      <c r="CI36" s="57"/>
      <c r="CJ36" s="57"/>
      <c r="CK36" s="57"/>
      <c r="CL36" s="59"/>
      <c r="CP36" s="59"/>
      <c r="CQ36" s="59"/>
      <c r="CR36" s="57"/>
      <c r="CS36"/>
      <c r="CT36" s="4"/>
      <c r="CU36" s="4"/>
    </row>
    <row r="37" spans="1:99" s="18" customFormat="1" x14ac:dyDescent="0.25">
      <c r="A37" s="19"/>
      <c r="B37" s="22">
        <f>INTERCEPT(F34:F52,C34:C52)</f>
        <v>4221516.3817144008</v>
      </c>
      <c r="C37" s="23">
        <v>700</v>
      </c>
      <c r="D37" s="23"/>
      <c r="E37" s="28">
        <v>32.1</v>
      </c>
      <c r="F37" s="171">
        <f t="shared" si="56"/>
        <v>3115264.7975077881</v>
      </c>
      <c r="G37" s="22">
        <f>INTERCEPT(J34:J52,H34:H52)</f>
        <v>9067740.7134940401</v>
      </c>
      <c r="H37" s="23">
        <v>600</v>
      </c>
      <c r="I37" s="28">
        <v>18.559999999999999</v>
      </c>
      <c r="J37" s="171">
        <f t="shared" si="57"/>
        <v>5387931.0344827585</v>
      </c>
      <c r="K37" s="22">
        <f>INTERCEPT(N34:N52,L34:L52)</f>
        <v>6274083.7728864588</v>
      </c>
      <c r="L37" s="23">
        <v>500</v>
      </c>
      <c r="M37" s="28">
        <v>22.91</v>
      </c>
      <c r="N37" s="171">
        <f t="shared" si="58"/>
        <v>4364906.1545176776</v>
      </c>
      <c r="O37" s="22">
        <f>INTERCEPT(R34:R52,P34:P52)</f>
        <v>3798018.3619082011</v>
      </c>
      <c r="P37" s="23">
        <v>500</v>
      </c>
      <c r="Q37" s="28">
        <v>38.270000000000003</v>
      </c>
      <c r="R37" s="171">
        <f t="shared" si="59"/>
        <v>2613012.8037627381</v>
      </c>
      <c r="S37"/>
      <c r="V37" s="13"/>
      <c r="W37" s="13"/>
      <c r="X37" s="8"/>
      <c r="Y37" s="4"/>
      <c r="Z37" s="4"/>
      <c r="AA37" s="4"/>
      <c r="AB37" s="4"/>
      <c r="AC37" s="4"/>
      <c r="AD37" s="4"/>
      <c r="AE37" s="11"/>
      <c r="AF37" s="11"/>
      <c r="AG37" s="11"/>
      <c r="AH37" s="11"/>
      <c r="AI37" s="11"/>
      <c r="AJ37" s="11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7"/>
      <c r="BE37" s="57"/>
      <c r="BF37" s="57"/>
      <c r="BG37" s="57"/>
      <c r="BH37" s="57"/>
      <c r="BI37" s="57"/>
      <c r="BJ37" s="57"/>
      <c r="BK37" s="57"/>
      <c r="BL37" s="57"/>
      <c r="BM37" s="57"/>
      <c r="BN37" s="57"/>
      <c r="BO37" s="57"/>
      <c r="BP37" s="58"/>
      <c r="BQ37" s="58"/>
      <c r="BR37" s="57"/>
      <c r="BS37" s="57"/>
      <c r="BT37" s="11"/>
      <c r="BU37" s="11"/>
      <c r="BW37" s="58"/>
      <c r="BX37" s="58"/>
      <c r="BY37" s="58"/>
      <c r="BZ37" s="58"/>
      <c r="CA37" s="58"/>
      <c r="CB37" s="58"/>
      <c r="CC37" s="58"/>
      <c r="CD37" s="57"/>
      <c r="CE37" s="57"/>
      <c r="CF37" s="57"/>
      <c r="CG37" s="57"/>
      <c r="CH37" s="57"/>
      <c r="CI37" s="57"/>
      <c r="CJ37" s="57"/>
      <c r="CK37" s="57"/>
      <c r="CL37" s="59"/>
      <c r="CP37" s="59"/>
      <c r="CQ37" s="59"/>
      <c r="CR37" s="57"/>
      <c r="CS37"/>
      <c r="CT37" s="4"/>
      <c r="CU37" s="4"/>
    </row>
    <row r="38" spans="1:99" x14ac:dyDescent="0.25">
      <c r="C38" s="23">
        <v>800</v>
      </c>
      <c r="E38" s="28">
        <v>34.71</v>
      </c>
      <c r="F38" s="171">
        <f t="shared" si="56"/>
        <v>2881014.1169691728</v>
      </c>
      <c r="H38" s="23">
        <v>700</v>
      </c>
      <c r="I38" s="28">
        <v>23.2</v>
      </c>
      <c r="J38" s="171">
        <f t="shared" si="57"/>
        <v>4310344.8275862075</v>
      </c>
      <c r="L38" s="23">
        <v>600</v>
      </c>
      <c r="M38" s="28">
        <v>29.58</v>
      </c>
      <c r="N38" s="171">
        <f t="shared" si="58"/>
        <v>3380662.6098715351</v>
      </c>
      <c r="O38" s="23"/>
      <c r="P38" s="23">
        <v>600</v>
      </c>
      <c r="Q38" s="28">
        <v>47.61</v>
      </c>
      <c r="R38" s="171">
        <f t="shared" si="59"/>
        <v>2100399.0758244069</v>
      </c>
    </row>
    <row r="39" spans="1:99" x14ac:dyDescent="0.25">
      <c r="C39" s="23">
        <v>900</v>
      </c>
      <c r="E39" s="28">
        <v>37.22</v>
      </c>
      <c r="F39" s="171">
        <f t="shared" si="56"/>
        <v>2686727.5658248253</v>
      </c>
      <c r="H39" s="23">
        <v>800</v>
      </c>
      <c r="I39" s="28">
        <v>28.38</v>
      </c>
      <c r="J39" s="171">
        <f t="shared" si="57"/>
        <v>3523608.1747709657</v>
      </c>
      <c r="L39" s="23">
        <v>700</v>
      </c>
      <c r="M39" s="28">
        <v>37.31</v>
      </c>
      <c r="N39" s="171">
        <f t="shared" si="58"/>
        <v>2680246.582685607</v>
      </c>
      <c r="O39" s="23"/>
      <c r="P39" s="23">
        <v>700</v>
      </c>
      <c r="Q39" s="28">
        <v>57.48</v>
      </c>
      <c r="R39" s="171">
        <f t="shared" si="59"/>
        <v>1739735.5601948504</v>
      </c>
    </row>
    <row r="40" spans="1:99" x14ac:dyDescent="0.25">
      <c r="C40" s="23">
        <v>1000</v>
      </c>
      <c r="E40" s="28">
        <v>39.69</v>
      </c>
      <c r="F40" s="171">
        <f t="shared" si="56"/>
        <v>2519526.3290501386</v>
      </c>
      <c r="H40" s="23">
        <v>900</v>
      </c>
      <c r="I40" s="28">
        <v>34.19</v>
      </c>
      <c r="J40" s="171">
        <f t="shared" si="57"/>
        <v>2924831.8221702254</v>
      </c>
      <c r="L40" s="23">
        <v>800</v>
      </c>
      <c r="M40" s="28">
        <v>46.2</v>
      </c>
      <c r="N40" s="171">
        <f t="shared" si="58"/>
        <v>2164502.1645021643</v>
      </c>
      <c r="O40" s="23"/>
      <c r="P40" s="23">
        <v>800</v>
      </c>
      <c r="Q40" s="28">
        <v>68.5</v>
      </c>
      <c r="R40" s="171">
        <f t="shared" si="59"/>
        <v>1459854.01459854</v>
      </c>
    </row>
    <row r="41" spans="1:99" x14ac:dyDescent="0.25">
      <c r="C41" s="23">
        <v>1100</v>
      </c>
      <c r="E41" s="28">
        <v>42.13</v>
      </c>
      <c r="F41" s="171">
        <f t="shared" si="56"/>
        <v>2373605.5067647756</v>
      </c>
      <c r="H41" s="23">
        <v>1000</v>
      </c>
      <c r="I41" s="28">
        <v>40.729999999999997</v>
      </c>
      <c r="J41" s="171">
        <f t="shared" si="57"/>
        <v>2455192.7326295115</v>
      </c>
      <c r="L41" s="23">
        <v>900</v>
      </c>
      <c r="M41" s="28">
        <v>56.36</v>
      </c>
      <c r="N41" s="171">
        <f t="shared" si="58"/>
        <v>1774308.0198722498</v>
      </c>
      <c r="O41" s="23"/>
      <c r="P41" s="23">
        <v>900</v>
      </c>
      <c r="Q41" s="28">
        <v>81.5</v>
      </c>
      <c r="R41" s="171">
        <f t="shared" si="59"/>
        <v>1226993.8650306747</v>
      </c>
    </row>
    <row r="42" spans="1:99" x14ac:dyDescent="0.25">
      <c r="C42" s="23">
        <v>1200</v>
      </c>
      <c r="E42" s="28">
        <v>44.61</v>
      </c>
      <c r="F42" s="171">
        <f t="shared" si="56"/>
        <v>2241649.8542927597</v>
      </c>
      <c r="H42" s="23">
        <v>1100</v>
      </c>
      <c r="I42" s="28">
        <v>48.12</v>
      </c>
      <c r="J42" s="171">
        <f t="shared" si="57"/>
        <v>2078137.9883624276</v>
      </c>
      <c r="L42" s="23">
        <v>1000</v>
      </c>
      <c r="M42" s="28">
        <v>67.94</v>
      </c>
      <c r="N42" s="171">
        <f t="shared" si="58"/>
        <v>1471886.9590815424</v>
      </c>
      <c r="O42" s="23"/>
      <c r="P42" s="23">
        <v>1000</v>
      </c>
      <c r="Q42" s="28">
        <v>97.26</v>
      </c>
      <c r="R42" s="171">
        <f t="shared" si="59"/>
        <v>1028171.9103434094</v>
      </c>
    </row>
    <row r="43" spans="1:99" x14ac:dyDescent="0.25">
      <c r="C43" s="23">
        <v>1300</v>
      </c>
      <c r="E43" s="28">
        <v>47.41</v>
      </c>
      <c r="F43" s="171">
        <f t="shared" si="56"/>
        <v>2109259.649862898</v>
      </c>
      <c r="H43" s="23">
        <v>1200</v>
      </c>
      <c r="I43" s="28">
        <v>56.45</v>
      </c>
      <c r="J43" s="171">
        <f t="shared" si="57"/>
        <v>1771479.1851195747</v>
      </c>
      <c r="L43" s="23">
        <v>1100</v>
      </c>
      <c r="M43" s="28">
        <v>81.05</v>
      </c>
      <c r="N43" s="171">
        <f t="shared" si="58"/>
        <v>1233806.2924120913</v>
      </c>
      <c r="O43" s="23"/>
      <c r="P43" s="23">
        <v>1100</v>
      </c>
      <c r="Q43" s="28">
        <v>116.7</v>
      </c>
      <c r="R43" s="171">
        <f t="shared" si="59"/>
        <v>856898.02913453302</v>
      </c>
    </row>
    <row r="44" spans="1:99" x14ac:dyDescent="0.25">
      <c r="C44" s="23">
        <v>1400</v>
      </c>
      <c r="E44" s="28">
        <v>49.97</v>
      </c>
      <c r="F44" s="171">
        <f t="shared" si="56"/>
        <v>2001200.7204322596</v>
      </c>
      <c r="H44" s="23">
        <v>1300</v>
      </c>
      <c r="I44" s="28">
        <v>65.849999999999994</v>
      </c>
      <c r="J44" s="171">
        <f t="shared" si="57"/>
        <v>1518602.8853454823</v>
      </c>
      <c r="L44" s="23">
        <v>1200</v>
      </c>
      <c r="M44" s="28">
        <v>96.04</v>
      </c>
      <c r="N44" s="171">
        <f t="shared" si="58"/>
        <v>1041232.8196584755</v>
      </c>
      <c r="O44" s="23"/>
      <c r="P44" s="23">
        <v>1200</v>
      </c>
      <c r="Q44" s="28">
        <v>140.80000000000001</v>
      </c>
      <c r="R44" s="171">
        <f t="shared" si="59"/>
        <v>710227.27272727271</v>
      </c>
    </row>
    <row r="45" spans="1:99" x14ac:dyDescent="0.25">
      <c r="C45" s="23">
        <v>1500</v>
      </c>
      <c r="E45" s="28">
        <v>53</v>
      </c>
      <c r="F45" s="171">
        <f t="shared" si="56"/>
        <v>1886792.4528301887</v>
      </c>
      <c r="H45" s="23">
        <v>1400</v>
      </c>
      <c r="I45" s="28">
        <v>76.44</v>
      </c>
      <c r="J45" s="171">
        <f t="shared" si="57"/>
        <v>1308215.5939298796</v>
      </c>
      <c r="L45" s="23">
        <v>1300</v>
      </c>
      <c r="M45" s="28">
        <v>114</v>
      </c>
      <c r="N45" s="171">
        <f t="shared" si="58"/>
        <v>877192.98245614022</v>
      </c>
      <c r="O45" s="23"/>
      <c r="P45" s="23">
        <v>1300</v>
      </c>
      <c r="Q45" s="28">
        <v>170.3</v>
      </c>
      <c r="R45" s="171">
        <f t="shared" si="59"/>
        <v>587199.06048150314</v>
      </c>
    </row>
    <row r="46" spans="1:99" x14ac:dyDescent="0.25">
      <c r="C46" s="23">
        <v>1600</v>
      </c>
      <c r="E46" s="28">
        <v>56.34</v>
      </c>
      <c r="F46" s="171">
        <f t="shared" si="56"/>
        <v>1774937.8771742987</v>
      </c>
      <c r="H46" s="23">
        <v>1500</v>
      </c>
      <c r="I46" s="28">
        <v>88.37</v>
      </c>
      <c r="J46" s="171">
        <f t="shared" si="57"/>
        <v>1131605.7485572025</v>
      </c>
      <c r="L46" s="23">
        <v>1400</v>
      </c>
      <c r="M46" s="28">
        <v>136.30000000000001</v>
      </c>
      <c r="N46" s="171">
        <f t="shared" si="58"/>
        <v>733675.71533382242</v>
      </c>
      <c r="O46" s="23"/>
      <c r="P46" s="23">
        <v>1400</v>
      </c>
      <c r="Q46" s="28">
        <v>206.3</v>
      </c>
      <c r="R46" s="171">
        <f t="shared" si="59"/>
        <v>484730.97430925834</v>
      </c>
    </row>
    <row r="47" spans="1:99" x14ac:dyDescent="0.25">
      <c r="C47" s="23">
        <v>1700</v>
      </c>
      <c r="E47" s="28">
        <v>60.03</v>
      </c>
      <c r="F47" s="171">
        <f t="shared" si="56"/>
        <v>1665833.7497917707</v>
      </c>
      <c r="H47" s="23">
        <v>1600</v>
      </c>
      <c r="I47" s="28">
        <v>101.8</v>
      </c>
      <c r="J47" s="171">
        <f t="shared" si="57"/>
        <v>982318.27111984277</v>
      </c>
      <c r="L47" s="23">
        <v>1500</v>
      </c>
      <c r="M47" s="28">
        <v>164.6</v>
      </c>
      <c r="N47" s="171">
        <f t="shared" si="58"/>
        <v>607533.41433778859</v>
      </c>
      <c r="O47" s="23"/>
      <c r="P47" s="23">
        <v>1500</v>
      </c>
      <c r="Q47" s="28">
        <v>249.7</v>
      </c>
      <c r="R47" s="171">
        <f t="shared" si="59"/>
        <v>400480.57669203042</v>
      </c>
    </row>
    <row r="48" spans="1:99" x14ac:dyDescent="0.25">
      <c r="C48" s="23">
        <v>1800</v>
      </c>
      <c r="E48" s="28">
        <v>64.12</v>
      </c>
      <c r="F48" s="171">
        <f t="shared" si="56"/>
        <v>1559575.7953836555</v>
      </c>
      <c r="H48" s="23">
        <v>1700</v>
      </c>
      <c r="I48" s="28">
        <v>117.1</v>
      </c>
      <c r="J48" s="171">
        <f t="shared" si="57"/>
        <v>853970.96498719056</v>
      </c>
      <c r="L48" s="23">
        <v>1600</v>
      </c>
      <c r="M48" s="28">
        <v>201.4</v>
      </c>
      <c r="N48" s="171">
        <f t="shared" si="58"/>
        <v>496524.32969215489</v>
      </c>
      <c r="O48" s="23"/>
      <c r="P48" s="23">
        <v>1600</v>
      </c>
      <c r="Q48" s="28">
        <v>301.8</v>
      </c>
      <c r="R48" s="171">
        <f t="shared" si="59"/>
        <v>331345.2617627568</v>
      </c>
    </row>
    <row r="49" spans="3:18" x14ac:dyDescent="0.25">
      <c r="C49" s="23">
        <v>1900</v>
      </c>
      <c r="E49" s="28">
        <v>68.67</v>
      </c>
      <c r="F49" s="171">
        <f t="shared" si="56"/>
        <v>1456239.9883500801</v>
      </c>
      <c r="H49" s="23">
        <v>1800</v>
      </c>
      <c r="I49" s="28">
        <v>135.1</v>
      </c>
      <c r="J49" s="171">
        <f t="shared" si="57"/>
        <v>740192.45003700955</v>
      </c>
      <c r="L49" s="23">
        <v>1700</v>
      </c>
      <c r="M49" s="28">
        <v>249.7</v>
      </c>
      <c r="N49" s="171">
        <f t="shared" si="58"/>
        <v>400480.57669203042</v>
      </c>
      <c r="O49" s="23"/>
      <c r="P49" s="23">
        <v>1700</v>
      </c>
      <c r="Q49" s="28">
        <v>364.1</v>
      </c>
      <c r="R49" s="171">
        <f t="shared" si="59"/>
        <v>274649.82147761603</v>
      </c>
    </row>
    <row r="50" spans="3:18" x14ac:dyDescent="0.25">
      <c r="C50" s="23">
        <v>2000</v>
      </c>
      <c r="E50" s="28">
        <v>73.73</v>
      </c>
      <c r="F50" s="171">
        <f t="shared" si="56"/>
        <v>1356300.0135630001</v>
      </c>
      <c r="H50" s="23">
        <v>1900</v>
      </c>
      <c r="I50" s="28">
        <v>157.1</v>
      </c>
      <c r="J50" s="171">
        <f t="shared" si="57"/>
        <v>636537.23742838949</v>
      </c>
      <c r="L50" s="23">
        <v>1800</v>
      </c>
      <c r="M50" s="28">
        <v>313.8</v>
      </c>
      <c r="N50" s="171">
        <f t="shared" si="58"/>
        <v>318674.31485022302</v>
      </c>
      <c r="O50" s="23"/>
      <c r="P50" s="23">
        <v>1800</v>
      </c>
      <c r="Q50" s="28">
        <v>438.2</v>
      </c>
      <c r="R50" s="171">
        <f t="shared" si="59"/>
        <v>228206.29849383843</v>
      </c>
    </row>
    <row r="51" spans="3:18" x14ac:dyDescent="0.25">
      <c r="C51" s="23">
        <v>2100</v>
      </c>
      <c r="E51" s="28">
        <v>79.44</v>
      </c>
      <c r="F51" s="171">
        <f t="shared" si="56"/>
        <v>1258811.6817724069</v>
      </c>
      <c r="H51" s="23">
        <v>2000</v>
      </c>
      <c r="I51" s="28">
        <v>184.4</v>
      </c>
      <c r="J51" s="171">
        <f t="shared" si="57"/>
        <v>542299.34924078092</v>
      </c>
      <c r="L51" s="23">
        <v>1900</v>
      </c>
      <c r="M51" s="28">
        <v>399.6</v>
      </c>
      <c r="N51" s="171">
        <f t="shared" si="58"/>
        <v>250250.25025025022</v>
      </c>
      <c r="O51" s="23"/>
      <c r="P51" s="23">
        <v>1900</v>
      </c>
      <c r="Q51" s="28">
        <v>525.9</v>
      </c>
      <c r="R51" s="171">
        <f t="shared" si="59"/>
        <v>190150.21867275148</v>
      </c>
    </row>
    <row r="52" spans="3:18" x14ac:dyDescent="0.25">
      <c r="C52" s="23">
        <v>2200</v>
      </c>
      <c r="E52" s="28">
        <v>85.59</v>
      </c>
      <c r="F52" s="171">
        <f t="shared" si="56"/>
        <v>1168360.7898118938</v>
      </c>
      <c r="J52" s="28"/>
      <c r="L52" s="23">
        <v>2000</v>
      </c>
      <c r="M52" s="7">
        <v>575.29999999999995</v>
      </c>
      <c r="N52" s="171">
        <f t="shared" si="58"/>
        <v>173822.35355466715</v>
      </c>
      <c r="O52" s="23"/>
      <c r="P52" s="23">
        <v>2000</v>
      </c>
      <c r="Q52" s="7">
        <v>629.4</v>
      </c>
      <c r="R52" s="171">
        <f t="shared" si="59"/>
        <v>158881.47442008261</v>
      </c>
    </row>
    <row r="53" spans="3:18" x14ac:dyDescent="0.25">
      <c r="K53" s="9"/>
      <c r="L53" s="20"/>
      <c r="M53" s="18"/>
      <c r="N53" s="18"/>
      <c r="O53" s="9"/>
      <c r="P53" s="20"/>
    </row>
    <row r="54" spans="3:18" x14ac:dyDescent="0.25">
      <c r="K54" s="9"/>
      <c r="L54" s="20"/>
      <c r="M54" s="18"/>
      <c r="N54" s="18"/>
      <c r="O54" s="9"/>
      <c r="P54" s="20"/>
    </row>
    <row r="55" spans="3:18" x14ac:dyDescent="0.25">
      <c r="K55" s="9"/>
      <c r="L55" s="20"/>
      <c r="M55" s="18"/>
      <c r="N55" s="18"/>
      <c r="O55" s="9"/>
      <c r="P55" s="20"/>
    </row>
    <row r="81" spans="45:45" x14ac:dyDescent="0.25">
      <c r="AS81" s="57">
        <v>1081717855.4526601</v>
      </c>
    </row>
  </sheetData>
  <mergeCells count="11">
    <mergeCell ref="AS4:AX4"/>
    <mergeCell ref="BB4:BC4"/>
    <mergeCell ref="AY4:AZ4"/>
    <mergeCell ref="BH4:BI4"/>
    <mergeCell ref="BJ4:BL4"/>
    <mergeCell ref="CM3:CO3"/>
    <mergeCell ref="CP3:CR3"/>
    <mergeCell ref="BR4:BW4"/>
    <mergeCell ref="BX4:CC4"/>
    <mergeCell ref="BE4:BF4"/>
    <mergeCell ref="BN4:BO4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A2625-A136-4009-A032-E399F5E7D14C}">
  <sheetPr codeName="Sheet5">
    <outlinePr summaryBelow="0"/>
  </sheetPr>
  <dimension ref="A1:BJ61"/>
  <sheetViews>
    <sheetView zoomScale="70" zoomScaleNormal="70" workbookViewId="0">
      <pane xSplit="3" topLeftCell="D1" activePane="topRight" state="frozen"/>
      <selection pane="topRight" activeCell="AC7" sqref="AC7"/>
    </sheetView>
  </sheetViews>
  <sheetFormatPr defaultRowHeight="15" x14ac:dyDescent="0.25"/>
  <cols>
    <col min="1" max="1" width="29.140625" style="19" customWidth="1"/>
    <col min="2" max="2" width="7.85546875" style="23" customWidth="1"/>
    <col min="3" max="3" width="7.28515625" style="23" customWidth="1"/>
    <col min="4" max="4" width="8.42578125" style="23" customWidth="1"/>
    <col min="5" max="5" width="9" style="23" customWidth="1"/>
    <col min="6" max="6" width="10.42578125" style="23" customWidth="1"/>
    <col min="7" max="7" width="11.140625" style="23" customWidth="1"/>
    <col min="8" max="8" width="12.7109375" style="23" customWidth="1"/>
    <col min="9" max="9" width="13" style="23" customWidth="1"/>
    <col min="10" max="10" width="10.5703125" style="23" customWidth="1"/>
    <col min="11" max="11" width="12.140625" style="9" customWidth="1"/>
    <col min="12" max="12" width="16" style="20" customWidth="1"/>
    <col min="13" max="13" width="22" style="18" customWidth="1"/>
    <col min="14" max="14" width="14.5703125" style="18" customWidth="1"/>
    <col min="15" max="15" width="13.140625" style="18" customWidth="1"/>
    <col min="16" max="16" width="12" style="18" customWidth="1"/>
    <col min="18" max="18" width="11.5703125" style="18" customWidth="1"/>
    <col min="19" max="19" width="12.5703125" style="18" customWidth="1"/>
    <col min="20" max="20" width="12" style="13" customWidth="1"/>
    <col min="21" max="21" width="12.140625" style="8" customWidth="1"/>
    <col min="22" max="22" width="10.140625" style="4" customWidth="1"/>
    <col min="23" max="23" width="7.5703125" style="4" customWidth="1"/>
    <col min="24" max="24" width="6.28515625" style="4" customWidth="1"/>
    <col min="25" max="25" width="8.42578125" style="4" customWidth="1"/>
    <col min="26" max="26" width="7.85546875" style="4" customWidth="1"/>
    <col min="27" max="27" width="6.140625" style="4" customWidth="1"/>
    <col min="28" max="28" width="8.85546875" style="11" customWidth="1"/>
    <col min="29" max="31" width="14.85546875" style="57" customWidth="1"/>
    <col min="32" max="32" width="19" style="57" customWidth="1"/>
    <col min="33" max="36" width="15.5703125" style="57" customWidth="1"/>
    <col min="37" max="37" width="12.85546875" style="57" customWidth="1"/>
    <col min="38" max="38" width="13.7109375" style="57" customWidth="1"/>
    <col min="39" max="39" width="14.42578125" style="57" bestFit="1" customWidth="1"/>
    <col min="40" max="41" width="14.42578125" style="57" customWidth="1"/>
    <col min="42" max="42" width="15.42578125" style="57" customWidth="1"/>
    <col min="43" max="47" width="11.140625" style="58" customWidth="1"/>
    <col min="48" max="48" width="10.5703125" style="57" customWidth="1"/>
    <col min="49" max="49" width="13" style="57" customWidth="1"/>
    <col min="50" max="50" width="14" style="57" customWidth="1"/>
    <col min="51" max="51" width="0.28515625" style="57" customWidth="1"/>
    <col min="52" max="52" width="18" style="57" customWidth="1"/>
    <col min="53" max="55" width="11" style="59" customWidth="1"/>
    <col min="56" max="56" width="14.28515625" style="57" customWidth="1"/>
    <col min="57" max="57" width="14.28515625" customWidth="1"/>
    <col min="61" max="61" width="11.85546875" style="4" customWidth="1"/>
    <col min="62" max="16384" width="9.140625" style="4"/>
  </cols>
  <sheetData>
    <row r="1" spans="1:62" s="11" customFormat="1" x14ac:dyDescent="0.25">
      <c r="A1" s="23"/>
      <c r="B1" s="23"/>
      <c r="C1" s="23"/>
      <c r="D1" s="23"/>
      <c r="E1" s="23"/>
      <c r="F1" s="23"/>
      <c r="G1" s="23"/>
      <c r="H1" s="23"/>
      <c r="I1" s="23"/>
      <c r="J1" s="23"/>
      <c r="K1" s="20"/>
      <c r="L1" s="20"/>
      <c r="M1" s="13"/>
      <c r="N1" s="13"/>
      <c r="O1" s="13"/>
      <c r="P1" s="13"/>
      <c r="Q1" s="32"/>
      <c r="R1" s="13"/>
      <c r="S1" s="13"/>
      <c r="T1" s="13"/>
      <c r="U1" s="22"/>
      <c r="AC1" s="91"/>
      <c r="AD1" s="102" t="s">
        <v>93</v>
      </c>
      <c r="AE1" s="109" t="s">
        <v>94</v>
      </c>
      <c r="AF1" s="105" t="s">
        <v>95</v>
      </c>
      <c r="AG1" s="91"/>
      <c r="AH1" s="102"/>
      <c r="AI1" s="109"/>
      <c r="AJ1" s="105"/>
      <c r="AK1" s="91"/>
      <c r="AL1" s="91"/>
      <c r="AM1" s="91"/>
      <c r="AN1" s="102" t="s">
        <v>93</v>
      </c>
      <c r="AO1" s="109" t="s">
        <v>94</v>
      </c>
      <c r="AP1" s="105" t="s">
        <v>95</v>
      </c>
      <c r="AQ1" s="92"/>
      <c r="AR1" s="151"/>
      <c r="AS1" s="151"/>
      <c r="AT1" s="102" t="s">
        <v>93</v>
      </c>
      <c r="AU1" s="109" t="s">
        <v>94</v>
      </c>
      <c r="AV1" s="105" t="s">
        <v>95</v>
      </c>
      <c r="AW1" s="102" t="s">
        <v>93</v>
      </c>
      <c r="AX1" s="109" t="s">
        <v>94</v>
      </c>
      <c r="AY1" s="11" t="s">
        <v>94</v>
      </c>
      <c r="AZ1" s="105" t="s">
        <v>95</v>
      </c>
      <c r="BA1" s="93"/>
      <c r="BB1" s="102" t="s">
        <v>93</v>
      </c>
      <c r="BC1" s="109" t="s">
        <v>94</v>
      </c>
      <c r="BD1" s="105" t="s">
        <v>95</v>
      </c>
      <c r="BE1" s="32"/>
      <c r="BF1" s="32"/>
      <c r="BG1" s="32"/>
      <c r="BH1" s="32"/>
    </row>
    <row r="2" spans="1:62" s="80" customFormat="1" ht="20.25" customHeight="1" thickBot="1" x14ac:dyDescent="0.3">
      <c r="A2" s="73" t="s">
        <v>0</v>
      </c>
      <c r="B2" s="74" t="s">
        <v>72</v>
      </c>
      <c r="C2" s="73" t="s">
        <v>56</v>
      </c>
      <c r="D2" s="73" t="s">
        <v>57</v>
      </c>
      <c r="E2" s="73" t="s">
        <v>58</v>
      </c>
      <c r="F2" s="75" t="s">
        <v>60</v>
      </c>
      <c r="G2" s="75" t="s">
        <v>61</v>
      </c>
      <c r="H2" s="73" t="s">
        <v>64</v>
      </c>
      <c r="I2" s="73" t="s">
        <v>59</v>
      </c>
      <c r="J2" s="73" t="s">
        <v>62</v>
      </c>
      <c r="K2" s="76" t="s">
        <v>1</v>
      </c>
      <c r="L2" s="76" t="s">
        <v>52</v>
      </c>
      <c r="M2" s="77" t="s">
        <v>74</v>
      </c>
      <c r="N2" s="77" t="s">
        <v>2</v>
      </c>
      <c r="O2" s="77" t="s">
        <v>3</v>
      </c>
      <c r="P2" s="78" t="s">
        <v>4</v>
      </c>
      <c r="Q2" s="74"/>
      <c r="R2" s="77" t="s">
        <v>6</v>
      </c>
      <c r="S2" s="77" t="s">
        <v>7</v>
      </c>
      <c r="T2" s="77" t="s">
        <v>55</v>
      </c>
      <c r="U2" s="79" t="s">
        <v>8</v>
      </c>
      <c r="V2" s="80" t="s">
        <v>9</v>
      </c>
      <c r="W2" s="80" t="s">
        <v>10</v>
      </c>
      <c r="X2" s="80" t="s">
        <v>11</v>
      </c>
      <c r="Y2" s="80" t="s">
        <v>12</v>
      </c>
      <c r="Z2" s="80" t="s">
        <v>13</v>
      </c>
      <c r="AA2" s="80" t="s">
        <v>14</v>
      </c>
      <c r="AB2" s="80" t="s">
        <v>51</v>
      </c>
      <c r="AC2" s="81" t="s">
        <v>15</v>
      </c>
      <c r="AD2" s="103" t="s">
        <v>102</v>
      </c>
      <c r="AE2" s="110" t="s">
        <v>102</v>
      </c>
      <c r="AF2" s="106" t="s">
        <v>102</v>
      </c>
      <c r="AG2" s="82" t="s">
        <v>67</v>
      </c>
      <c r="AH2" s="113" t="s">
        <v>99</v>
      </c>
      <c r="AI2" s="117" t="s">
        <v>100</v>
      </c>
      <c r="AJ2" s="115" t="s">
        <v>101</v>
      </c>
      <c r="AK2" s="83" t="s">
        <v>66</v>
      </c>
      <c r="AL2" s="83" t="s">
        <v>46</v>
      </c>
      <c r="AM2" s="83" t="s">
        <v>91</v>
      </c>
      <c r="AN2" s="120" t="s">
        <v>103</v>
      </c>
      <c r="AO2" s="124" t="s">
        <v>103</v>
      </c>
      <c r="AP2" s="122" t="s">
        <v>103</v>
      </c>
      <c r="AQ2" s="85" t="s">
        <v>63</v>
      </c>
      <c r="AR2" s="152" t="s">
        <v>106</v>
      </c>
      <c r="AS2" s="152" t="s">
        <v>105</v>
      </c>
      <c r="AT2" s="127" t="s">
        <v>71</v>
      </c>
      <c r="AU2" s="132" t="s">
        <v>71</v>
      </c>
      <c r="AV2" s="129" t="s">
        <v>71</v>
      </c>
      <c r="AW2" s="135" t="s">
        <v>104</v>
      </c>
      <c r="AX2" s="139" t="s">
        <v>104</v>
      </c>
      <c r="AY2" s="154" t="s">
        <v>107</v>
      </c>
      <c r="AZ2" s="137" t="s">
        <v>104</v>
      </c>
      <c r="BA2" s="88" t="s">
        <v>108</v>
      </c>
      <c r="BB2" s="142" t="s">
        <v>69</v>
      </c>
      <c r="BC2" s="147" t="s">
        <v>69</v>
      </c>
      <c r="BD2" s="144" t="s">
        <v>69</v>
      </c>
      <c r="BE2" s="80" t="s">
        <v>53</v>
      </c>
      <c r="BF2" s="74"/>
      <c r="BG2" s="74"/>
      <c r="BH2" s="74"/>
    </row>
    <row r="3" spans="1:62" ht="20.25" customHeight="1" x14ac:dyDescent="0.25">
      <c r="A3" s="2" t="s">
        <v>22</v>
      </c>
      <c r="B3" s="30">
        <v>3.94</v>
      </c>
      <c r="C3" s="2">
        <v>1</v>
      </c>
      <c r="D3" s="2">
        <v>28</v>
      </c>
      <c r="E3" s="2">
        <v>28</v>
      </c>
      <c r="F3" s="22">
        <f t="shared" ref="F3:F11" si="0">D3*1.6726219E-27</f>
        <v>4.6833413199999998E-26</v>
      </c>
      <c r="G3" s="22">
        <f t="shared" ref="G3:G12" si="1">E3*9.1093856E-31</f>
        <v>2.5506279679999997E-29</v>
      </c>
      <c r="H3" s="24">
        <f t="shared" ref="H3:H12" si="2">((F3*D3)/(G3*E3))</f>
        <v>1836.1522647586683</v>
      </c>
      <c r="I3" s="24">
        <f t="shared" ref="I3:I12" si="3">D3/E3</f>
        <v>1</v>
      </c>
      <c r="J3" s="26">
        <f t="shared" ref="J3:J12" si="4">(F3)-(G3)</f>
        <v>4.680790692032E-26</v>
      </c>
      <c r="K3" s="3">
        <v>58.44</v>
      </c>
      <c r="L3" s="11">
        <f>0.0893*EXP(22000/(8.3144598*N3))/1000</f>
        <v>1.0321390978018604E-3</v>
      </c>
      <c r="M3" s="27">
        <f t="shared" ref="M3:M12" si="5">N3^-1</f>
        <v>9.2494103500901812E-4</v>
      </c>
      <c r="N3" s="3">
        <v>1081.1500000000001</v>
      </c>
      <c r="O3" s="5">
        <v>3.765E-5</v>
      </c>
      <c r="P3" s="5">
        <v>3.5E-4</v>
      </c>
      <c r="R3" s="6">
        <v>1.02E-10</v>
      </c>
      <c r="S3" s="6">
        <v>1.81E-10</v>
      </c>
      <c r="T3" s="6">
        <f>S3+R3</f>
        <v>2.8300000000000001E-10</v>
      </c>
      <c r="U3" s="6">
        <v>1560000</v>
      </c>
      <c r="V3" s="4">
        <v>2732.9322499999998</v>
      </c>
      <c r="W3" s="4">
        <v>-0.91500000000000004</v>
      </c>
      <c r="X3" s="4">
        <v>2.1393</v>
      </c>
      <c r="Y3" s="4">
        <v>-5.4299999999999997E-4</v>
      </c>
      <c r="Z3" s="4">
        <v>1</v>
      </c>
      <c r="AA3" s="4">
        <v>1</v>
      </c>
      <c r="AB3" s="11">
        <f t="shared" ref="AB3:AB11" si="6">Z3+AA3</f>
        <v>2</v>
      </c>
      <c r="AC3" s="37">
        <v>0.47705461868503202</v>
      </c>
      <c r="AD3" s="104">
        <v>0.54204679187053895</v>
      </c>
      <c r="AE3" s="111">
        <v>0.36608849367903401</v>
      </c>
      <c r="AF3" s="107">
        <v>0.35512727904679298</v>
      </c>
      <c r="AG3" s="101">
        <v>1096065992.68455</v>
      </c>
      <c r="AH3" s="114">
        <v>4.0269415584248401E-10</v>
      </c>
      <c r="AI3" s="118">
        <v>3.3400223720324102E-10</v>
      </c>
      <c r="AJ3" s="116">
        <v>2.63829030993587E-10</v>
      </c>
      <c r="AK3" s="94">
        <v>7.0750000000000001E-11</v>
      </c>
      <c r="AL3" s="39">
        <f t="shared" ref="AL3:AL11" si="7">AC3/AG3</f>
        <v>4.3524260570898789E-10</v>
      </c>
      <c r="AM3" s="94">
        <f>(AL3-AK3)/AK3</f>
        <v>5.151838949950359</v>
      </c>
      <c r="AN3" s="121">
        <v>2.4885749095030998E-4</v>
      </c>
      <c r="AO3" s="125">
        <v>2.0640716413749399E-4</v>
      </c>
      <c r="AP3" s="123">
        <v>1.6304142918477599E-4</v>
      </c>
      <c r="AQ3" s="45">
        <f>V3+W3*N3</f>
        <v>1743.6799999999998</v>
      </c>
      <c r="AR3" s="153">
        <f>AVERAGE(AS3,AQ3)</f>
        <v>2471.84</v>
      </c>
      <c r="AS3" s="153">
        <v>3200</v>
      </c>
      <c r="AT3" s="128">
        <f>$AC3/AN3</f>
        <v>1916.9791387966968</v>
      </c>
      <c r="AU3" s="133">
        <f>$AC3/AO3</f>
        <v>2311.230914287702</v>
      </c>
      <c r="AV3" s="130">
        <f>$AC3/AP3</f>
        <v>2925.9717672394954</v>
      </c>
      <c r="AW3" s="136">
        <v>6.33983581832466E-3</v>
      </c>
      <c r="AX3" s="140">
        <v>5.2583811215029296E-3</v>
      </c>
      <c r="AY3" s="157">
        <f>1/3*AQ3*AO3</f>
        <v>0.11996934798775516</v>
      </c>
      <c r="AZ3" s="138">
        <v>4.1536056988651397E-3</v>
      </c>
      <c r="BA3" s="150">
        <v>69.62</v>
      </c>
      <c r="BB3" s="143">
        <f t="shared" ref="BB3:BB12" si="8">$AC3/(AW3)</f>
        <v>75.247156607140113</v>
      </c>
      <c r="BC3" s="148">
        <f t="shared" ref="BC3:BC12" si="9">$AC3/(AX3)</f>
        <v>90.72271630031301</v>
      </c>
      <c r="BD3" s="145">
        <f>$AC3/(AZ3)</f>
        <v>114.85313081484222</v>
      </c>
      <c r="BE3" s="8">
        <f>L3/(U3/1000*(V3+W3*N3))</f>
        <v>3.7944326183477726E-10</v>
      </c>
      <c r="BJ3" s="8"/>
    </row>
    <row r="4" spans="1:62" s="11" customFormat="1" ht="20.25" customHeight="1" x14ac:dyDescent="0.25">
      <c r="A4" s="2" t="s">
        <v>21</v>
      </c>
      <c r="B4" s="30">
        <v>3.67</v>
      </c>
      <c r="C4" s="2">
        <v>1</v>
      </c>
      <c r="D4" s="2">
        <v>20</v>
      </c>
      <c r="E4" s="2">
        <v>20</v>
      </c>
      <c r="F4" s="22">
        <v>3.3452438000000001E-26</v>
      </c>
      <c r="G4" s="22">
        <v>1.82187712E-29</v>
      </c>
      <c r="H4" s="24">
        <v>1836.1522647586683</v>
      </c>
      <c r="I4" s="24">
        <v>1</v>
      </c>
      <c r="J4" s="26">
        <v>3.3434219228800004E-26</v>
      </c>
      <c r="K4" s="3">
        <v>42.393999999999998</v>
      </c>
      <c r="L4" s="11">
        <v>1.5609788980515524E-3</v>
      </c>
      <c r="M4" s="27">
        <v>1.1388224575788635E-3</v>
      </c>
      <c r="N4" s="3">
        <v>878.1</v>
      </c>
      <c r="O4" s="5">
        <v>2.828152101400934E-5</v>
      </c>
      <c r="P4" s="5">
        <v>2.8800000000000001E-4</v>
      </c>
      <c r="Q4" s="32"/>
      <c r="R4" s="6">
        <v>7.5999999999999996E-11</v>
      </c>
      <c r="S4" s="6">
        <v>1.81E-10</v>
      </c>
      <c r="T4" s="6">
        <v>2.5699999999999999E-10</v>
      </c>
      <c r="U4" s="6">
        <v>1499000</v>
      </c>
      <c r="V4" s="11">
        <v>2787.9043499999998</v>
      </c>
      <c r="W4" s="11">
        <v>-0.84899999999999998</v>
      </c>
      <c r="X4" s="11">
        <v>1.8842000000000001</v>
      </c>
      <c r="Y4" s="11">
        <v>-4.328E-4</v>
      </c>
      <c r="Z4" s="11">
        <v>1</v>
      </c>
      <c r="AA4" s="11">
        <v>1</v>
      </c>
      <c r="AB4" s="11">
        <v>2</v>
      </c>
      <c r="AC4" s="37">
        <v>0.62171538406412596</v>
      </c>
      <c r="AD4" s="104">
        <v>0.57774324348124695</v>
      </c>
      <c r="AE4" s="111">
        <v>0.48162168927176202</v>
      </c>
      <c r="AF4" s="107">
        <v>0.38117044603953698</v>
      </c>
      <c r="AG4" s="101">
        <v>1596825626.1070199</v>
      </c>
      <c r="AH4" s="114">
        <v>3.60550819002004E-10</v>
      </c>
      <c r="AI4" s="118">
        <v>3.0056447474785299E-10</v>
      </c>
      <c r="AJ4" s="116">
        <v>2.3787611200921799E-10</v>
      </c>
      <c r="AK4" s="94">
        <v>6.4249999999999998E-11</v>
      </c>
      <c r="AL4" s="39">
        <f t="shared" si="7"/>
        <v>3.8934456831071569E-10</v>
      </c>
      <c r="AM4" s="94">
        <f>(AL4-AK4)/AK4</f>
        <v>5.059837639077287</v>
      </c>
      <c r="AN4" s="121">
        <v>2.7686534936629598E-4</v>
      </c>
      <c r="AO4" s="125">
        <v>2.30802105895922E-4</v>
      </c>
      <c r="AP4" s="123">
        <v>1.8266399460588201E-4</v>
      </c>
      <c r="AQ4" s="45">
        <f>V4+W4*N4</f>
        <v>2042.3974499999999</v>
      </c>
      <c r="AR4" s="153">
        <f>AVERAGE(AS4,AQ4)</f>
        <v>3406.1987250000002</v>
      </c>
      <c r="AS4" s="153">
        <v>4770</v>
      </c>
      <c r="AT4" s="128">
        <f t="shared" ref="AT4:AT12" si="10">$AC4/AN4</f>
        <v>2245.5514403920206</v>
      </c>
      <c r="AU4" s="133">
        <f t="shared" ref="AU4:AV11" si="11">$AC4/AO4</f>
        <v>2693.7162538043849</v>
      </c>
      <c r="AV4" s="130">
        <f t="shared" si="11"/>
        <v>3403.6011607298219</v>
      </c>
      <c r="AW4" s="136">
        <v>8.8547644924065593E-3</v>
      </c>
      <c r="AX4" s="140">
        <v>7.3815603748811102E-3</v>
      </c>
      <c r="AY4" s="155"/>
      <c r="AZ4" s="138">
        <v>5.8419974084131599E-3</v>
      </c>
      <c r="BA4" s="150">
        <v>65.02</v>
      </c>
      <c r="BB4" s="143">
        <f t="shared" si="8"/>
        <v>70.212526216510966</v>
      </c>
      <c r="BC4" s="148">
        <f t="shared" si="9"/>
        <v>84.225468937404642</v>
      </c>
      <c r="BD4" s="145">
        <f t="shared" ref="BD4:BD12" si="12">$AC4/(AZ4)</f>
        <v>106.421715142972</v>
      </c>
      <c r="BE4" s="22">
        <v>5.0986492855295244E-10</v>
      </c>
      <c r="BF4" s="32"/>
      <c r="BG4" s="32"/>
      <c r="BH4" s="32"/>
      <c r="BJ4" s="22"/>
    </row>
    <row r="5" spans="1:62" s="11" customFormat="1" ht="20.25" customHeight="1" x14ac:dyDescent="0.25">
      <c r="A5" s="2" t="s">
        <v>23</v>
      </c>
      <c r="B5" s="30">
        <v>3.34</v>
      </c>
      <c r="C5" s="2">
        <v>1</v>
      </c>
      <c r="D5" s="2">
        <v>36</v>
      </c>
      <c r="E5" s="2">
        <v>36</v>
      </c>
      <c r="F5" s="22">
        <v>6.0214388399999996E-26</v>
      </c>
      <c r="G5" s="22">
        <v>3.2793788159999999E-29</v>
      </c>
      <c r="H5" s="24">
        <v>1836.1522647586683</v>
      </c>
      <c r="I5" s="24">
        <v>1</v>
      </c>
      <c r="J5" s="26">
        <v>6.0181594611840001E-26</v>
      </c>
      <c r="K5" s="3">
        <v>74.551299999999998</v>
      </c>
      <c r="L5" s="11">
        <v>1.1078669041234444E-3</v>
      </c>
      <c r="M5" s="27">
        <v>9.5680045926422035E-4</v>
      </c>
      <c r="N5" s="3">
        <v>1045.1500000000001</v>
      </c>
      <c r="O5" s="5">
        <v>4.884E-5</v>
      </c>
      <c r="P5" s="5">
        <v>3.8200000000000002E-4</v>
      </c>
      <c r="Q5" s="32"/>
      <c r="R5" s="6">
        <v>1.3799999999999999E-10</v>
      </c>
      <c r="S5" s="6">
        <v>1.81E-10</v>
      </c>
      <c r="T5" s="6">
        <v>3.1899999999999998E-10</v>
      </c>
      <c r="U5" s="6">
        <v>1530000</v>
      </c>
      <c r="V5" s="11">
        <v>2514.8256999999999</v>
      </c>
      <c r="W5" s="11">
        <v>-0.878</v>
      </c>
      <c r="X5" s="11">
        <v>2.1358999999999999</v>
      </c>
      <c r="Y5" s="11">
        <v>-5.8310000000000002E-4</v>
      </c>
      <c r="Z5" s="11">
        <v>1</v>
      </c>
      <c r="AA5" s="11">
        <v>1</v>
      </c>
      <c r="AB5" s="11">
        <v>2</v>
      </c>
      <c r="AC5" s="37">
        <v>0.36559719352224501</v>
      </c>
      <c r="AD5" s="104">
        <v>0.24535289248259401</v>
      </c>
      <c r="AE5" s="111">
        <v>0.296937775746827</v>
      </c>
      <c r="AF5" s="107">
        <v>0.24535289248259401</v>
      </c>
      <c r="AG5" s="101">
        <v>820903913.34655297</v>
      </c>
      <c r="AH5" s="114">
        <v>2.9896383292945799E-10</v>
      </c>
      <c r="AI5" s="118">
        <v>3.6182029353950698E-10</v>
      </c>
      <c r="AJ5" s="116">
        <v>2.9896383292945799E-10</v>
      </c>
      <c r="AK5" s="94">
        <v>7.9749999999999996E-11</v>
      </c>
      <c r="AL5" s="39">
        <f t="shared" si="7"/>
        <v>4.4535930159210294E-10</v>
      </c>
      <c r="AM5" s="94">
        <f>(AL5-AK5)/AK5</f>
        <v>4.5844426531925135</v>
      </c>
      <c r="AN5" s="121">
        <v>1.5031952187999399E-4</v>
      </c>
      <c r="AO5" s="125">
        <v>1.8192385680367899E-4</v>
      </c>
      <c r="AP5" s="123">
        <v>1.5031952187999399E-4</v>
      </c>
      <c r="AQ5" s="45">
        <f>V5+W5*N5</f>
        <v>1597.1839999999997</v>
      </c>
      <c r="AR5" s="153">
        <f>AVERAGE(AS5,AQ5)</f>
        <v>1813.5919999999999</v>
      </c>
      <c r="AS5" s="153">
        <v>2030</v>
      </c>
      <c r="AT5" s="128">
        <f t="shared" si="10"/>
        <v>2432.1338236700599</v>
      </c>
      <c r="AU5" s="133">
        <f t="shared" si="11"/>
        <v>2009.61655027342</v>
      </c>
      <c r="AV5" s="130">
        <f t="shared" si="11"/>
        <v>2432.1338236700599</v>
      </c>
      <c r="AW5" s="136">
        <v>3.3345187554467098E-3</v>
      </c>
      <c r="AX5" s="140">
        <v>4.0355936806355996E-3</v>
      </c>
      <c r="AY5" s="155"/>
      <c r="AZ5" s="138">
        <v>3.3345187554467098E-3</v>
      </c>
      <c r="BA5" s="150">
        <v>73.599999999999994</v>
      </c>
      <c r="BB5" s="143">
        <f t="shared" si="8"/>
        <v>109.64016709309757</v>
      </c>
      <c r="BC5" s="148">
        <f t="shared" si="9"/>
        <v>90.593162358373021</v>
      </c>
      <c r="BD5" s="145">
        <f t="shared" si="12"/>
        <v>109.64016709309757</v>
      </c>
      <c r="BE5" s="22">
        <v>4.5335791979318428E-10</v>
      </c>
      <c r="BF5" s="32"/>
      <c r="BG5" s="32"/>
      <c r="BH5" s="32"/>
      <c r="BJ5" s="22"/>
    </row>
    <row r="6" spans="1:62" s="11" customFormat="1" ht="20.25" customHeight="1" x14ac:dyDescent="0.25">
      <c r="A6" s="2" t="s">
        <v>16</v>
      </c>
      <c r="B6" s="30">
        <v>9.9499999999999993</v>
      </c>
      <c r="C6" s="2">
        <v>1</v>
      </c>
      <c r="D6" s="2">
        <v>12</v>
      </c>
      <c r="E6" s="2">
        <v>12</v>
      </c>
      <c r="F6" s="22">
        <v>2.0071462799999999E-26</v>
      </c>
      <c r="G6" s="22">
        <v>1.0931262719999999E-29</v>
      </c>
      <c r="H6" s="24">
        <v>1836.1522647586683</v>
      </c>
      <c r="I6" s="24">
        <v>1</v>
      </c>
      <c r="J6" s="26">
        <v>2.0060531537279999E-26</v>
      </c>
      <c r="K6" s="3">
        <v>25.939</v>
      </c>
      <c r="L6" s="11">
        <v>2.0988673196732184E-3</v>
      </c>
      <c r="M6" s="27">
        <v>8.9433439162902998E-4</v>
      </c>
      <c r="N6" s="3">
        <v>1118.1500000000001</v>
      </c>
      <c r="O6" s="5">
        <v>1.42E-5</v>
      </c>
      <c r="P6" s="5">
        <v>2.6800000000000001E-4</v>
      </c>
      <c r="Q6" s="32"/>
      <c r="R6" s="6">
        <v>7.5999999999999996E-11</v>
      </c>
      <c r="S6" s="6">
        <v>1.3300000000000001E-10</v>
      </c>
      <c r="T6" s="6">
        <v>2.09E-10</v>
      </c>
      <c r="U6" s="6">
        <v>1810000</v>
      </c>
      <c r="V6" s="11">
        <v>2547.8000000000002</v>
      </c>
      <c r="W6" s="11">
        <v>0</v>
      </c>
      <c r="X6" s="11">
        <v>2.3580999999999999</v>
      </c>
      <c r="Y6" s="11">
        <v>-4.9019999999999999E-4</v>
      </c>
      <c r="Z6" s="11">
        <v>1</v>
      </c>
      <c r="AA6" s="11">
        <v>1</v>
      </c>
      <c r="AB6" s="11">
        <v>2</v>
      </c>
      <c r="AC6" s="37">
        <v>1.2682350574951</v>
      </c>
      <c r="AD6" s="104">
        <v>1.08340059983421</v>
      </c>
      <c r="AE6" s="111">
        <v>0.90535258306336996</v>
      </c>
      <c r="AF6" s="107">
        <v>0.71631982706636499</v>
      </c>
      <c r="AG6" s="101">
        <v>3837057560.7207298</v>
      </c>
      <c r="AH6" s="114">
        <v>2.8231084688076099E-10</v>
      </c>
      <c r="AI6" s="118">
        <v>2.3591537099888599E-10</v>
      </c>
      <c r="AJ6" s="116">
        <v>1.8665750881763499E-10</v>
      </c>
      <c r="AK6" s="94">
        <v>5.2250000000000001E-11</v>
      </c>
      <c r="AL6" s="39">
        <f t="shared" si="7"/>
        <v>3.3052281270883056E-10</v>
      </c>
      <c r="AM6" s="94">
        <f>(AL6-AK6)/AK6</f>
        <v>5.3257954585422116</v>
      </c>
      <c r="AN6" s="121">
        <v>4.2121485861137801E-4</v>
      </c>
      <c r="AO6" s="125">
        <v>3.5199164586657898E-4</v>
      </c>
      <c r="AP6" s="123">
        <v>2.7849768102810397E-4</v>
      </c>
      <c r="AQ6" s="45">
        <f>V6+W6*N6</f>
        <v>2547.8000000000002</v>
      </c>
      <c r="AR6" s="153">
        <f>AVERAGE(AS6,AQ6)</f>
        <v>3658.9</v>
      </c>
      <c r="AS6" s="153">
        <v>4770</v>
      </c>
      <c r="AT6" s="128">
        <f t="shared" si="10"/>
        <v>3010.898194987944</v>
      </c>
      <c r="AU6" s="133">
        <f t="shared" si="11"/>
        <v>3603.0260160657886</v>
      </c>
      <c r="AV6" s="130">
        <f t="shared" si="11"/>
        <v>4553.8442288398046</v>
      </c>
      <c r="AW6" s="136">
        <v>1.6872943450113601E-2</v>
      </c>
      <c r="AX6" s="140">
        <v>1.4100013364198E-2</v>
      </c>
      <c r="AY6" s="155"/>
      <c r="AZ6" s="138">
        <v>1.1156006315794401E-2</v>
      </c>
      <c r="BA6" s="150">
        <v>64.2</v>
      </c>
      <c r="BB6" s="143">
        <f t="shared" si="8"/>
        <v>75.163830261433219</v>
      </c>
      <c r="BC6" s="148">
        <f t="shared" si="9"/>
        <v>89.945663506627213</v>
      </c>
      <c r="BD6" s="145">
        <f t="shared" si="12"/>
        <v>113.6818160186557</v>
      </c>
      <c r="BE6" s="22">
        <v>4.5513588360128237E-10</v>
      </c>
      <c r="BF6" s="32"/>
      <c r="BG6" s="32"/>
      <c r="BH6" s="32"/>
      <c r="BJ6" s="22"/>
    </row>
    <row r="7" spans="1:62" x14ac:dyDescent="0.25">
      <c r="A7" s="4" t="s">
        <v>38</v>
      </c>
      <c r="B7" s="31"/>
      <c r="C7" s="11">
        <v>2</v>
      </c>
      <c r="D7" s="25">
        <v>12.34</v>
      </c>
      <c r="E7" s="25">
        <v>11.34</v>
      </c>
      <c r="F7" s="22">
        <f t="shared" si="0"/>
        <v>2.0640154245999999E-26</v>
      </c>
      <c r="G7" s="22">
        <f t="shared" si="1"/>
        <v>1.0330043270399999E-29</v>
      </c>
      <c r="H7" s="24">
        <f t="shared" si="2"/>
        <v>2174.2671429464549</v>
      </c>
      <c r="I7" s="24">
        <f t="shared" si="3"/>
        <v>1.088183421516755</v>
      </c>
      <c r="J7" s="26">
        <f t="shared" si="4"/>
        <v>2.06298242027296E-26</v>
      </c>
      <c r="K7" s="4">
        <v>33.103140000000003</v>
      </c>
      <c r="L7" s="11">
        <f>0.116*EXP(31200/(8.3144598*N7))/1000</f>
        <v>1.9398692129051695E-2</v>
      </c>
      <c r="M7" s="27">
        <f t="shared" si="5"/>
        <v>1.364256480218281E-3</v>
      </c>
      <c r="N7" s="4">
        <v>733</v>
      </c>
      <c r="O7" s="4">
        <v>1.6714173769923689E-5</v>
      </c>
      <c r="P7" s="4">
        <v>1.409526898683356E-4</v>
      </c>
      <c r="U7" s="8">
        <v>1986063.3540000001</v>
      </c>
      <c r="V7" s="4">
        <v>2547.6863757231322</v>
      </c>
      <c r="Z7" s="4">
        <v>2</v>
      </c>
      <c r="AA7" s="4">
        <v>3</v>
      </c>
      <c r="AB7" s="11">
        <f t="shared" si="6"/>
        <v>5</v>
      </c>
      <c r="AC7" s="37">
        <v>0.98602842355479803</v>
      </c>
      <c r="AD7" s="104">
        <v>0.94926009679603196</v>
      </c>
      <c r="AE7" s="111">
        <v>1.2641169574941</v>
      </c>
      <c r="AF7" s="107">
        <v>0.94926009679603196</v>
      </c>
      <c r="AG7" s="101">
        <v>6136375549.3502598</v>
      </c>
      <c r="AH7" s="114">
        <v>1.5469393767735401E-10</v>
      </c>
      <c r="AI7" s="118">
        <v>2.06003844994128E-10</v>
      </c>
      <c r="AJ7" s="116">
        <v>1.5469393767735401E-10</v>
      </c>
      <c r="AK7" s="94">
        <v>4.2509000000000002E-11</v>
      </c>
      <c r="AL7" s="39">
        <f t="shared" si="7"/>
        <v>1.6068580151669531E-10</v>
      </c>
      <c r="AM7" s="39">
        <f t="shared" ref="AM7:AM12" si="13">(AL7-AK7)/AK7</f>
        <v>2.7800419091650075</v>
      </c>
      <c r="AN7" s="121">
        <v>2.7398875930803498E-4</v>
      </c>
      <c r="AO7" s="125">
        <v>3.64867161248093E-4</v>
      </c>
      <c r="AP7" s="123">
        <v>2.7398875930803498E-4</v>
      </c>
      <c r="AQ7" s="45">
        <f t="shared" ref="AQ7:AQ12" si="14">V7+W7*N7</f>
        <v>2547.6863757231322</v>
      </c>
      <c r="AR7" s="153"/>
      <c r="AS7" s="153"/>
      <c r="AT7" s="128">
        <f t="shared" si="10"/>
        <v>3598.7915199332842</v>
      </c>
      <c r="AU7" s="133">
        <f t="shared" ref="AU7:AU12" si="15">$AC7/AO7</f>
        <v>2702.4312634272496</v>
      </c>
      <c r="AV7" s="130">
        <f t="shared" si="11"/>
        <v>3598.7915199332842</v>
      </c>
      <c r="AW7" s="136">
        <v>1.19126423483942E-2</v>
      </c>
      <c r="AX7" s="140">
        <v>1.58639062697306E-2</v>
      </c>
      <c r="AY7" s="155"/>
      <c r="AZ7" s="138">
        <v>1.19126423483942E-2</v>
      </c>
      <c r="BA7" s="150">
        <v>72.25800000000001</v>
      </c>
      <c r="BB7" s="143">
        <f t="shared" si="8"/>
        <v>82.771596319074632</v>
      </c>
      <c r="BC7" s="148">
        <f t="shared" si="9"/>
        <v>62.155462014813253</v>
      </c>
      <c r="BD7" s="145">
        <f t="shared" si="12"/>
        <v>82.771596319074632</v>
      </c>
      <c r="BE7" s="8">
        <f t="shared" ref="BE7:BE12" si="16">L7/(U7/1000*(V7+W7*N7))</f>
        <v>3.8338347353322035E-9</v>
      </c>
      <c r="BJ7" s="8"/>
    </row>
    <row r="8" spans="1:62" x14ac:dyDescent="0.25">
      <c r="A8" s="4" t="s">
        <v>39</v>
      </c>
      <c r="B8" s="31"/>
      <c r="C8" s="11">
        <v>3</v>
      </c>
      <c r="D8" s="25">
        <v>19.64</v>
      </c>
      <c r="E8" s="25">
        <v>19.64</v>
      </c>
      <c r="F8" s="22">
        <f t="shared" si="0"/>
        <v>3.2850294116000003E-26</v>
      </c>
      <c r="G8" s="22">
        <f t="shared" si="1"/>
        <v>1.78908333184E-29</v>
      </c>
      <c r="H8" s="24">
        <f t="shared" si="2"/>
        <v>1836.1522647586683</v>
      </c>
      <c r="I8" s="24">
        <f t="shared" si="3"/>
        <v>1</v>
      </c>
      <c r="J8" s="26">
        <f t="shared" si="4"/>
        <v>3.2832403282681602E-26</v>
      </c>
      <c r="K8" s="4">
        <v>41.290994999999988</v>
      </c>
      <c r="L8" s="11">
        <f>10^(0.213+-1200/N8+1350000/N8^2)/1000</f>
        <v>1.2003439447166342E-2</v>
      </c>
      <c r="M8" s="27">
        <f t="shared" si="5"/>
        <v>1.3605442176870747E-3</v>
      </c>
      <c r="N8" s="4">
        <v>735</v>
      </c>
      <c r="O8" s="4">
        <v>1.9405588331960499E-5</v>
      </c>
      <c r="P8" s="4">
        <v>3.1252324985815613E-4</v>
      </c>
      <c r="U8" s="8">
        <v>2102415.4449999998</v>
      </c>
      <c r="V8" s="4">
        <v>2012.468707779205</v>
      </c>
      <c r="Z8" s="4">
        <v>3</v>
      </c>
      <c r="AA8" s="4">
        <v>3</v>
      </c>
      <c r="AB8" s="11">
        <f t="shared" si="6"/>
        <v>6</v>
      </c>
      <c r="AC8" s="37">
        <v>0.78633287605038305</v>
      </c>
      <c r="AD8" s="104">
        <v>1.00506308659067</v>
      </c>
      <c r="AE8" s="111">
        <v>0.84284465559077204</v>
      </c>
      <c r="AF8" s="107">
        <v>0.60317663224360296</v>
      </c>
      <c r="AG8" s="101">
        <v>3247299256.6262999</v>
      </c>
      <c r="AH8" s="114">
        <v>3.0950738049158301E-10</v>
      </c>
      <c r="AI8" s="118">
        <v>2.5955250470707202E-10</v>
      </c>
      <c r="AJ8" s="116">
        <v>1.85747165436873E-10</v>
      </c>
      <c r="AK8" s="94">
        <v>4.3781312500000001E-11</v>
      </c>
      <c r="AL8" s="39">
        <f t="shared" si="7"/>
        <v>2.4214980323905345E-10</v>
      </c>
      <c r="AM8" s="39">
        <f t="shared" si="13"/>
        <v>4.5308941055399705</v>
      </c>
      <c r="AN8" s="121">
        <v>4.2602763138870899E-4</v>
      </c>
      <c r="AO8" s="125">
        <v>3.5726624232913199E-4</v>
      </c>
      <c r="AP8" s="123">
        <v>2.5567540522798601E-4</v>
      </c>
      <c r="AQ8" s="45">
        <f t="shared" si="14"/>
        <v>2012.468707779205</v>
      </c>
      <c r="AR8" s="153"/>
      <c r="AS8" s="153"/>
      <c r="AT8" s="128">
        <f t="shared" si="10"/>
        <v>1845.7321030732169</v>
      </c>
      <c r="AU8" s="133">
        <f t="shared" si="15"/>
        <v>2200.9716645044032</v>
      </c>
      <c r="AV8" s="130">
        <f t="shared" si="11"/>
        <v>3075.5123878622944</v>
      </c>
      <c r="AW8" s="136">
        <v>1.2925253853935901E-2</v>
      </c>
      <c r="AX8" s="140">
        <v>1.0839101821854699E-2</v>
      </c>
      <c r="AY8" s="155"/>
      <c r="AZ8" s="138">
        <v>7.7569370465655797E-3</v>
      </c>
      <c r="BA8" s="150">
        <v>66.024000000000001</v>
      </c>
      <c r="BB8" s="143">
        <f t="shared" si="8"/>
        <v>60.836938673427674</v>
      </c>
      <c r="BC8" s="148">
        <f t="shared" si="9"/>
        <v>72.54594420959431</v>
      </c>
      <c r="BD8" s="145">
        <f t="shared" si="12"/>
        <v>101.37156861399767</v>
      </c>
      <c r="BE8" s="8">
        <f t="shared" si="16"/>
        <v>2.8369914793196441E-9</v>
      </c>
      <c r="BJ8" s="8"/>
    </row>
    <row r="9" spans="1:62" x14ac:dyDescent="0.25">
      <c r="A9" s="4" t="s">
        <v>45</v>
      </c>
      <c r="B9" s="31"/>
      <c r="C9" s="11">
        <v>2</v>
      </c>
      <c r="D9" s="25">
        <v>15.2</v>
      </c>
      <c r="E9" s="25">
        <v>15.2</v>
      </c>
      <c r="F9" s="22">
        <f t="shared" si="0"/>
        <v>2.5423852879999997E-26</v>
      </c>
      <c r="G9" s="22">
        <f t="shared" si="1"/>
        <v>1.3846266111999999E-29</v>
      </c>
      <c r="H9" s="24">
        <f t="shared" si="2"/>
        <v>1836.152264758668</v>
      </c>
      <c r="I9" s="24">
        <f t="shared" si="3"/>
        <v>1</v>
      </c>
      <c r="J9" s="26">
        <f t="shared" si="4"/>
        <v>2.5410006613887998E-26</v>
      </c>
      <c r="K9" s="4">
        <v>32.358600000000003</v>
      </c>
      <c r="L9" s="11">
        <f>0.116*EXP(26800/(8.3144598*N9))/1000</f>
        <v>3.9071251973790879E-3</v>
      </c>
      <c r="M9" s="27">
        <f t="shared" si="5"/>
        <v>1.0911074740861974E-3</v>
      </c>
      <c r="N9" s="4">
        <v>916.5</v>
      </c>
      <c r="O9" s="4">
        <v>1.5885583505580338E-5</v>
      </c>
      <c r="P9" s="4">
        <v>2.7773488865206569E-4</v>
      </c>
      <c r="U9" s="8">
        <v>2014141.42</v>
      </c>
      <c r="V9" s="4">
        <v>2298.228366828082</v>
      </c>
      <c r="Z9" s="4">
        <v>2</v>
      </c>
      <c r="AA9" s="4">
        <v>2</v>
      </c>
      <c r="AB9" s="11">
        <f t="shared" si="6"/>
        <v>4</v>
      </c>
      <c r="AC9" s="37">
        <v>0.86544945017474995</v>
      </c>
      <c r="AD9" s="104">
        <v>0.75516834485926099</v>
      </c>
      <c r="AE9" s="111">
        <v>0.93676902087574598</v>
      </c>
      <c r="AF9" s="107">
        <v>0.75516834485926099</v>
      </c>
      <c r="AG9" s="101">
        <v>3639311303.4173899</v>
      </c>
      <c r="AH9" s="114">
        <v>1.8261412703366699E-10</v>
      </c>
      <c r="AI9" s="118">
        <v>2.4173581555363199E-10</v>
      </c>
      <c r="AJ9" s="116">
        <v>1.8261412703366699E-10</v>
      </c>
      <c r="AK9" s="94">
        <v>4.4170000000000001E-11</v>
      </c>
      <c r="AL9" s="39">
        <f t="shared" si="7"/>
        <v>2.3780583138410686E-10</v>
      </c>
      <c r="AM9" s="39">
        <f t="shared" si="13"/>
        <v>4.3838766444217079</v>
      </c>
      <c r="AN9" s="121">
        <v>2.5520205906967699E-4</v>
      </c>
      <c r="AO9" s="125">
        <v>3.3782423562883098E-4</v>
      </c>
      <c r="AP9" s="123">
        <v>2.5520205906967699E-4</v>
      </c>
      <c r="AQ9" s="45">
        <f t="shared" si="14"/>
        <v>2298.228366828082</v>
      </c>
      <c r="AR9" s="153"/>
      <c r="AS9" s="153"/>
      <c r="AT9" s="128">
        <f t="shared" si="10"/>
        <v>3391.23223899404</v>
      </c>
      <c r="AU9" s="133">
        <f t="shared" si="15"/>
        <v>2561.8335184383373</v>
      </c>
      <c r="AV9" s="130">
        <f t="shared" si="11"/>
        <v>3391.23223899404</v>
      </c>
      <c r="AW9" s="136">
        <v>9.9788236738337192E-3</v>
      </c>
      <c r="AX9" s="140">
        <v>1.32094877775549E-2</v>
      </c>
      <c r="AY9" s="155"/>
      <c r="AZ9" s="138">
        <v>9.9788236738337192E-3</v>
      </c>
      <c r="BA9" s="150">
        <v>66.600000000000009</v>
      </c>
      <c r="BB9" s="143">
        <f t="shared" si="8"/>
        <v>86.728604338817505</v>
      </c>
      <c r="BC9" s="148">
        <f t="shared" si="9"/>
        <v>65.517260377445623</v>
      </c>
      <c r="BD9" s="145">
        <f t="shared" si="12"/>
        <v>86.728604338817505</v>
      </c>
      <c r="BE9" s="8">
        <f t="shared" si="16"/>
        <v>8.4406168446792717E-10</v>
      </c>
      <c r="BJ9" s="8"/>
    </row>
    <row r="10" spans="1:62" x14ac:dyDescent="0.25">
      <c r="A10" s="4" t="s">
        <v>75</v>
      </c>
      <c r="B10" s="31"/>
      <c r="C10" s="11">
        <v>2</v>
      </c>
      <c r="D10" s="25">
        <v>57.97</v>
      </c>
      <c r="E10" s="25">
        <v>57.23</v>
      </c>
      <c r="F10" s="22">
        <f t="shared" si="0"/>
        <v>9.6961891543000003E-26</v>
      </c>
      <c r="G10" s="22">
        <f t="shared" si="1"/>
        <v>5.2133013788799995E-29</v>
      </c>
      <c r="H10" s="24">
        <f t="shared" si="2"/>
        <v>1883.9431857125064</v>
      </c>
      <c r="I10" s="24">
        <f t="shared" si="3"/>
        <v>1.0129302813209855</v>
      </c>
      <c r="J10" s="26">
        <f t="shared" si="4"/>
        <v>9.6909758529211207E-26</v>
      </c>
      <c r="K10" s="4">
        <v>164.240723</v>
      </c>
      <c r="L10" s="11">
        <f>10^(-1.2675+1704/N10+0/N10^2)/1000</f>
        <v>8.0532167424896099E-3</v>
      </c>
      <c r="M10" s="27">
        <f t="shared" si="5"/>
        <v>1.2755102040816326E-3</v>
      </c>
      <c r="N10" s="4">
        <v>784</v>
      </c>
      <c r="O10" s="4">
        <v>4.607843109406244E-5</v>
      </c>
      <c r="P10" s="4">
        <v>3.4092675768507421E-4</v>
      </c>
      <c r="U10" s="8">
        <v>2996639.6639999989</v>
      </c>
      <c r="V10" s="4">
        <v>1451.7494609289899</v>
      </c>
      <c r="Z10" s="4">
        <v>2</v>
      </c>
      <c r="AA10" s="4">
        <v>4</v>
      </c>
      <c r="AB10" s="11">
        <f t="shared" si="6"/>
        <v>6</v>
      </c>
      <c r="AC10" s="37">
        <v>0.239262577144952</v>
      </c>
      <c r="AD10" s="104">
        <v>0.34729589008948702</v>
      </c>
      <c r="AE10" s="111">
        <v>0.30884033107708703</v>
      </c>
      <c r="AF10" s="107">
        <v>0.27030115340192401</v>
      </c>
      <c r="AG10" s="101">
        <v>974492101.32778299</v>
      </c>
      <c r="AH10" s="114">
        <v>3.5638656241162298E-10</v>
      </c>
      <c r="AI10" s="118">
        <v>3.1692440673072701E-10</v>
      </c>
      <c r="AJ10" s="116">
        <v>2.7737644361983898E-10</v>
      </c>
      <c r="AK10" s="94">
        <v>5.9341049999999997E-11</v>
      </c>
      <c r="AL10" s="39">
        <f t="shared" si="7"/>
        <v>2.4552541454050528E-10</v>
      </c>
      <c r="AM10" s="39">
        <f t="shared" si="13"/>
        <v>3.1375306729575105</v>
      </c>
      <c r="AN10" s="121">
        <v>2.38556747174589E-4</v>
      </c>
      <c r="AO10" s="125">
        <v>2.12141712241654E-4</v>
      </c>
      <c r="AP10" s="123">
        <v>1.85669239841818E-4</v>
      </c>
      <c r="AQ10" s="45">
        <f t="shared" si="14"/>
        <v>1451.7494609289899</v>
      </c>
      <c r="AR10" s="153"/>
      <c r="AS10" s="153"/>
      <c r="AT10" s="128">
        <f t="shared" si="10"/>
        <v>1002.958750815991</v>
      </c>
      <c r="AU10" s="133">
        <f t="shared" si="15"/>
        <v>1127.8431507727448</v>
      </c>
      <c r="AV10" s="130">
        <f t="shared" si="11"/>
        <v>1288.6495218529099</v>
      </c>
      <c r="AW10" s="136">
        <v>3.49530789960495E-3</v>
      </c>
      <c r="AX10" s="140">
        <v>3.1082776379881701E-3</v>
      </c>
      <c r="AY10" s="155"/>
      <c r="AZ10" s="138">
        <v>2.72040580876046E-3</v>
      </c>
      <c r="BA10" s="150">
        <v>99.360600000000005</v>
      </c>
      <c r="BB10" s="143">
        <f t="shared" si="8"/>
        <v>68.452503761398006</v>
      </c>
      <c r="BC10" s="148">
        <f t="shared" si="9"/>
        <v>76.975934910310812</v>
      </c>
      <c r="BD10" s="145">
        <f t="shared" si="12"/>
        <v>87.951060968352678</v>
      </c>
      <c r="BE10" s="8">
        <f t="shared" si="16"/>
        <v>1.8511567318115176E-9</v>
      </c>
      <c r="BJ10" s="8"/>
    </row>
    <row r="11" spans="1:62" x14ac:dyDescent="0.25">
      <c r="A11" s="4" t="s">
        <v>76</v>
      </c>
      <c r="B11" s="31"/>
      <c r="C11" s="11">
        <v>2</v>
      </c>
      <c r="D11" s="25">
        <v>55.701999999999998</v>
      </c>
      <c r="E11" s="25">
        <v>55.018000000000001</v>
      </c>
      <c r="F11" s="22">
        <f t="shared" si="0"/>
        <v>9.3168385073799999E-26</v>
      </c>
      <c r="G11" s="22">
        <f t="shared" si="1"/>
        <v>5.0118017694079994E-29</v>
      </c>
      <c r="H11" s="24">
        <f t="shared" si="2"/>
        <v>1882.0912368640552</v>
      </c>
      <c r="I11" s="24">
        <f t="shared" si="3"/>
        <v>1.0124322948853102</v>
      </c>
      <c r="J11" s="26">
        <f t="shared" si="4"/>
        <v>9.3118267056105916E-26</v>
      </c>
      <c r="K11" s="4">
        <v>156.23418179999999</v>
      </c>
      <c r="L11" s="11">
        <f>10^(-1.2179+1557/N11+0/N11^2)/1000</f>
        <v>5.8623181999963962E-3</v>
      </c>
      <c r="M11" s="27">
        <f>N11^-1</f>
        <v>1.2755102040816326E-3</v>
      </c>
      <c r="N11" s="4">
        <v>784</v>
      </c>
      <c r="O11" s="4">
        <v>4.5172248870240592E-5</v>
      </c>
      <c r="P11" s="4">
        <v>3.4144514086291769E-4</v>
      </c>
      <c r="U11" s="8">
        <v>2899543.8624</v>
      </c>
      <c r="V11" s="4">
        <v>1470.4555590061771</v>
      </c>
      <c r="Z11" s="4">
        <v>2</v>
      </c>
      <c r="AA11" s="4">
        <v>4</v>
      </c>
      <c r="AB11" s="11">
        <f t="shared" si="6"/>
        <v>6</v>
      </c>
      <c r="AC11" s="37">
        <v>0.27567442291687039</v>
      </c>
      <c r="AD11" s="104">
        <v>0.36148346330236197</v>
      </c>
      <c r="AE11" s="111">
        <v>0.32145693534244602</v>
      </c>
      <c r="AF11" s="107">
        <v>0.281343372768316</v>
      </c>
      <c r="AG11" s="101">
        <v>1014301607.94012</v>
      </c>
      <c r="AH11" s="114">
        <v>3.5638656241162298E-10</v>
      </c>
      <c r="AI11" s="118">
        <v>3.1692440673072701E-10</v>
      </c>
      <c r="AJ11" s="116">
        <v>2.7737644361983898E-10</v>
      </c>
      <c r="AK11" s="94">
        <v>5.9682537999999999E-11</v>
      </c>
      <c r="AL11" s="39">
        <f t="shared" si="7"/>
        <v>2.7178742571129298E-10</v>
      </c>
      <c r="AM11" s="39">
        <f t="shared" si="13"/>
        <v>3.5538851868412999</v>
      </c>
      <c r="AN11" s="121">
        <v>2.45101554137529E-4</v>
      </c>
      <c r="AO11" s="125">
        <v>2.1796182243284901E-4</v>
      </c>
      <c r="AP11" s="123">
        <v>1.9076307746373699E-4</v>
      </c>
      <c r="AQ11" s="45">
        <f t="shared" si="14"/>
        <v>1470.4555590061771</v>
      </c>
      <c r="AR11" s="153"/>
      <c r="AS11" s="153"/>
      <c r="AT11" s="128">
        <f t="shared" si="10"/>
        <v>1124.7355158025096</v>
      </c>
      <c r="AU11" s="133">
        <f t="shared" si="15"/>
        <v>1264.7830699883316</v>
      </c>
      <c r="AV11" s="130">
        <f t="shared" si="11"/>
        <v>1445.1141519735368</v>
      </c>
      <c r="AW11" s="136">
        <v>3.72241388321406E-3</v>
      </c>
      <c r="AX11" s="140">
        <v>3.3102365127371698E-3</v>
      </c>
      <c r="AY11" s="155"/>
      <c r="AZ11" s="138">
        <v>2.8971628941904201E-3</v>
      </c>
      <c r="BA11" s="150">
        <v>97.109960000000001</v>
      </c>
      <c r="BB11" s="143">
        <f t="shared" si="8"/>
        <v>74.057971941272584</v>
      </c>
      <c r="BC11" s="148">
        <f t="shared" si="9"/>
        <v>83.279373499786757</v>
      </c>
      <c r="BD11" s="145">
        <f t="shared" si="12"/>
        <v>95.153235418578191</v>
      </c>
      <c r="BE11" s="8">
        <f t="shared" si="16"/>
        <v>1.3749528367298905E-9</v>
      </c>
      <c r="BJ11" s="8"/>
    </row>
    <row r="12" spans="1:62" ht="15.75" thickBot="1" x14ac:dyDescent="0.3">
      <c r="A12" s="19" t="s">
        <v>54</v>
      </c>
      <c r="B12" s="31">
        <v>0.01</v>
      </c>
      <c r="C12" s="23">
        <v>1</v>
      </c>
      <c r="D12" s="23">
        <v>10</v>
      </c>
      <c r="E12" s="23">
        <v>10</v>
      </c>
      <c r="F12" s="22">
        <f>D12*1.6726219E-27</f>
        <v>1.6726219000000001E-26</v>
      </c>
      <c r="G12" s="22">
        <f t="shared" si="1"/>
        <v>9.1093856E-30</v>
      </c>
      <c r="H12" s="24">
        <f t="shared" si="2"/>
        <v>1836.1522647586683</v>
      </c>
      <c r="I12" s="24">
        <f t="shared" si="3"/>
        <v>1</v>
      </c>
      <c r="J12" s="26">
        <f t="shared" si="4"/>
        <v>1.6717109614400002E-26</v>
      </c>
      <c r="K12" s="9">
        <v>18.015000000000001</v>
      </c>
      <c r="L12" s="21">
        <v>1.7930000000000001E-3</v>
      </c>
      <c r="M12" s="27">
        <f t="shared" si="5"/>
        <v>3.6609921288669233E-3</v>
      </c>
      <c r="N12" s="4">
        <v>273.14999999999998</v>
      </c>
      <c r="O12" s="18">
        <v>1.802E-5</v>
      </c>
      <c r="P12" s="18">
        <v>5.1E-5</v>
      </c>
      <c r="T12" s="22">
        <v>3.1000000000000002E-10</v>
      </c>
      <c r="U12" s="8">
        <v>999840</v>
      </c>
      <c r="V12" s="4">
        <v>1403</v>
      </c>
      <c r="W12" s="4">
        <v>0</v>
      </c>
      <c r="X12" s="18">
        <v>999840</v>
      </c>
      <c r="Y12" s="4">
        <v>0</v>
      </c>
      <c r="AC12" s="54">
        <v>0.56100000000000005</v>
      </c>
      <c r="AD12" s="104">
        <f>$AG$12*AH12</f>
        <v>0.53393579634110244</v>
      </c>
      <c r="AE12" s="112">
        <f>$AG$12*AI12</f>
        <v>0.55623382223307438</v>
      </c>
      <c r="AF12" s="107">
        <f>$AG$12*AJ12</f>
        <v>0.53393579634110244</v>
      </c>
      <c r="AG12" s="101">
        <f>1/3*BA12/O12*V12</f>
        <v>1956310395.8564556</v>
      </c>
      <c r="AH12" s="114">
        <v>2.7293000000000001E-10</v>
      </c>
      <c r="AI12" s="119">
        <v>2.8432800000000002E-10</v>
      </c>
      <c r="AJ12" s="116">
        <v>2.7293000000000001E-10</v>
      </c>
      <c r="AK12" s="94">
        <f>T12</f>
        <v>3.1000000000000002E-10</v>
      </c>
      <c r="AL12" s="39">
        <f>AC12/(1/3*BA12/O12*V12)</f>
        <v>2.8676430958411341E-10</v>
      </c>
      <c r="AM12" s="39">
        <f t="shared" si="13"/>
        <v>-7.4953840051247111E-2</v>
      </c>
      <c r="AN12" s="121">
        <f>AD12/AQ12</f>
        <v>3.8056721050684422E-4</v>
      </c>
      <c r="AO12" s="126">
        <f>AE12/AQ12</f>
        <v>3.9646031520532745E-4</v>
      </c>
      <c r="AP12" s="123">
        <f>AF12/AQ12</f>
        <v>3.8056721050684422E-4</v>
      </c>
      <c r="AQ12" s="45">
        <f t="shared" si="14"/>
        <v>1403</v>
      </c>
      <c r="AR12" s="153"/>
      <c r="AS12" s="153"/>
      <c r="AT12" s="128">
        <f t="shared" si="10"/>
        <v>1474.1154374620271</v>
      </c>
      <c r="AU12" s="134">
        <f t="shared" si="15"/>
        <v>1415.0218281228406</v>
      </c>
      <c r="AV12" s="130">
        <f>$AC12/AP12</f>
        <v>1474.1154374620271</v>
      </c>
      <c r="AW12" s="136">
        <f>AD12/$BA12</f>
        <v>7.0832554568997412E-3</v>
      </c>
      <c r="AX12" s="141">
        <f>AE12/$BA12</f>
        <v>7.3790637069922312E-3</v>
      </c>
      <c r="AY12" s="156"/>
      <c r="AZ12" s="138">
        <f>AF12/$BA12</f>
        <v>7.0832554568997412E-3</v>
      </c>
      <c r="BA12" s="150">
        <v>75.38</v>
      </c>
      <c r="BB12" s="143">
        <f t="shared" si="8"/>
        <v>79.200870759720317</v>
      </c>
      <c r="BC12" s="149">
        <f t="shared" si="9"/>
        <v>76.025905491019046</v>
      </c>
      <c r="BD12" s="145">
        <f t="shared" si="12"/>
        <v>79.200870759720317</v>
      </c>
      <c r="BE12" s="8">
        <f t="shared" si="16"/>
        <v>1.2781802750592626E-9</v>
      </c>
      <c r="BJ12" s="8"/>
    </row>
    <row r="13" spans="1:62" x14ac:dyDescent="0.25">
      <c r="M13" s="4"/>
      <c r="N13" s="4"/>
      <c r="AE13" s="108"/>
      <c r="AI13" s="108"/>
      <c r="AO13" s="108"/>
      <c r="AU13" s="131"/>
      <c r="AX13" s="108"/>
      <c r="AY13" s="108"/>
      <c r="BC13" s="146"/>
    </row>
    <row r="14" spans="1:62" x14ac:dyDescent="0.25">
      <c r="M14" s="4"/>
      <c r="N14" s="4"/>
    </row>
    <row r="15" spans="1:62" x14ac:dyDescent="0.25">
      <c r="M15" s="4"/>
      <c r="N15" s="4"/>
      <c r="AK15" s="57">
        <v>0</v>
      </c>
    </row>
    <row r="16" spans="1:62" x14ac:dyDescent="0.25">
      <c r="M16" s="4"/>
      <c r="N16" s="4"/>
      <c r="AK16" s="57">
        <v>250</v>
      </c>
    </row>
    <row r="17" spans="1:62" x14ac:dyDescent="0.25">
      <c r="M17" s="4"/>
      <c r="N17" s="4"/>
    </row>
    <row r="18" spans="1:62" x14ac:dyDescent="0.25">
      <c r="M18" s="4"/>
      <c r="N18" s="4"/>
      <c r="AQ18" s="100"/>
      <c r="AR18" s="100"/>
      <c r="AS18" s="100"/>
    </row>
    <row r="19" spans="1:62" s="18" customFormat="1" x14ac:dyDescent="0.25">
      <c r="A19" s="19"/>
      <c r="B19" s="23"/>
      <c r="C19" s="23"/>
      <c r="D19" s="23"/>
      <c r="E19" s="23"/>
      <c r="F19" s="23"/>
      <c r="G19" s="23"/>
      <c r="H19" s="23"/>
      <c r="I19" s="23"/>
      <c r="J19" s="23"/>
      <c r="K19" s="11"/>
      <c r="L19" s="20"/>
      <c r="M19" s="4"/>
      <c r="N19" s="4"/>
      <c r="Q19"/>
      <c r="T19" s="13"/>
      <c r="U19" s="8"/>
      <c r="V19" s="4"/>
      <c r="W19" s="4"/>
      <c r="X19" s="4"/>
      <c r="Y19" s="4"/>
      <c r="Z19" s="4"/>
      <c r="AA19" s="4"/>
      <c r="AB19" s="11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8"/>
      <c r="AU19" s="58"/>
      <c r="AV19" s="57"/>
      <c r="AW19" s="57"/>
      <c r="AX19" s="57"/>
      <c r="AY19" s="57"/>
      <c r="AZ19" s="57"/>
      <c r="BA19" s="59"/>
      <c r="BB19" s="59"/>
      <c r="BC19" s="59"/>
      <c r="BD19" s="57"/>
      <c r="BE19"/>
      <c r="BF19"/>
      <c r="BG19"/>
      <c r="BH19"/>
      <c r="BI19" s="4"/>
      <c r="BJ19" s="4"/>
    </row>
    <row r="20" spans="1:62" s="18" customFormat="1" x14ac:dyDescent="0.25">
      <c r="A20" s="19"/>
      <c r="B20" s="23"/>
      <c r="C20" s="23"/>
      <c r="D20" s="23"/>
      <c r="E20" s="23"/>
      <c r="F20" s="23"/>
      <c r="G20" s="23"/>
      <c r="H20" s="23"/>
      <c r="I20" s="23"/>
      <c r="J20" s="23"/>
      <c r="K20" s="9"/>
      <c r="L20" s="20"/>
      <c r="M20" s="4"/>
      <c r="N20" s="4"/>
      <c r="Q20"/>
      <c r="T20" s="13"/>
      <c r="U20" s="8"/>
      <c r="V20" s="4"/>
      <c r="W20" s="4"/>
      <c r="X20" s="4"/>
      <c r="Y20" s="4"/>
      <c r="Z20" s="4"/>
      <c r="AA20" s="4"/>
      <c r="AB20" s="11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8"/>
      <c r="AU20" s="58"/>
      <c r="AV20" s="57"/>
      <c r="AW20" s="57"/>
      <c r="AX20" s="57"/>
      <c r="AY20" s="57"/>
      <c r="AZ20" s="57"/>
      <c r="BA20" s="59"/>
      <c r="BB20" s="59"/>
      <c r="BC20" s="59"/>
      <c r="BD20" s="57"/>
      <c r="BE20"/>
      <c r="BF20"/>
      <c r="BG20"/>
      <c r="BH20"/>
      <c r="BI20" s="4"/>
      <c r="BJ20" s="4"/>
    </row>
    <row r="21" spans="1:62" s="18" customFormat="1" x14ac:dyDescent="0.25">
      <c r="A21" s="19"/>
      <c r="B21" s="23"/>
      <c r="C21" s="23"/>
      <c r="D21" s="23"/>
      <c r="E21" s="23"/>
      <c r="F21" s="23"/>
      <c r="G21" s="23"/>
      <c r="H21" s="23"/>
      <c r="I21" s="23"/>
      <c r="J21" s="23"/>
      <c r="K21" s="9"/>
      <c r="L21" s="20"/>
      <c r="M21" s="4"/>
      <c r="N21" s="4"/>
      <c r="Q21"/>
      <c r="T21" s="13"/>
      <c r="U21" s="8"/>
      <c r="V21" s="4"/>
      <c r="W21" s="4"/>
      <c r="X21" s="4"/>
      <c r="Y21" s="4"/>
      <c r="Z21" s="4"/>
      <c r="AA21" s="4"/>
      <c r="AB21" s="11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8"/>
      <c r="AU21" s="58"/>
      <c r="AV21" s="57"/>
      <c r="AW21" s="57"/>
      <c r="AX21" s="57"/>
      <c r="AY21" s="57"/>
      <c r="AZ21" s="57"/>
      <c r="BA21" s="59"/>
      <c r="BB21" s="59"/>
      <c r="BC21" s="59"/>
      <c r="BD21" s="57"/>
      <c r="BE21"/>
      <c r="BF21"/>
      <c r="BG21"/>
      <c r="BH21"/>
      <c r="BI21" s="4"/>
      <c r="BJ21" s="4"/>
    </row>
    <row r="22" spans="1:62" s="18" customFormat="1" x14ac:dyDescent="0.25">
      <c r="A22" s="19"/>
      <c r="B22" s="23"/>
      <c r="C22" s="23"/>
      <c r="D22" s="23"/>
      <c r="E22" s="23"/>
      <c r="F22" s="23"/>
      <c r="G22" s="23" t="s">
        <v>21</v>
      </c>
      <c r="H22" s="23">
        <v>5.6672851556149997</v>
      </c>
      <c r="I22" s="23"/>
      <c r="J22" s="23"/>
      <c r="K22" s="9"/>
      <c r="L22" s="20"/>
      <c r="M22" s="4"/>
      <c r="N22" s="4"/>
      <c r="Q22"/>
      <c r="T22" s="13"/>
      <c r="U22" s="8"/>
      <c r="V22" s="4"/>
      <c r="W22" s="4"/>
      <c r="X22" s="4"/>
      <c r="Y22" s="4"/>
      <c r="Z22" s="4"/>
      <c r="AA22" s="4"/>
      <c r="AB22" s="11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8"/>
      <c r="AU22" s="58"/>
      <c r="AV22" s="57"/>
      <c r="AW22" s="57"/>
      <c r="AX22" s="57"/>
      <c r="AY22" s="57"/>
      <c r="AZ22" s="57"/>
      <c r="BA22" s="59"/>
      <c r="BB22" s="59"/>
      <c r="BC22" s="59"/>
      <c r="BD22" s="57"/>
      <c r="BE22"/>
      <c r="BF22"/>
      <c r="BG22"/>
      <c r="BH22"/>
      <c r="BI22" s="4"/>
      <c r="BJ22" s="4"/>
    </row>
    <row r="23" spans="1:62" s="18" customFormat="1" x14ac:dyDescent="0.25">
      <c r="A23" s="19"/>
      <c r="B23" s="23"/>
      <c r="C23" s="23"/>
      <c r="D23" s="23"/>
      <c r="E23" s="23"/>
      <c r="F23" s="23"/>
      <c r="G23" s="23" t="s">
        <v>22</v>
      </c>
      <c r="H23" s="23">
        <v>3.6125286079999999</v>
      </c>
      <c r="I23" s="23"/>
      <c r="J23" s="23"/>
      <c r="K23" s="9"/>
      <c r="L23" s="20"/>
      <c r="M23" s="4"/>
      <c r="N23" s="4"/>
      <c r="Q23"/>
      <c r="T23" s="13"/>
      <c r="U23" s="8"/>
      <c r="V23" s="4"/>
      <c r="W23" s="4"/>
      <c r="X23" s="4"/>
      <c r="Y23" s="4"/>
      <c r="Z23" s="4"/>
      <c r="AA23" s="4"/>
      <c r="AB23" s="11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8"/>
      <c r="AU23" s="58"/>
      <c r="AV23" s="57"/>
      <c r="AW23" s="57"/>
      <c r="AX23" s="57"/>
      <c r="AY23" s="57"/>
      <c r="AZ23" s="57"/>
      <c r="BA23" s="59"/>
      <c r="BB23" s="59"/>
      <c r="BC23" s="59"/>
      <c r="BD23" s="57"/>
      <c r="BE23"/>
      <c r="BF23"/>
      <c r="BG23"/>
      <c r="BH23"/>
      <c r="BI23" s="4"/>
      <c r="BJ23" s="4"/>
    </row>
    <row r="24" spans="1:62" s="18" customFormat="1" x14ac:dyDescent="0.25">
      <c r="A24" s="19"/>
      <c r="B24" s="23"/>
      <c r="C24" s="23"/>
      <c r="D24" s="23"/>
      <c r="E24" s="23"/>
      <c r="F24" s="23"/>
      <c r="G24" s="23" t="s">
        <v>23</v>
      </c>
      <c r="H24" s="23">
        <v>2.1603079999999997</v>
      </c>
      <c r="I24" s="23"/>
      <c r="J24" s="23"/>
      <c r="K24" s="9"/>
      <c r="L24" s="20"/>
      <c r="M24" s="4"/>
      <c r="N24" s="4"/>
      <c r="Q24"/>
      <c r="T24" s="13"/>
      <c r="U24" s="8"/>
      <c r="V24" s="4"/>
      <c r="W24" s="4"/>
      <c r="X24" s="4"/>
      <c r="Y24" s="4"/>
      <c r="Z24" s="4"/>
      <c r="AA24" s="4"/>
      <c r="AB24" s="11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8"/>
      <c r="AR24" s="58"/>
      <c r="AS24" s="58"/>
      <c r="AT24" s="58"/>
      <c r="AU24" s="58"/>
      <c r="AV24" s="57"/>
      <c r="AW24" s="57"/>
      <c r="AX24" s="57"/>
      <c r="AY24" s="57"/>
      <c r="AZ24" s="57"/>
      <c r="BA24" s="59"/>
      <c r="BB24" s="59"/>
      <c r="BC24" s="59"/>
      <c r="BD24" s="57"/>
      <c r="BE24"/>
      <c r="BF24"/>
      <c r="BG24"/>
      <c r="BH24"/>
      <c r="BI24" s="4"/>
      <c r="BJ24" s="4"/>
    </row>
    <row r="25" spans="1:62" s="18" customFormat="1" x14ac:dyDescent="0.25">
      <c r="A25" s="19"/>
      <c r="B25" s="23"/>
      <c r="C25" s="23"/>
      <c r="D25" s="23"/>
      <c r="E25" s="23"/>
      <c r="F25" s="23"/>
      <c r="G25" s="23"/>
      <c r="H25" s="23"/>
      <c r="I25" s="23"/>
      <c r="J25" s="23"/>
      <c r="K25" s="9"/>
      <c r="L25" s="20"/>
      <c r="M25" s="4"/>
      <c r="N25" s="4"/>
      <c r="Q25"/>
      <c r="T25" s="13"/>
      <c r="U25" s="8"/>
      <c r="V25" s="4"/>
      <c r="W25" s="4"/>
      <c r="X25" s="4"/>
      <c r="Y25" s="4"/>
      <c r="Z25" s="4"/>
      <c r="AA25" s="4"/>
      <c r="AB25" s="11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8"/>
      <c r="AR25" s="58"/>
      <c r="AS25" s="58"/>
      <c r="AT25" s="58"/>
      <c r="AU25" s="58"/>
      <c r="AV25" s="57"/>
      <c r="AW25" s="57"/>
      <c r="AX25" s="57"/>
      <c r="AY25" s="57"/>
      <c r="AZ25" s="57"/>
      <c r="BA25" s="59"/>
      <c r="BB25" s="59"/>
      <c r="BC25" s="59"/>
      <c r="BD25" s="57"/>
      <c r="BE25"/>
      <c r="BF25"/>
      <c r="BG25"/>
      <c r="BH25"/>
      <c r="BI25" s="4"/>
      <c r="BJ25" s="4"/>
    </row>
    <row r="26" spans="1:62" s="18" customFormat="1" x14ac:dyDescent="0.25">
      <c r="A26" s="19"/>
      <c r="B26" s="23"/>
      <c r="C26" s="23"/>
      <c r="D26" s="23"/>
      <c r="E26" s="23"/>
      <c r="F26" s="23"/>
      <c r="G26" s="23"/>
      <c r="H26" s="23"/>
      <c r="I26" s="23"/>
      <c r="J26" s="23"/>
      <c r="K26" s="9"/>
      <c r="L26" s="20"/>
      <c r="M26" s="4"/>
      <c r="N26" s="4"/>
      <c r="Q26"/>
      <c r="T26" s="13"/>
      <c r="U26" s="8"/>
      <c r="V26" s="4"/>
      <c r="W26" s="4"/>
      <c r="X26" s="4"/>
      <c r="Y26" s="4"/>
      <c r="Z26" s="4"/>
      <c r="AA26" s="4"/>
      <c r="AB26" s="11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8"/>
      <c r="AR26" s="58"/>
      <c r="AS26" s="58"/>
      <c r="AT26" s="58"/>
      <c r="AU26" s="58"/>
      <c r="AV26" s="57"/>
      <c r="AW26" s="57"/>
      <c r="AX26" s="57"/>
      <c r="AY26" s="57"/>
      <c r="AZ26" s="57"/>
      <c r="BA26" s="59"/>
      <c r="BB26" s="59"/>
      <c r="BC26" s="59"/>
      <c r="BD26" s="57"/>
      <c r="BE26"/>
      <c r="BF26"/>
      <c r="BG26"/>
      <c r="BH26"/>
      <c r="BI26" s="4"/>
      <c r="BJ26" s="4"/>
    </row>
    <row r="61" spans="33:33" x14ac:dyDescent="0.25">
      <c r="AG61" s="57">
        <v>1081717855.4526601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97A20-62A0-4246-85F3-BA4E9047F2B4}">
  <sheetPr codeName="Sheet6"/>
  <dimension ref="B2:E42"/>
  <sheetViews>
    <sheetView workbookViewId="0">
      <selection activeCell="AY30" sqref="AY30"/>
    </sheetView>
  </sheetViews>
  <sheetFormatPr defaultRowHeight="15" x14ac:dyDescent="0.25"/>
  <sheetData>
    <row r="2" spans="2:5" x14ac:dyDescent="0.25">
      <c r="C2" t="s">
        <v>80</v>
      </c>
      <c r="D2" t="s">
        <v>81</v>
      </c>
      <c r="E2" t="s">
        <v>82</v>
      </c>
    </row>
    <row r="3" spans="2:5" x14ac:dyDescent="0.25">
      <c r="B3" t="s">
        <v>83</v>
      </c>
      <c r="C3">
        <f t="shared" ref="C3:E4" si="0">C5/AVERAGE(C$5:C$6)</f>
        <v>1.2076162918723299</v>
      </c>
      <c r="D3">
        <f t="shared" si="0"/>
        <v>0.9472073801876506</v>
      </c>
      <c r="E3">
        <f t="shared" si="0"/>
        <v>0.83748771317368176</v>
      </c>
    </row>
    <row r="4" spans="2:5" x14ac:dyDescent="0.25">
      <c r="B4" t="s">
        <v>84</v>
      </c>
      <c r="C4">
        <f t="shared" si="0"/>
        <v>0.79238370812766989</v>
      </c>
      <c r="D4">
        <f t="shared" si="0"/>
        <v>1.0527926198123494</v>
      </c>
      <c r="E4">
        <f t="shared" si="0"/>
        <v>1.1625122868263182</v>
      </c>
    </row>
    <row r="5" spans="2:5" x14ac:dyDescent="0.25">
      <c r="C5">
        <v>3273309.43211362</v>
      </c>
      <c r="D5">
        <v>1309.81566727526</v>
      </c>
      <c r="E5">
        <v>1.71E-10</v>
      </c>
    </row>
    <row r="6" spans="2:5" x14ac:dyDescent="0.25">
      <c r="C6">
        <v>2147799.0013252301</v>
      </c>
      <c r="D6">
        <v>1455.8208652774599</v>
      </c>
      <c r="E6">
        <v>2.3736419999999999E-10</v>
      </c>
    </row>
    <row r="9" spans="2:5" x14ac:dyDescent="0.25">
      <c r="C9" t="s">
        <v>83</v>
      </c>
      <c r="D9" t="s">
        <v>84</v>
      </c>
    </row>
    <row r="10" spans="2:5" x14ac:dyDescent="0.25">
      <c r="B10" t="s">
        <v>80</v>
      </c>
      <c r="C10">
        <v>3273309.43211362</v>
      </c>
      <c r="D10">
        <v>2147799.0013252301</v>
      </c>
    </row>
    <row r="11" spans="2:5" x14ac:dyDescent="0.25">
      <c r="B11" t="s">
        <v>81</v>
      </c>
      <c r="C11">
        <v>1309.81566727526</v>
      </c>
      <c r="D11">
        <v>1455.8208652774599</v>
      </c>
    </row>
    <row r="12" spans="2:5" x14ac:dyDescent="0.25">
      <c r="B12" t="s">
        <v>82</v>
      </c>
      <c r="C12" s="34">
        <v>1.71E-10</v>
      </c>
      <c r="D12" s="34">
        <v>2.3736419999999999E-10</v>
      </c>
    </row>
    <row r="15" spans="2:5" x14ac:dyDescent="0.25">
      <c r="B15" t="s">
        <v>85</v>
      </c>
      <c r="C15" t="s">
        <v>86</v>
      </c>
    </row>
    <row r="16" spans="2:5" x14ac:dyDescent="0.25">
      <c r="B16" s="35">
        <v>2.6904625928041099</v>
      </c>
      <c r="C16">
        <v>7.4183445190156503</v>
      </c>
    </row>
    <row r="17" spans="2:4" x14ac:dyDescent="0.25">
      <c r="B17" s="35">
        <v>2.7384351798972002</v>
      </c>
      <c r="C17">
        <v>7.2483221476509998</v>
      </c>
      <c r="D17">
        <f>(B17-B16)*(MINA(C16:C17)+ABS(C16-C17)*0.5)</f>
        <v>0.35179897201599492</v>
      </c>
    </row>
    <row r="18" spans="2:4" x14ac:dyDescent="0.25">
      <c r="B18" s="35">
        <v>2.75842375785265</v>
      </c>
      <c r="C18">
        <v>7.0246085011185597</v>
      </c>
      <c r="D18">
        <f t="shared" ref="D18:D39" si="1">(B18-B17)*(MINA(C17:C18)+ABS(C17-C18)*0.5)</f>
        <v>0.1426477934628298</v>
      </c>
    </row>
    <row r="19" spans="2:4" x14ac:dyDescent="0.25">
      <c r="B19" s="35">
        <v>2.76641918903483</v>
      </c>
      <c r="C19">
        <v>6.8277404921700198</v>
      </c>
      <c r="D19">
        <f t="shared" si="1"/>
        <v>5.5377751543689173E-2</v>
      </c>
    </row>
    <row r="20" spans="2:4" x14ac:dyDescent="0.25">
      <c r="B20" s="35">
        <v>2.78640776699029</v>
      </c>
      <c r="C20">
        <v>6.4161073825503303</v>
      </c>
      <c r="D20">
        <f t="shared" si="1"/>
        <v>0.13236284283705083</v>
      </c>
    </row>
    <row r="21" spans="2:4" x14ac:dyDescent="0.25">
      <c r="B21" s="35">
        <v>2.8023986293546499</v>
      </c>
      <c r="C21">
        <v>6.1118568232662103</v>
      </c>
      <c r="D21">
        <f>(B21-B20)*(MINA(C20:C21)+ABS(C20-C21)*0.5)</f>
        <v>0.10016647566041967</v>
      </c>
    </row>
    <row r="22" spans="2:4" x14ac:dyDescent="0.25">
      <c r="B22" s="35">
        <v>2.8263849229011901</v>
      </c>
      <c r="C22">
        <v>5.7718120805369102</v>
      </c>
      <c r="D22">
        <f t="shared" si="1"/>
        <v>0.1425225853682569</v>
      </c>
    </row>
    <row r="23" spans="2:4" x14ac:dyDescent="0.25">
      <c r="B23" s="35">
        <v>2.8383780696744698</v>
      </c>
      <c r="C23">
        <v>5.3780760626398099</v>
      </c>
      <c r="D23">
        <f t="shared" si="1"/>
        <v>6.6861122503384579E-2</v>
      </c>
    </row>
    <row r="24" spans="2:4" x14ac:dyDescent="0.25">
      <c r="B24" s="35">
        <v>2.8503712164477402</v>
      </c>
      <c r="C24">
        <v>5.1275167785234803</v>
      </c>
      <c r="D24">
        <f t="shared" si="1"/>
        <v>6.2997558442144788E-2</v>
      </c>
    </row>
    <row r="25" spans="2:4" x14ac:dyDescent="0.25">
      <c r="B25" s="35">
        <v>2.8623643632210101</v>
      </c>
      <c r="C25">
        <v>4.82326621923937</v>
      </c>
      <c r="D25">
        <f t="shared" si="1"/>
        <v>5.9670600500564268E-2</v>
      </c>
    </row>
    <row r="26" spans="2:4" x14ac:dyDescent="0.25">
      <c r="B26" s="35">
        <v>2.8783552255853802</v>
      </c>
      <c r="C26">
        <v>4.3400447427293001</v>
      </c>
      <c r="D26">
        <f t="shared" si="1"/>
        <v>7.3264622197382306E-2</v>
      </c>
    </row>
    <row r="27" spans="2:4" x14ac:dyDescent="0.25">
      <c r="B27" s="35">
        <v>2.9143346659051899</v>
      </c>
      <c r="C27">
        <v>3.8031319910514498</v>
      </c>
      <c r="D27">
        <f t="shared" si="1"/>
        <v>0.14649347065336374</v>
      </c>
    </row>
    <row r="28" spans="2:4" x14ac:dyDescent="0.25">
      <c r="B28" s="35">
        <v>2.9383209594517399</v>
      </c>
      <c r="C28">
        <v>3.3914988814317599</v>
      </c>
      <c r="D28">
        <f t="shared" si="1"/>
        <v>8.628626403322677E-2</v>
      </c>
    </row>
    <row r="29" spans="2:4" x14ac:dyDescent="0.25">
      <c r="B29" s="35">
        <v>2.9822958309537402</v>
      </c>
      <c r="C29">
        <v>2.8903803131990999</v>
      </c>
      <c r="D29">
        <f t="shared" si="1"/>
        <v>0.1381224151874906</v>
      </c>
    </row>
    <row r="30" spans="2:4" x14ac:dyDescent="0.25">
      <c r="B30" s="35">
        <v>3.00628212450028</v>
      </c>
      <c r="C30">
        <v>2.6398210290827699</v>
      </c>
      <c r="D30">
        <f t="shared" si="1"/>
        <v>6.6324516383720694E-2</v>
      </c>
    </row>
    <row r="31" spans="2:4" x14ac:dyDescent="0.25">
      <c r="B31" s="35">
        <v>3.0382638492290099</v>
      </c>
      <c r="C31">
        <v>2.21029082774049</v>
      </c>
      <c r="D31">
        <f t="shared" si="1"/>
        <v>7.7557471154235391E-2</v>
      </c>
    </row>
    <row r="32" spans="2:4" x14ac:dyDescent="0.25">
      <c r="B32" s="35">
        <v>3.0862364363221002</v>
      </c>
      <c r="C32">
        <v>1.67337807606263</v>
      </c>
      <c r="D32">
        <f t="shared" si="1"/>
        <v>9.3154822364210799E-2</v>
      </c>
    </row>
    <row r="33" spans="2:4" x14ac:dyDescent="0.25">
      <c r="B33" s="35">
        <v>3.13420902341519</v>
      </c>
      <c r="C33">
        <v>1.2438478747203501</v>
      </c>
      <c r="D33">
        <f t="shared" si="1"/>
        <v>6.9973437997079141E-2</v>
      </c>
    </row>
    <row r="34" spans="2:4" x14ac:dyDescent="0.25">
      <c r="B34" s="35">
        <v>3.214163335237</v>
      </c>
      <c r="C34">
        <v>0.80536912751677803</v>
      </c>
      <c r="D34">
        <f t="shared" si="1"/>
        <v>8.1921867593711048E-2</v>
      </c>
    </row>
    <row r="35" spans="2:4" x14ac:dyDescent="0.25">
      <c r="B35" s="35">
        <v>3.3021130782410002</v>
      </c>
      <c r="C35">
        <v>0.56375838926174404</v>
      </c>
      <c r="D35">
        <f t="shared" si="1"/>
        <v>6.0207206620187963E-2</v>
      </c>
    </row>
    <row r="36" spans="2:4" x14ac:dyDescent="0.25">
      <c r="B36" s="35">
        <v>3.4140491147915402</v>
      </c>
      <c r="C36">
        <v>0.384787472035794</v>
      </c>
      <c r="D36">
        <f t="shared" si="1"/>
        <v>5.3088232100032315E-2</v>
      </c>
    </row>
    <row r="37" spans="2:4" x14ac:dyDescent="0.25">
      <c r="B37" s="35">
        <v>3.5499714448886301</v>
      </c>
      <c r="C37">
        <v>0.25055928411633299</v>
      </c>
      <c r="D37">
        <f t="shared" si="1"/>
        <v>4.3178905757912368E-2</v>
      </c>
    </row>
    <row r="38" spans="2:4" x14ac:dyDescent="0.25">
      <c r="B38" s="35">
        <v>3.6699029126213598</v>
      </c>
      <c r="C38">
        <v>0.21476510067113799</v>
      </c>
      <c r="D38">
        <f t="shared" si="1"/>
        <v>2.7903518219695427E-2</v>
      </c>
    </row>
    <row r="39" spans="2:4" x14ac:dyDescent="0.25">
      <c r="B39" s="35">
        <v>3.82981153626499</v>
      </c>
      <c r="C39">
        <v>0.20581655480984201</v>
      </c>
      <c r="D39">
        <f t="shared" si="1"/>
        <v>3.3627316828861491E-2</v>
      </c>
    </row>
    <row r="40" spans="2:4" x14ac:dyDescent="0.25">
      <c r="C40" s="36" t="s">
        <v>87</v>
      </c>
      <c r="D40">
        <f>SUM(D17:D39)</f>
        <v>2.1655097694254448</v>
      </c>
    </row>
    <row r="41" spans="2:4" x14ac:dyDescent="0.25">
      <c r="C41" s="36" t="s">
        <v>88</v>
      </c>
      <c r="D41" s="35">
        <f>B16</f>
        <v>2.6904625928041099</v>
      </c>
    </row>
    <row r="42" spans="2:4" x14ac:dyDescent="0.25">
      <c r="C42" s="36" t="s">
        <v>89</v>
      </c>
      <c r="D42">
        <f>1/(D40*D41)</f>
        <v>0.17163778232038954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C4EE0-8C51-4568-B800-E69F1296CD35}">
  <sheetPr codeName="Sheet7">
    <outlinePr summaryBelow="0"/>
  </sheetPr>
  <dimension ref="A1:DK81"/>
  <sheetViews>
    <sheetView zoomScale="70" zoomScaleNormal="70" workbookViewId="0">
      <pane xSplit="1" topLeftCell="B1" activePane="topRight" state="frozen"/>
      <selection pane="topRight" activeCell="T5" sqref="T5"/>
    </sheetView>
  </sheetViews>
  <sheetFormatPr defaultRowHeight="15" x14ac:dyDescent="0.25"/>
  <cols>
    <col min="1" max="1" width="27.42578125" style="19" customWidth="1"/>
    <col min="2" max="2" width="7.85546875" style="23" customWidth="1"/>
    <col min="3" max="3" width="12.140625" style="23" customWidth="1"/>
    <col min="4" max="4" width="1.7109375" style="23" customWidth="1"/>
    <col min="5" max="5" width="7.28515625" style="23" customWidth="1"/>
    <col min="6" max="6" width="8.42578125" style="23" customWidth="1"/>
    <col min="7" max="7" width="9" style="23" customWidth="1"/>
    <col min="8" max="8" width="10.42578125" style="23" customWidth="1"/>
    <col min="9" max="9" width="11.140625" style="23" customWidth="1"/>
    <col min="10" max="10" width="12.7109375" style="23" customWidth="1"/>
    <col min="11" max="11" width="13" style="23" customWidth="1"/>
    <col min="12" max="12" width="10.5703125" style="23" customWidth="1"/>
    <col min="13" max="13" width="12.140625" style="9" customWidth="1"/>
    <col min="14" max="14" width="16" style="20" customWidth="1"/>
    <col min="15" max="15" width="22" style="18" customWidth="1"/>
    <col min="16" max="16" width="14.5703125" style="18" customWidth="1"/>
    <col min="17" max="17" width="13.140625" style="18" customWidth="1"/>
    <col min="18" max="18" width="12" style="18" customWidth="1"/>
    <col min="20" max="20" width="11.5703125" style="18" customWidth="1"/>
    <col min="21" max="21" width="12.5703125" style="18" customWidth="1"/>
    <col min="22" max="23" width="12" style="13" customWidth="1"/>
    <col min="24" max="24" width="12.140625" style="8" customWidth="1"/>
    <col min="25" max="25" width="10.140625" style="4" customWidth="1"/>
    <col min="26" max="26" width="7.5703125" style="4" customWidth="1"/>
    <col min="27" max="27" width="6.28515625" style="4" customWidth="1"/>
    <col min="28" max="28" width="8.42578125" style="4" customWidth="1"/>
    <col min="29" max="29" width="7.85546875" style="4" customWidth="1"/>
    <col min="30" max="30" width="6.140625" style="4" customWidth="1"/>
    <col min="31" max="39" width="8.85546875" style="11" customWidth="1"/>
    <col min="40" max="40" width="13.140625" style="11" customWidth="1"/>
    <col min="41" max="41" width="12.85546875" style="57" customWidth="1"/>
    <col min="42" max="42" width="16" style="57" customWidth="1"/>
    <col min="43" max="46" width="18" style="57" customWidth="1"/>
    <col min="47" max="47" width="14.28515625" style="57" customWidth="1"/>
    <col min="48" max="53" width="18.140625" style="57" customWidth="1"/>
    <col min="54" max="62" width="14.85546875" style="57" customWidth="1"/>
    <col min="63" max="64" width="19" style="57" customWidth="1"/>
    <col min="65" max="70" width="15.5703125" style="57" customWidth="1"/>
    <col min="71" max="71" width="12.85546875" style="57" customWidth="1"/>
    <col min="72" max="72" width="13.7109375" style="57" customWidth="1"/>
    <col min="73" max="73" width="14.42578125" style="57" bestFit="1" customWidth="1"/>
    <col min="74" max="74" width="3.140625" style="57" customWidth="1"/>
    <col min="75" max="76" width="14.42578125" style="57" customWidth="1"/>
    <col min="77" max="77" width="13.42578125" style="58" customWidth="1"/>
    <col min="78" max="78" width="14.140625" style="58" customWidth="1"/>
    <col min="79" max="79" width="15.42578125" style="57" customWidth="1"/>
    <col min="80" max="80" width="14.42578125" style="57" customWidth="1"/>
    <col min="81" max="82" width="14.42578125" style="11" customWidth="1"/>
    <col min="83" max="83" width="13" customWidth="1"/>
    <col min="84" max="84" width="13" style="58" customWidth="1"/>
    <col min="85" max="90" width="11.140625" style="58" customWidth="1"/>
    <col min="91" max="92" width="10.5703125" style="57" customWidth="1"/>
    <col min="93" max="94" width="13" style="57" customWidth="1"/>
    <col min="95" max="95" width="14" style="57" customWidth="1"/>
    <col min="96" max="96" width="0.28515625" style="57" customWidth="1"/>
    <col min="97" max="97" width="13" style="57" customWidth="1"/>
    <col min="98" max="98" width="14.28515625" style="57" customWidth="1"/>
    <col min="99" max="99" width="14.5703125" style="59" customWidth="1"/>
    <col min="103" max="104" width="11" style="59" customWidth="1"/>
    <col min="105" max="105" width="14.28515625" style="57" customWidth="1"/>
    <col min="107" max="107" width="11.85546875" style="4" customWidth="1"/>
    <col min="108" max="108" width="11.5703125" style="4" customWidth="1"/>
    <col min="109" max="109" width="10.28515625" style="4" customWidth="1"/>
    <col min="110" max="16384" width="9.140625" style="4"/>
  </cols>
  <sheetData>
    <row r="1" spans="1:115" s="11" customFormat="1" x14ac:dyDescent="0.25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0"/>
      <c r="N1" s="20"/>
      <c r="O1" s="13"/>
      <c r="P1" s="13"/>
      <c r="Q1" s="13"/>
      <c r="R1" s="13"/>
      <c r="S1" s="32"/>
      <c r="T1" s="13"/>
      <c r="U1" s="13"/>
      <c r="V1" s="13"/>
      <c r="W1" s="13"/>
      <c r="X1" s="22"/>
      <c r="AO1" s="91"/>
      <c r="AP1" s="102"/>
      <c r="BH1" s="91"/>
      <c r="BM1" s="91"/>
      <c r="BN1" s="91"/>
      <c r="BS1" s="91"/>
      <c r="BT1" s="102"/>
      <c r="BU1" s="102"/>
      <c r="BY1" s="174"/>
      <c r="BZ1" s="92"/>
      <c r="CF1" s="22"/>
      <c r="CG1" s="22"/>
      <c r="CH1" s="22"/>
      <c r="CI1" s="22"/>
      <c r="CJ1" s="22"/>
      <c r="CK1" s="22"/>
      <c r="CL1" s="22"/>
      <c r="CS1" s="11" t="s">
        <v>158</v>
      </c>
      <c r="CT1" s="22">
        <v>1.6021766E-19</v>
      </c>
      <c r="CU1" s="28"/>
      <c r="CY1" s="28"/>
      <c r="CZ1" s="28"/>
      <c r="DB1" s="32"/>
    </row>
    <row r="2" spans="1:115" s="11" customFormat="1" x14ac:dyDescent="0.25">
      <c r="A2" s="23" t="s">
        <v>144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0"/>
      <c r="N2" s="20"/>
      <c r="O2" s="13"/>
      <c r="P2" s="13"/>
      <c r="Q2" s="13"/>
      <c r="R2" s="13"/>
      <c r="S2" s="32"/>
      <c r="T2" s="13"/>
      <c r="U2" s="13"/>
      <c r="V2" s="13"/>
      <c r="W2" s="13"/>
      <c r="X2" s="22"/>
      <c r="AO2" s="175"/>
      <c r="AP2" s="175"/>
      <c r="AQ2" s="175"/>
      <c r="AR2" s="175"/>
      <c r="AS2" s="175"/>
      <c r="AT2" s="175"/>
      <c r="AU2" s="175"/>
      <c r="AV2" s="175"/>
      <c r="AW2" s="175"/>
      <c r="AX2" s="175"/>
      <c r="AY2" s="175"/>
      <c r="AZ2" s="175"/>
      <c r="BA2" s="175"/>
      <c r="BB2" s="175" t="s">
        <v>147</v>
      </c>
      <c r="BC2" s="175" t="s">
        <v>146</v>
      </c>
      <c r="BD2" s="175" t="s">
        <v>94</v>
      </c>
      <c r="BE2" s="175" t="s">
        <v>94</v>
      </c>
      <c r="BF2" s="175" t="s">
        <v>147</v>
      </c>
      <c r="BG2" s="176" t="s">
        <v>146</v>
      </c>
      <c r="BH2" s="175" t="s">
        <v>147</v>
      </c>
      <c r="BI2" s="175" t="s">
        <v>146</v>
      </c>
      <c r="BJ2" s="175" t="s">
        <v>94</v>
      </c>
      <c r="BK2" s="195"/>
      <c r="BL2" s="195"/>
      <c r="BM2" s="195"/>
      <c r="BN2" s="175" t="s">
        <v>147</v>
      </c>
      <c r="BO2" s="175" t="s">
        <v>146</v>
      </c>
      <c r="BP2" s="175" t="s">
        <v>94</v>
      </c>
      <c r="BQ2" s="195"/>
      <c r="BR2" s="195"/>
      <c r="BS2" s="175" t="s">
        <v>147</v>
      </c>
      <c r="BT2" s="175" t="s">
        <v>94</v>
      </c>
      <c r="BU2" s="175" t="s">
        <v>146</v>
      </c>
      <c r="BV2" s="175"/>
      <c r="BW2" s="195"/>
      <c r="BX2" s="195"/>
      <c r="BY2" s="176"/>
      <c r="BZ2" s="176"/>
      <c r="CA2" s="175" t="s">
        <v>147</v>
      </c>
      <c r="CB2" s="175" t="s">
        <v>146</v>
      </c>
      <c r="CC2" s="175" t="s">
        <v>94</v>
      </c>
      <c r="CD2" s="175" t="s">
        <v>94</v>
      </c>
      <c r="CE2" s="175" t="s">
        <v>147</v>
      </c>
      <c r="CF2" s="176" t="s">
        <v>146</v>
      </c>
      <c r="CG2" s="176" t="s">
        <v>147</v>
      </c>
      <c r="CH2" s="176" t="s">
        <v>146</v>
      </c>
      <c r="CI2" s="176" t="s">
        <v>94</v>
      </c>
      <c r="CJ2" s="175" t="s">
        <v>94</v>
      </c>
      <c r="CK2" s="175" t="s">
        <v>147</v>
      </c>
      <c r="CL2" s="176" t="s">
        <v>146</v>
      </c>
      <c r="CS2" s="11" t="s">
        <v>159</v>
      </c>
      <c r="CT2" s="22">
        <v>8.8541878170000005E-12</v>
      </c>
      <c r="CU2" s="28"/>
      <c r="CY2" s="28"/>
      <c r="CZ2" s="28"/>
      <c r="DB2" s="32"/>
    </row>
    <row r="3" spans="1:115" s="11" customFormat="1" x14ac:dyDescent="0.25">
      <c r="A3" s="23" t="s">
        <v>145</v>
      </c>
      <c r="B3" s="23" t="s">
        <v>123</v>
      </c>
      <c r="C3" s="23" t="s">
        <v>124</v>
      </c>
      <c r="D3" s="23"/>
      <c r="E3" s="23"/>
      <c r="F3" s="23"/>
      <c r="G3" s="23"/>
      <c r="H3" s="23"/>
      <c r="I3" s="23"/>
      <c r="J3" s="23"/>
      <c r="K3" s="23"/>
      <c r="L3" s="23"/>
      <c r="M3" s="20"/>
      <c r="N3" s="20"/>
      <c r="O3" s="13"/>
      <c r="P3" s="13"/>
      <c r="Q3" s="13"/>
      <c r="R3" s="13"/>
      <c r="S3" s="32"/>
      <c r="T3" s="13"/>
      <c r="U3" s="13"/>
      <c r="V3" s="13"/>
      <c r="W3" s="13"/>
      <c r="X3" s="22"/>
      <c r="AH3" s="175"/>
      <c r="AI3" s="175"/>
      <c r="AJ3" s="198"/>
      <c r="AK3" s="11" t="s">
        <v>176</v>
      </c>
      <c r="AL3" s="198"/>
      <c r="AM3" s="198"/>
      <c r="AN3" s="198"/>
      <c r="AO3" s="175"/>
      <c r="AP3" s="175"/>
      <c r="AQ3" s="175"/>
      <c r="AR3" s="175"/>
      <c r="AS3" s="175"/>
      <c r="AT3" s="175"/>
      <c r="AU3" s="175"/>
      <c r="AV3" s="175"/>
      <c r="AW3" s="175"/>
      <c r="AX3" s="175"/>
      <c r="AY3" s="175"/>
      <c r="AZ3" s="175"/>
      <c r="BA3" s="175"/>
      <c r="BB3" s="175" t="s">
        <v>94</v>
      </c>
      <c r="BC3" s="175" t="s">
        <v>94</v>
      </c>
      <c r="BD3" s="175" t="s">
        <v>94</v>
      </c>
      <c r="BE3" s="175" t="s">
        <v>146</v>
      </c>
      <c r="BF3" s="175" t="s">
        <v>146</v>
      </c>
      <c r="BG3" s="175" t="s">
        <v>146</v>
      </c>
      <c r="BH3" s="195"/>
      <c r="BI3" s="195"/>
      <c r="BJ3" s="195"/>
      <c r="BK3" s="175" t="s">
        <v>94</v>
      </c>
      <c r="BL3" s="175" t="s">
        <v>146</v>
      </c>
      <c r="BM3" s="175"/>
      <c r="BN3" s="195"/>
      <c r="BO3" s="195"/>
      <c r="BP3" s="195"/>
      <c r="BQ3" s="175" t="s">
        <v>94</v>
      </c>
      <c r="BR3" s="175" t="s">
        <v>146</v>
      </c>
      <c r="BS3" s="196"/>
      <c r="BT3" s="196"/>
      <c r="BU3" s="196"/>
      <c r="BV3" s="196"/>
      <c r="BW3" s="175" t="s">
        <v>94</v>
      </c>
      <c r="BX3" s="175" t="s">
        <v>146</v>
      </c>
      <c r="BY3" s="175"/>
      <c r="BZ3" s="177" t="s">
        <v>109</v>
      </c>
      <c r="CA3" s="175" t="s">
        <v>94</v>
      </c>
      <c r="CB3" s="175" t="s">
        <v>94</v>
      </c>
      <c r="CC3" s="175" t="s">
        <v>94</v>
      </c>
      <c r="CD3" s="175" t="s">
        <v>146</v>
      </c>
      <c r="CE3" s="175" t="s">
        <v>146</v>
      </c>
      <c r="CF3" s="175" t="s">
        <v>146</v>
      </c>
      <c r="CG3" s="175" t="s">
        <v>94</v>
      </c>
      <c r="CH3" s="175" t="s">
        <v>94</v>
      </c>
      <c r="CI3" s="175" t="s">
        <v>94</v>
      </c>
      <c r="CJ3" s="175" t="s">
        <v>146</v>
      </c>
      <c r="CK3" s="175" t="s">
        <v>146</v>
      </c>
      <c r="CL3" s="175" t="s">
        <v>146</v>
      </c>
      <c r="CM3" s="32"/>
      <c r="CN3" s="32"/>
      <c r="CO3" s="32"/>
      <c r="CP3" s="32"/>
      <c r="CQ3" s="32"/>
      <c r="CV3" s="252" t="s">
        <v>160</v>
      </c>
      <c r="CW3" s="252"/>
      <c r="CX3" s="252"/>
      <c r="CY3" s="252" t="s">
        <v>152</v>
      </c>
      <c r="CZ3" s="252"/>
      <c r="DA3" s="252"/>
      <c r="DB3" s="11" t="s">
        <v>162</v>
      </c>
      <c r="DE3" s="11" t="s">
        <v>165</v>
      </c>
      <c r="DH3" s="11" t="s">
        <v>162</v>
      </c>
    </row>
    <row r="4" spans="1:115" s="219" customFormat="1" ht="20.25" customHeight="1" x14ac:dyDescent="0.25">
      <c r="A4" s="212" t="s">
        <v>0</v>
      </c>
      <c r="B4" s="213" t="s">
        <v>72</v>
      </c>
      <c r="C4" s="213" t="s">
        <v>125</v>
      </c>
      <c r="D4" s="213" t="s">
        <v>112</v>
      </c>
      <c r="E4" s="212" t="s">
        <v>56</v>
      </c>
      <c r="F4" s="212" t="s">
        <v>57</v>
      </c>
      <c r="G4" s="212" t="s">
        <v>58</v>
      </c>
      <c r="H4" s="214" t="s">
        <v>60</v>
      </c>
      <c r="I4" s="214" t="s">
        <v>61</v>
      </c>
      <c r="J4" s="212" t="s">
        <v>64</v>
      </c>
      <c r="K4" s="212" t="s">
        <v>59</v>
      </c>
      <c r="L4" s="212" t="s">
        <v>62</v>
      </c>
      <c r="M4" s="215" t="s">
        <v>1</v>
      </c>
      <c r="N4" s="215" t="s">
        <v>52</v>
      </c>
      <c r="O4" s="216" t="s">
        <v>74</v>
      </c>
      <c r="P4" s="216" t="s">
        <v>2</v>
      </c>
      <c r="Q4" s="216" t="s">
        <v>3</v>
      </c>
      <c r="R4" s="217" t="s">
        <v>4</v>
      </c>
      <c r="S4" s="213"/>
      <c r="T4" s="216" t="s">
        <v>6</v>
      </c>
      <c r="U4" s="216" t="s">
        <v>7</v>
      </c>
      <c r="V4" s="216" t="s">
        <v>55</v>
      </c>
      <c r="W4" s="216" t="s">
        <v>115</v>
      </c>
      <c r="X4" s="218" t="s">
        <v>8</v>
      </c>
      <c r="Y4" s="219" t="s">
        <v>9</v>
      </c>
      <c r="Z4" s="219" t="s">
        <v>10</v>
      </c>
      <c r="AA4" s="219" t="s">
        <v>11</v>
      </c>
      <c r="AB4" s="219" t="s">
        <v>12</v>
      </c>
      <c r="AC4" s="219" t="s">
        <v>13</v>
      </c>
      <c r="AD4" s="219" t="s">
        <v>14</v>
      </c>
      <c r="AE4" s="219" t="s">
        <v>51</v>
      </c>
      <c r="AF4" s="219" t="s">
        <v>156</v>
      </c>
      <c r="AG4" s="219" t="s">
        <v>157</v>
      </c>
      <c r="AH4" s="220" t="s">
        <v>143</v>
      </c>
      <c r="AI4" s="220" t="s">
        <v>135</v>
      </c>
      <c r="AJ4" s="221" t="s">
        <v>134</v>
      </c>
      <c r="AK4" s="221" t="s">
        <v>175</v>
      </c>
      <c r="AL4" s="221" t="s">
        <v>177</v>
      </c>
      <c r="AM4" s="221" t="s">
        <v>190</v>
      </c>
      <c r="AN4" s="220" t="s">
        <v>193</v>
      </c>
      <c r="AO4" s="220" t="s">
        <v>188</v>
      </c>
      <c r="AP4" s="220" t="s">
        <v>178</v>
      </c>
      <c r="AQ4" s="220" t="s">
        <v>112</v>
      </c>
      <c r="AR4" s="245" t="s">
        <v>236</v>
      </c>
      <c r="AS4" s="221" t="s">
        <v>189</v>
      </c>
      <c r="AT4" s="221" t="s">
        <v>192</v>
      </c>
      <c r="AU4" s="221" t="s">
        <v>191</v>
      </c>
      <c r="AV4" s="221" t="s">
        <v>168</v>
      </c>
      <c r="AW4" s="221" t="s">
        <v>166</v>
      </c>
      <c r="AX4" s="221" t="s">
        <v>167</v>
      </c>
      <c r="AY4" s="221" t="s">
        <v>172</v>
      </c>
      <c r="AZ4" s="221" t="s">
        <v>169</v>
      </c>
      <c r="BA4" s="221" t="s">
        <v>170</v>
      </c>
      <c r="BB4" s="221" t="s">
        <v>171</v>
      </c>
      <c r="BC4" s="263" t="s">
        <v>102</v>
      </c>
      <c r="BD4" s="264"/>
      <c r="BE4" s="264"/>
      <c r="BF4" s="264"/>
      <c r="BG4" s="264"/>
      <c r="BH4" s="265"/>
      <c r="BI4" s="266" t="s">
        <v>67</v>
      </c>
      <c r="BJ4" s="267"/>
      <c r="BK4" s="225"/>
      <c r="BL4" s="266" t="s">
        <v>82</v>
      </c>
      <c r="BM4" s="267"/>
      <c r="BN4" s="222" t="s">
        <v>66</v>
      </c>
      <c r="BO4" s="259" t="s">
        <v>46</v>
      </c>
      <c r="BP4" s="260"/>
      <c r="BQ4" s="226"/>
      <c r="BR4" s="268" t="s">
        <v>103</v>
      </c>
      <c r="BS4" s="269"/>
      <c r="BT4" s="270" t="s">
        <v>63</v>
      </c>
      <c r="BU4" s="271"/>
      <c r="BV4" s="272"/>
      <c r="BW4" s="223" t="s">
        <v>120</v>
      </c>
      <c r="BX4" s="261" t="s">
        <v>71</v>
      </c>
      <c r="BY4" s="262"/>
      <c r="BZ4" s="224" t="s">
        <v>149</v>
      </c>
      <c r="CA4" s="224" t="s">
        <v>148</v>
      </c>
      <c r="CB4" s="253" t="s">
        <v>104</v>
      </c>
      <c r="CC4" s="254"/>
      <c r="CD4" s="254"/>
      <c r="CE4" s="254"/>
      <c r="CF4" s="254"/>
      <c r="CG4" s="255"/>
      <c r="CH4" s="256" t="s">
        <v>69</v>
      </c>
      <c r="CI4" s="257"/>
      <c r="CJ4" s="257"/>
      <c r="CK4" s="257"/>
      <c r="CL4" s="257"/>
      <c r="CM4" s="258"/>
      <c r="CN4" s="219" t="s">
        <v>53</v>
      </c>
      <c r="CP4" s="213" t="s">
        <v>116</v>
      </c>
      <c r="CQ4" s="213" t="s">
        <v>117</v>
      </c>
      <c r="CR4" s="219" t="s">
        <v>118</v>
      </c>
      <c r="CT4" s="219" t="s">
        <v>119</v>
      </c>
      <c r="CU4" s="219" t="s">
        <v>151</v>
      </c>
      <c r="CV4" s="219" t="s">
        <v>150</v>
      </c>
      <c r="CW4" s="219" t="s">
        <v>155</v>
      </c>
      <c r="CX4" s="219" t="s">
        <v>153</v>
      </c>
      <c r="CY4" s="219" t="s">
        <v>154</v>
      </c>
      <c r="CZ4" s="219" t="s">
        <v>155</v>
      </c>
      <c r="DA4" s="219" t="s">
        <v>153</v>
      </c>
      <c r="DB4" s="219" t="s">
        <v>154</v>
      </c>
      <c r="DC4" s="228" t="s">
        <v>161</v>
      </c>
      <c r="DD4" s="228" t="s">
        <v>164</v>
      </c>
      <c r="DE4" s="228" t="s">
        <v>163</v>
      </c>
      <c r="DF4" s="219" t="s">
        <v>155</v>
      </c>
      <c r="DG4" s="219" t="s">
        <v>153</v>
      </c>
      <c r="DH4" s="219" t="s">
        <v>154</v>
      </c>
      <c r="DI4" s="228" t="s">
        <v>161</v>
      </c>
      <c r="DJ4" s="228" t="s">
        <v>164</v>
      </c>
      <c r="DK4" s="228" t="s">
        <v>163</v>
      </c>
    </row>
    <row r="5" spans="1:115" s="11" customFormat="1" ht="20.25" customHeight="1" x14ac:dyDescent="0.25">
      <c r="A5" s="2" t="s">
        <v>21</v>
      </c>
      <c r="B5" s="30">
        <v>3300</v>
      </c>
      <c r="C5" s="173">
        <f>$B$35*P5+$B$37</f>
        <v>2912006.0613824991</v>
      </c>
      <c r="D5" s="173" t="s">
        <v>136</v>
      </c>
      <c r="E5" s="2">
        <v>1</v>
      </c>
      <c r="F5" s="2">
        <v>20</v>
      </c>
      <c r="G5" s="2">
        <v>20</v>
      </c>
      <c r="H5" s="22">
        <v>3.3452438000000001E-26</v>
      </c>
      <c r="I5" s="22">
        <v>1.82187712E-29</v>
      </c>
      <c r="J5" s="24">
        <v>1836.1522647586683</v>
      </c>
      <c r="K5" s="24">
        <v>1</v>
      </c>
      <c r="L5" s="26">
        <v>3.3434219228800004E-26</v>
      </c>
      <c r="M5" s="3">
        <v>42.393999999999998</v>
      </c>
      <c r="N5" s="11">
        <v>1.56097889805155E-3</v>
      </c>
      <c r="O5" s="27">
        <v>1.1388224575788635E-3</v>
      </c>
      <c r="P5" s="3">
        <v>878.1</v>
      </c>
      <c r="Q5" s="5">
        <v>2.828152101400934E-5</v>
      </c>
      <c r="R5" s="5">
        <v>2.8800000000000001E-4</v>
      </c>
      <c r="S5" s="32"/>
      <c r="T5" s="6">
        <v>7.5999999999999996E-11</v>
      </c>
      <c r="U5" s="6">
        <v>1.81E-10</v>
      </c>
      <c r="V5" s="6">
        <v>2.5699999999999999E-10</v>
      </c>
      <c r="W5" s="6">
        <f>U5-T5</f>
        <v>1.05E-10</v>
      </c>
      <c r="X5" s="6">
        <v>1499000</v>
      </c>
      <c r="Y5" s="11">
        <v>2787.9043499999998</v>
      </c>
      <c r="Z5" s="11">
        <v>-0.84899999999999998</v>
      </c>
      <c r="AA5" s="11">
        <v>1.8842000000000001</v>
      </c>
      <c r="AB5" s="11">
        <v>-4.328E-4</v>
      </c>
      <c r="AC5" s="11">
        <v>1</v>
      </c>
      <c r="AD5" s="11">
        <v>1</v>
      </c>
      <c r="AE5" s="11">
        <v>2</v>
      </c>
      <c r="AF5" s="11">
        <v>1</v>
      </c>
      <c r="AG5" s="11">
        <v>-1</v>
      </c>
      <c r="AH5" s="199">
        <f>56.4</f>
        <v>56.4</v>
      </c>
      <c r="AI5" s="199">
        <f t="shared" ref="AI5:AI11" si="0">0.0000000244*P5*C5</f>
        <v>62.391593548999325</v>
      </c>
      <c r="AJ5" s="200">
        <f t="shared" ref="AJ5:AJ10" si="1">0.0000000244*P5*B5</f>
        <v>7.0704612E-2</v>
      </c>
      <c r="AK5" s="200">
        <v>0.62809999999999999</v>
      </c>
      <c r="AL5" s="200">
        <v>-3.1E-4</v>
      </c>
      <c r="AM5" s="200">
        <v>878</v>
      </c>
      <c r="AN5" s="200">
        <f>AK5+AL5*(1200-P5)</f>
        <v>0.52831099999999998</v>
      </c>
      <c r="AO5" s="200">
        <f t="shared" ref="AO5:AO17" si="2">AK5+AL5*(AM5-P5)</f>
        <v>0.62813099999999999</v>
      </c>
      <c r="AP5" s="199">
        <f t="shared" ref="AP5:AP17" si="3">AK5+AL5*(P5+50-P5)</f>
        <v>0.61260000000000003</v>
      </c>
      <c r="AQ5" s="199" t="s">
        <v>179</v>
      </c>
      <c r="AR5" s="199">
        <v>0.79185976952139003</v>
      </c>
      <c r="AS5" s="199">
        <f t="shared" ref="AS5:AS23" si="4">AV5/BT5*(Y5+Z5*AM5)</f>
        <v>0.37981325092084156</v>
      </c>
      <c r="AT5" s="199">
        <f t="shared" ref="AT5:AT23" si="5">1/3*CA5*(Y5+Z5*AO5)*V5</f>
        <v>0.54897284030784166</v>
      </c>
      <c r="AU5" s="199">
        <f t="shared" ref="AU5:AU23" si="6">1/3*CA5*(Y5+Z5*P5)*V5</f>
        <v>0.40225025742942672</v>
      </c>
      <c r="AV5" s="199">
        <f>AX5/AZ5*BA5</f>
        <v>0.37979746319812113</v>
      </c>
      <c r="AW5" s="199">
        <v>0.78670723632944894</v>
      </c>
      <c r="AX5" s="199">
        <v>0.467412663978306</v>
      </c>
      <c r="AY5" s="199" t="e">
        <f>AX5/AZ5*#REF!*10^-10</f>
        <v>#REF!</v>
      </c>
      <c r="AZ5" s="199">
        <v>2.927136541E-10</v>
      </c>
      <c r="BA5" s="199">
        <v>2.3784529568456903E-10</v>
      </c>
      <c r="BB5" s="201">
        <f>AP5/(1/3*BV5*AZ5)</f>
        <v>1793854.5296090934</v>
      </c>
      <c r="BC5" s="201">
        <v>0.48162168927176202</v>
      </c>
      <c r="BD5" s="201">
        <f t="shared" ref="BD5:BD10" si="7">BC5/BT5*BV5</f>
        <v>0.82534176315739483</v>
      </c>
      <c r="BE5" s="201">
        <f>BC5/BT5*BU5</f>
        <v>0.65348172621457845</v>
      </c>
      <c r="BF5" s="201">
        <f>BC5/(BT5*BL5)*BU5*BM5</f>
        <v>0.76015224669760251</v>
      </c>
      <c r="BG5" s="201">
        <f t="shared" ref="BG5:BG10" si="8">BC5/BL5*BM5</f>
        <v>0.56023878629164503</v>
      </c>
      <c r="BH5" s="201">
        <f>BC5/(BL5*BT5)*BM5*BV5</f>
        <v>0.9600657071035601</v>
      </c>
      <c r="BI5" s="202">
        <v>1596825626.1070199</v>
      </c>
      <c r="BJ5" s="202">
        <f>BI5/BT5*BV5</f>
        <v>2736435893.6966796</v>
      </c>
      <c r="BK5" s="202">
        <f>BI5/BT5*BU5</f>
        <v>2166630759.9018497</v>
      </c>
      <c r="BL5" s="202">
        <v>3.0056447474785299E-10</v>
      </c>
      <c r="BM5" s="202">
        <v>3.4962685503166299E-10</v>
      </c>
      <c r="BN5" s="202">
        <v>6.4249999999999998E-11</v>
      </c>
      <c r="BO5" s="203">
        <f>$AP$5/BI5</f>
        <v>3.8363612781784311E-10</v>
      </c>
      <c r="BP5" s="203">
        <f>$AP$5/BJ5</f>
        <v>2.2386784262372482E-10</v>
      </c>
      <c r="BQ5" s="203">
        <f>$AP$5/BK5</f>
        <v>2.8274314725770407E-10</v>
      </c>
      <c r="BR5" s="204">
        <v>2.30802105895922E-4</v>
      </c>
      <c r="BS5" s="204">
        <f>BR5/BL5*BM5</f>
        <v>2.6847688665392576E-4</v>
      </c>
      <c r="BT5" s="231">
        <f>Y5+Z5*P5</f>
        <v>2042.3974499999999</v>
      </c>
      <c r="BU5" s="205">
        <f>AVERAGE(BT5,BV5)</f>
        <v>2771.1987250000002</v>
      </c>
      <c r="BV5" s="229">
        <v>3500</v>
      </c>
      <c r="BW5" s="205"/>
      <c r="BX5" s="206">
        <f t="shared" ref="BX5:BY10" si="9">$AP5/BR5</f>
        <v>2654.2218825171644</v>
      </c>
      <c r="BY5" s="206">
        <f t="shared" si="9"/>
        <v>2281.7606671283352</v>
      </c>
      <c r="BZ5" s="207">
        <v>65.02</v>
      </c>
      <c r="CA5" s="208">
        <f t="shared" ref="CA5:CA10" si="10">BZ5/Q5</f>
        <v>2299027.692598009</v>
      </c>
      <c r="CB5" s="209">
        <v>2.0876175485837878E-7</v>
      </c>
      <c r="CC5" s="208">
        <f t="shared" ref="CC5:CC10" si="11">1/3*BV5*BL5</f>
        <v>3.5065855387249511E-7</v>
      </c>
      <c r="CD5" s="208">
        <f>1/3*BU5*BL5</f>
        <v>2.7764129640051501E-7</v>
      </c>
      <c r="CE5" s="208">
        <f>1/3*BU5*BM5</f>
        <v>3.229618316298348E-7</v>
      </c>
      <c r="CF5" s="208">
        <f>1/3*BT5*BM5</f>
        <v>2.3802566572272937E-7</v>
      </c>
      <c r="CG5" s="208">
        <f>1/3*BV5*BM5</f>
        <v>4.0789799753694009E-7</v>
      </c>
      <c r="CH5" s="210">
        <f t="shared" ref="CH5:CM10" si="12">$AP5/(CB5)</f>
        <v>2934445.5377642317</v>
      </c>
      <c r="CI5" s="211">
        <f t="shared" si="12"/>
        <v>1746998.5923193845</v>
      </c>
      <c r="CJ5" s="211">
        <f t="shared" si="12"/>
        <v>2206444.098706001</v>
      </c>
      <c r="CK5" s="211">
        <f t="shared" si="12"/>
        <v>1896818.5711249504</v>
      </c>
      <c r="CL5" s="210">
        <f t="shared" si="12"/>
        <v>2573672.0371726789</v>
      </c>
      <c r="CM5" s="210">
        <f t="shared" si="12"/>
        <v>1501846.05881651</v>
      </c>
      <c r="CN5" s="22">
        <f>1/CO5</f>
        <v>1961303757.1305401</v>
      </c>
      <c r="CO5" s="22">
        <v>5.0986492855295244E-10</v>
      </c>
      <c r="CP5" s="11">
        <v>6.94</v>
      </c>
      <c r="CQ5" s="32">
        <v>35.450000000000003</v>
      </c>
      <c r="CR5" s="25">
        <f t="shared" ref="CR5:CR10" si="13">SUM(CP5:CQ5)</f>
        <v>42.39</v>
      </c>
      <c r="CT5" s="11">
        <f>CP5/CR5</f>
        <v>0.16371785798537392</v>
      </c>
      <c r="CU5" s="11">
        <f t="shared" ref="CU5:CU23" si="14">(6.02214E+23)/Q5</f>
        <v>2.129355064395905E+28</v>
      </c>
      <c r="CV5" s="11">
        <f t="shared" ref="CV5:CV23" si="15">SQRT(($CT$2*1.380649E-23*P5)/(CU5*($CT$1)^2))</f>
        <v>1.4013724262922254E-11</v>
      </c>
      <c r="CW5" s="172">
        <v>2.3784529568456903E-10</v>
      </c>
      <c r="CX5" s="172">
        <v>3.4962685503166304E-10</v>
      </c>
      <c r="CY5" s="172">
        <v>3.60054333539078E-10</v>
      </c>
      <c r="CZ5" s="22">
        <f t="shared" ref="CZ5:CZ15" si="16">($AF5*$AG5*$CT$1^2)/(4*PI()*$CT$2*CW5)*EXP(-CW5/$CV5)</f>
        <v>-4.128443168837259E-26</v>
      </c>
      <c r="DA5" s="22">
        <f t="shared" ref="DA5:DA15" si="17">($AF5*$AF5*$CT$1^2)/(4*PI()*$CT$2*CX5)*EXP(-CX5/$CV5)</f>
        <v>9.6447827044716653E-30</v>
      </c>
      <c r="DB5" s="22">
        <f t="shared" ref="DB5:DB15" si="18">($AG5*$AG5*$CT$1^2)/(4*PI()*$CT$2*CY5)*EXP(-CY5/$CV5)</f>
        <v>4.4501516280506884E-30</v>
      </c>
      <c r="DC5" s="25">
        <f>DA5/DB5</f>
        <v>2.167293052146269</v>
      </c>
      <c r="DD5" s="22">
        <f>DA5/CZ5</f>
        <v>-2.3361791140237583E-4</v>
      </c>
      <c r="DE5" s="22">
        <f>DB5/CZ5</f>
        <v>-1.0779248850127773E-4</v>
      </c>
      <c r="DF5" s="172">
        <f t="shared" ref="DF5:DF15" si="19">($AF5*$AG5*$CT$1^2)/(4*PI()*$CT$2*CW5^2)</f>
        <v>-4.0782424698179419E-9</v>
      </c>
      <c r="DG5" s="172">
        <f t="shared" ref="DG5:DG15" si="20">($AF5*$AF5*$CT$1^2)/(4*PI()*$CT$2*CX5^2)</f>
        <v>1.8873507047910052E-9</v>
      </c>
      <c r="DH5" s="172">
        <f t="shared" ref="DH5:DH15" si="21">($AG5*$AG5*$CT$1^2)/(4*PI()*$CT$2*CY5^2)</f>
        <v>1.7796151332691201E-9</v>
      </c>
      <c r="DI5" s="25">
        <f>DG5/DH5</f>
        <v>1.0605386914888597</v>
      </c>
      <c r="DJ5" s="25">
        <f>DG5/DF5</f>
        <v>-0.46278530978940519</v>
      </c>
      <c r="DK5" s="25">
        <f>DH5/DF5</f>
        <v>-0.43636815281082697</v>
      </c>
    </row>
    <row r="6" spans="1:115" ht="20.25" customHeight="1" x14ac:dyDescent="0.25">
      <c r="A6" s="2" t="s">
        <v>22</v>
      </c>
      <c r="B6" s="30">
        <v>2000</v>
      </c>
      <c r="C6" s="173">
        <f>$G$35*P5+$G$37</f>
        <v>4588166.1378088826</v>
      </c>
      <c r="D6" s="173" t="s">
        <v>137</v>
      </c>
      <c r="E6" s="2">
        <v>1</v>
      </c>
      <c r="F6" s="2">
        <v>28</v>
      </c>
      <c r="G6" s="2">
        <v>28</v>
      </c>
      <c r="H6" s="22">
        <f>F6*1.6726219E-27</f>
        <v>4.6833413199999998E-26</v>
      </c>
      <c r="I6" s="22">
        <f>G6*9.1093856E-31</f>
        <v>2.5506279679999997E-29</v>
      </c>
      <c r="J6" s="24">
        <f>((H6*F6)/(I6*G6))</f>
        <v>1836.1522647586683</v>
      </c>
      <c r="K6" s="24">
        <f>F6/G6</f>
        <v>1</v>
      </c>
      <c r="L6" s="26">
        <f>(H6)-(I6)</f>
        <v>4.680790692032E-26</v>
      </c>
      <c r="M6" s="3">
        <v>58.44</v>
      </c>
      <c r="N6" s="11">
        <f>0.0893*EXP(22000/(8.3144598*P6))/1000</f>
        <v>1.0321390978018604E-3</v>
      </c>
      <c r="O6" s="27">
        <f>P6^-1</f>
        <v>9.2494103500901812E-4</v>
      </c>
      <c r="P6" s="3">
        <v>1081.1500000000001</v>
      </c>
      <c r="Q6" s="5">
        <v>3.765E-5</v>
      </c>
      <c r="R6" s="5">
        <v>3.5E-4</v>
      </c>
      <c r="T6" s="6">
        <v>1.02E-10</v>
      </c>
      <c r="U6" s="6">
        <v>1.81E-10</v>
      </c>
      <c r="V6" s="6">
        <f>U6+T6</f>
        <v>2.8300000000000001E-10</v>
      </c>
      <c r="W6" s="6">
        <f>U6-T6</f>
        <v>7.8999999999999999E-11</v>
      </c>
      <c r="X6" s="6">
        <v>1560000</v>
      </c>
      <c r="Y6" s="4">
        <v>2732.9322499999998</v>
      </c>
      <c r="Z6" s="4">
        <v>-0.91500000000000004</v>
      </c>
      <c r="AA6" s="4">
        <v>2.1393</v>
      </c>
      <c r="AB6" s="4">
        <v>-5.4299999999999997E-4</v>
      </c>
      <c r="AC6" s="4">
        <v>1</v>
      </c>
      <c r="AD6" s="4">
        <v>1</v>
      </c>
      <c r="AE6" s="11">
        <f>AC6+AD6</f>
        <v>2</v>
      </c>
      <c r="AF6" s="11">
        <v>1</v>
      </c>
      <c r="AG6" s="11">
        <v>-1</v>
      </c>
      <c r="AH6" s="178">
        <v>55.3</v>
      </c>
      <c r="AI6" s="178">
        <f t="shared" si="0"/>
        <v>121.0360980053666</v>
      </c>
      <c r="AJ6" s="193">
        <f t="shared" si="1"/>
        <v>5.2760120000000008E-2</v>
      </c>
      <c r="AK6" s="193">
        <v>0.47549999999999998</v>
      </c>
      <c r="AL6" s="193">
        <v>-1.8000000000000001E-4</v>
      </c>
      <c r="AM6" s="200">
        <v>1074.1500000000001</v>
      </c>
      <c r="AN6" s="200">
        <f t="shared" ref="AN6:AN18" si="22">AK6+AL6*(1200-P6)</f>
        <v>0.45410699999999998</v>
      </c>
      <c r="AO6" s="200">
        <f t="shared" si="2"/>
        <v>0.47675999999999996</v>
      </c>
      <c r="AP6" s="199">
        <f t="shared" si="3"/>
        <v>0.46649999999999997</v>
      </c>
      <c r="AQ6" s="178" t="s">
        <v>179</v>
      </c>
      <c r="AR6" s="199">
        <v>0.54192857279020001</v>
      </c>
      <c r="AS6" s="199">
        <f t="shared" si="4"/>
        <v>0.29291648004868404</v>
      </c>
      <c r="AT6" s="199">
        <f t="shared" si="5"/>
        <v>0.47664358944502805</v>
      </c>
      <c r="AU6" s="199">
        <f t="shared" si="6"/>
        <v>0.30415923375652942</v>
      </c>
      <c r="AV6" s="199">
        <f t="shared" ref="AV6:AV22" si="23">AX6/AZ6*BA6</f>
        <v>0.29184445780135787</v>
      </c>
      <c r="AW6" s="178">
        <v>0.53084165353214496</v>
      </c>
      <c r="AX6" s="178">
        <v>0.346144472817148</v>
      </c>
      <c r="AY6" s="199" t="e">
        <f>AX6/AZ6*#REF!*10^-10</f>
        <v>#REF!</v>
      </c>
      <c r="AZ6" s="178">
        <v>3.1580623349999998E-10</v>
      </c>
      <c r="BA6" s="178">
        <v>2.66265407146292E-10</v>
      </c>
      <c r="BB6" s="201">
        <f t="shared" ref="BB6:BB16" si="24">AP6/(1/3*BV6*AZ6)</f>
        <v>1629233.3850450402</v>
      </c>
      <c r="BC6" s="181">
        <v>0.36608849367903401</v>
      </c>
      <c r="BD6" s="181">
        <f t="shared" si="7"/>
        <v>0.57106848894692408</v>
      </c>
      <c r="BE6" s="201">
        <f t="shared" ref="BE6:BE10" si="25">BC6/BT6*BU6</f>
        <v>0.46857849131297907</v>
      </c>
      <c r="BF6" s="201">
        <f t="shared" ref="BF6:BF14" si="26">BC6/(BT6*BL6)*BU6*BM6</f>
        <v>0.55353738599907809</v>
      </c>
      <c r="BG6" s="201">
        <f t="shared" si="8"/>
        <v>0.43246472382378331</v>
      </c>
      <c r="BH6" s="201">
        <f t="shared" ref="BH6:BH14" si="27">BC6/(BL6*BT6)*BM6*BV6</f>
        <v>0.67461004817437287</v>
      </c>
      <c r="BI6" s="182">
        <v>1096065992.68455</v>
      </c>
      <c r="BJ6" s="202">
        <f t="shared" ref="BJ6:BJ14" si="28">BI6/BT6*BV6</f>
        <v>1709774442.616751</v>
      </c>
      <c r="BK6" s="202">
        <f t="shared" ref="BK6:BK14" si="29">BI6/BT6*BU6</f>
        <v>1402920217.6506505</v>
      </c>
      <c r="BL6" s="182">
        <v>3.3400223720324102E-10</v>
      </c>
      <c r="BM6" s="182">
        <v>3.94560844611702E-10</v>
      </c>
      <c r="BN6" s="182">
        <v>7.0750000000000001E-11</v>
      </c>
      <c r="BO6" s="189">
        <f>AP6/BI6</f>
        <v>4.2561305898873879E-10</v>
      </c>
      <c r="BP6" s="203">
        <f t="shared" ref="BP6:BQ10" si="30">$AP$5/BJ6</f>
        <v>3.5829287462177575E-10</v>
      </c>
      <c r="BQ6" s="203">
        <f t="shared" si="30"/>
        <v>4.3666061141086727E-10</v>
      </c>
      <c r="BR6" s="184">
        <v>2.0640716413749399E-4</v>
      </c>
      <c r="BS6" s="204">
        <f t="shared" ref="BS6:BS14" si="31">BR6/BL6*BM6</f>
        <v>2.4383125603568732E-4</v>
      </c>
      <c r="BT6" s="232">
        <f>Y6+Z6*P6</f>
        <v>1743.6799999999998</v>
      </c>
      <c r="BU6" s="205">
        <f t="shared" ref="BU6:BU14" si="32">AVERAGE(BT6,BV6)</f>
        <v>2231.84</v>
      </c>
      <c r="BV6" s="230">
        <v>2720</v>
      </c>
      <c r="BW6" s="183" t="s">
        <v>122</v>
      </c>
      <c r="BX6" s="191">
        <f t="shared" si="9"/>
        <v>2260.0959707447478</v>
      </c>
      <c r="BY6" s="206">
        <f t="shared" si="9"/>
        <v>1913.2083703482324</v>
      </c>
      <c r="BZ6" s="185">
        <v>69.62</v>
      </c>
      <c r="CA6" s="186">
        <f t="shared" si="10"/>
        <v>1849136.7861885792</v>
      </c>
      <c r="CB6" s="186">
        <v>1.9797804922458501E-7</v>
      </c>
      <c r="CC6" s="186">
        <f t="shared" si="11"/>
        <v>3.0282869506427185E-7</v>
      </c>
      <c r="CD6" s="208">
        <f t="shared" ref="CD6:CD14" si="33">1/3*BU6*BL6</f>
        <v>2.4847985102656052E-7</v>
      </c>
      <c r="CE6" s="208">
        <f t="shared" ref="CE6:CE14" si="34">1/3*BU6*BM6</f>
        <v>2.9353222514606033E-7</v>
      </c>
      <c r="CF6" s="208">
        <f t="shared" ref="CF6:CF15" si="35">1/3*BT6*BM6</f>
        <v>2.2932928451084414E-7</v>
      </c>
      <c r="CG6" s="208">
        <f t="shared" ref="CG6:CG14" si="36">1/3*BV6*BM6</f>
        <v>3.5773516578127647E-7</v>
      </c>
      <c r="CH6" s="210">
        <f t="shared" si="12"/>
        <v>2356321.8337948439</v>
      </c>
      <c r="CI6" s="210">
        <f t="shared" si="12"/>
        <v>1540474.8876290959</v>
      </c>
      <c r="CJ6" s="211">
        <f t="shared" si="12"/>
        <v>1877415.8068459837</v>
      </c>
      <c r="CK6" s="211">
        <f t="shared" si="12"/>
        <v>1589263.3245561766</v>
      </c>
      <c r="CL6" s="210">
        <f t="shared" si="12"/>
        <v>2034192.8899095349</v>
      </c>
      <c r="CM6" s="210">
        <f t="shared" si="12"/>
        <v>1304037.3008373005</v>
      </c>
      <c r="CN6" s="22">
        <f t="shared" ref="CN6:CN23" si="37">1/CO6</f>
        <v>2635440131.8514771</v>
      </c>
      <c r="CO6" s="8">
        <f>N6/(X6/1000*(Y6+Z6*P6))</f>
        <v>3.7944326183477726E-10</v>
      </c>
      <c r="CP6" s="11">
        <v>22.99</v>
      </c>
      <c r="CQ6" s="32">
        <v>35.450000000000003</v>
      </c>
      <c r="CR6" s="25">
        <f t="shared" si="13"/>
        <v>58.44</v>
      </c>
      <c r="CS6" s="4"/>
      <c r="CT6" s="11">
        <f>CP6/CR6</f>
        <v>0.39339493497604378</v>
      </c>
      <c r="CU6" s="11">
        <f t="shared" si="14"/>
        <v>1.5995059760956174E+28</v>
      </c>
      <c r="CV6" s="11">
        <f t="shared" si="15"/>
        <v>1.7941372563134259E-11</v>
      </c>
      <c r="CW6" s="227">
        <v>2.66265407146292E-10</v>
      </c>
      <c r="CX6" s="227">
        <v>3.9456084468176301E-10</v>
      </c>
      <c r="CY6" s="227">
        <v>3.9212537593987905E-10</v>
      </c>
      <c r="CZ6" s="22">
        <f t="shared" si="16"/>
        <v>-3.1077323728082518E-25</v>
      </c>
      <c r="DA6" s="22">
        <f t="shared" si="17"/>
        <v>1.6446929945472806E-28</v>
      </c>
      <c r="DB6" s="22">
        <f t="shared" si="18"/>
        <v>1.895516626133582E-28</v>
      </c>
      <c r="DC6" s="25">
        <f t="shared" ref="DC6:DC15" si="38">DA6/DB6</f>
        <v>0.86767531968425726</v>
      </c>
      <c r="DD6" s="22">
        <f t="shared" ref="DD6:DD15" si="39">DA6/CZ6</f>
        <v>-5.2922607137534188E-4</v>
      </c>
      <c r="DE6" s="22">
        <f t="shared" ref="DE6:DE15" si="40">DB6/CZ6</f>
        <v>-6.0993560536898143E-4</v>
      </c>
      <c r="DF6" s="172">
        <f t="shared" si="19"/>
        <v>-3.2541133806154346E-9</v>
      </c>
      <c r="DG6" s="172">
        <f t="shared" si="20"/>
        <v>1.4819522334191937E-9</v>
      </c>
      <c r="DH6" s="172">
        <f t="shared" si="21"/>
        <v>1.5004180455457541E-9</v>
      </c>
      <c r="DI6" s="25">
        <f t="shared" ref="DI6:DI15" si="41">DG6/DH6</f>
        <v>0.98769288853771164</v>
      </c>
      <c r="DJ6" s="25">
        <f t="shared" ref="DJ6:DJ15" si="42">DG6/DF6</f>
        <v>-0.45540891176290832</v>
      </c>
      <c r="DK6" s="25">
        <f t="shared" ref="DK6:DK15" si="43">DH6/DF6</f>
        <v>-0.46108351801251229</v>
      </c>
    </row>
    <row r="7" spans="1:115" s="11" customFormat="1" ht="20.25" customHeight="1" x14ac:dyDescent="0.25">
      <c r="A7" s="2" t="s">
        <v>23</v>
      </c>
      <c r="B7" s="30">
        <v>1300</v>
      </c>
      <c r="C7" s="173">
        <f>$K$35*P7+$K$37</f>
        <v>2436836.8373309374</v>
      </c>
      <c r="D7" s="173" t="s">
        <v>138</v>
      </c>
      <c r="E7" s="2">
        <v>1</v>
      </c>
      <c r="F7" s="2">
        <v>36</v>
      </c>
      <c r="G7" s="2">
        <v>36</v>
      </c>
      <c r="H7" s="22">
        <v>6.0214388399999996E-26</v>
      </c>
      <c r="I7" s="22">
        <v>3.2793788159999999E-29</v>
      </c>
      <c r="J7" s="24">
        <v>1836.1522647586683</v>
      </c>
      <c r="K7" s="24">
        <v>1</v>
      </c>
      <c r="L7" s="26">
        <v>6.0181594611840001E-26</v>
      </c>
      <c r="M7" s="3">
        <v>74.551299999999998</v>
      </c>
      <c r="N7" s="11">
        <v>1.1078669041234444E-3</v>
      </c>
      <c r="O7" s="27">
        <v>9.5680045926422035E-4</v>
      </c>
      <c r="P7" s="3">
        <v>1045.1500000000001</v>
      </c>
      <c r="Q7" s="5">
        <v>4.884E-5</v>
      </c>
      <c r="R7" s="5">
        <v>3.8200000000000002E-4</v>
      </c>
      <c r="S7" s="32"/>
      <c r="T7" s="6">
        <v>1.3799999999999999E-10</v>
      </c>
      <c r="U7" s="6">
        <v>1.81E-10</v>
      </c>
      <c r="V7" s="6">
        <v>3.1899999999999998E-10</v>
      </c>
      <c r="W7" s="6">
        <f t="shared" ref="W7:W17" si="44">U7-T7</f>
        <v>4.3000000000000007E-11</v>
      </c>
      <c r="X7" s="6">
        <v>1530000</v>
      </c>
      <c r="Y7" s="11">
        <v>2514.8256999999999</v>
      </c>
      <c r="Z7" s="11">
        <v>-0.878</v>
      </c>
      <c r="AA7" s="11">
        <v>2.1358999999999999</v>
      </c>
      <c r="AB7" s="11">
        <v>-5.8310000000000002E-4</v>
      </c>
      <c r="AC7" s="11">
        <v>1</v>
      </c>
      <c r="AD7" s="11">
        <v>1</v>
      </c>
      <c r="AE7" s="11">
        <v>2</v>
      </c>
      <c r="AF7" s="11">
        <v>1</v>
      </c>
      <c r="AG7" s="11">
        <v>-1</v>
      </c>
      <c r="AH7" s="178">
        <v>29.4</v>
      </c>
      <c r="AI7" s="178">
        <f t="shared" si="0"/>
        <v>62.143384501088875</v>
      </c>
      <c r="AJ7" s="193">
        <f t="shared" si="1"/>
        <v>3.3152158000000001E-2</v>
      </c>
      <c r="AK7" s="193">
        <v>0.35930000000000001</v>
      </c>
      <c r="AL7" s="193">
        <v>-8.5000000000000006E-5</v>
      </c>
      <c r="AM7" s="200">
        <v>1043</v>
      </c>
      <c r="AN7" s="200">
        <f t="shared" si="22"/>
        <v>0.34613775000000002</v>
      </c>
      <c r="AO7" s="200">
        <f t="shared" si="2"/>
        <v>0.35948275000000002</v>
      </c>
      <c r="AP7" s="199">
        <f t="shared" si="3"/>
        <v>0.35505000000000003</v>
      </c>
      <c r="AQ7" s="178" t="s">
        <v>179</v>
      </c>
      <c r="AR7" s="199">
        <v>0.43217238471639502</v>
      </c>
      <c r="AS7" s="199">
        <f t="shared" si="4"/>
        <v>0.24562626056139727</v>
      </c>
      <c r="AT7" s="199">
        <f t="shared" si="5"/>
        <v>0.40292569836757913</v>
      </c>
      <c r="AU7" s="199">
        <f t="shared" si="6"/>
        <v>0.25593314786786775</v>
      </c>
      <c r="AV7" s="199">
        <f t="shared" si="23"/>
        <v>0.24533629939701559</v>
      </c>
      <c r="AW7" s="178">
        <v>0.41602860665791702</v>
      </c>
      <c r="AX7" s="178">
        <v>0.28781059971565698</v>
      </c>
      <c r="AY7" s="199" t="e">
        <f>AX7/AZ7*#REF!*10^-10</f>
        <v>#REF!</v>
      </c>
      <c r="AZ7" s="178">
        <v>3.5060205590000002E-10</v>
      </c>
      <c r="BA7" s="178">
        <v>2.9886116439238405E-10</v>
      </c>
      <c r="BB7" s="201">
        <f t="shared" si="24"/>
        <v>1287313.4602822843</v>
      </c>
      <c r="BC7" s="181">
        <v>0.296937775746827</v>
      </c>
      <c r="BD7" s="181">
        <f t="shared" si="7"/>
        <v>0.43875542878122487</v>
      </c>
      <c r="BE7" s="201">
        <f t="shared" si="25"/>
        <v>0.36784660226402593</v>
      </c>
      <c r="BF7" s="201">
        <f t="shared" si="26"/>
        <v>0.45527649679112014</v>
      </c>
      <c r="BG7" s="201">
        <f t="shared" si="8"/>
        <v>0.36751403839236602</v>
      </c>
      <c r="BH7" s="201">
        <f t="shared" si="27"/>
        <v>0.54303895518987422</v>
      </c>
      <c r="BI7" s="182">
        <v>820903913.34655297</v>
      </c>
      <c r="BJ7" s="202">
        <f t="shared" si="28"/>
        <v>1212968096.0351877</v>
      </c>
      <c r="BK7" s="202">
        <f t="shared" si="29"/>
        <v>1016936004.6908704</v>
      </c>
      <c r="BL7" s="182">
        <v>3.6182029353950698E-10</v>
      </c>
      <c r="BM7" s="182">
        <v>4.4781785313967899E-10</v>
      </c>
      <c r="BN7" s="182">
        <v>7.9749999999999996E-11</v>
      </c>
      <c r="BO7" s="189">
        <f>AP7/BI7</f>
        <v>4.3251103354176857E-10</v>
      </c>
      <c r="BP7" s="203">
        <f t="shared" si="30"/>
        <v>5.0504213754870988E-10</v>
      </c>
      <c r="BQ7" s="203">
        <f t="shared" si="30"/>
        <v>6.0239778823272075E-10</v>
      </c>
      <c r="BR7" s="184">
        <v>1.8192385680367899E-4</v>
      </c>
      <c r="BS7" s="204">
        <f t="shared" si="31"/>
        <v>2.2516357551906739E-4</v>
      </c>
      <c r="BT7" s="232">
        <f>Y7+Z7*P7</f>
        <v>1597.1839999999997</v>
      </c>
      <c r="BU7" s="205">
        <f t="shared" si="32"/>
        <v>1978.5919999999999</v>
      </c>
      <c r="BV7" s="230">
        <v>2360</v>
      </c>
      <c r="BW7" s="183" t="s">
        <v>121</v>
      </c>
      <c r="BX7" s="191">
        <f t="shared" si="9"/>
        <v>1951.6406821956732</v>
      </c>
      <c r="BY7" s="206">
        <f t="shared" si="9"/>
        <v>1576.8536237777657</v>
      </c>
      <c r="BZ7" s="185">
        <v>73.599999999999994</v>
      </c>
      <c r="CA7" s="186">
        <f t="shared" si="10"/>
        <v>1506961.5069615068</v>
      </c>
      <c r="CB7" s="180">
        <v>1.9709839536224268E-7</v>
      </c>
      <c r="CC7" s="186">
        <f t="shared" si="11"/>
        <v>2.8463196425107878E-7</v>
      </c>
      <c r="CD7" s="208">
        <f t="shared" si="33"/>
        <v>2.3863157941164004E-7</v>
      </c>
      <c r="CE7" s="208">
        <f t="shared" si="34"/>
        <v>2.9534960722644786E-7</v>
      </c>
      <c r="CF7" s="208">
        <f t="shared" si="35"/>
        <v>2.3841583664968165E-7</v>
      </c>
      <c r="CG7" s="208">
        <f t="shared" si="36"/>
        <v>3.5228337780321413E-7</v>
      </c>
      <c r="CH7" s="210">
        <f t="shared" si="12"/>
        <v>1801384.5285115675</v>
      </c>
      <c r="CI7" s="210">
        <f t="shared" si="12"/>
        <v>1247400.3084446422</v>
      </c>
      <c r="CJ7" s="211">
        <f t="shared" si="12"/>
        <v>1487858.4002812887</v>
      </c>
      <c r="CK7" s="211">
        <f t="shared" si="12"/>
        <v>1202134.6611366211</v>
      </c>
      <c r="CL7" s="210">
        <f t="shared" si="12"/>
        <v>1489204.765041241</v>
      </c>
      <c r="CM7" s="210">
        <f t="shared" si="12"/>
        <v>1007853.3997659445</v>
      </c>
      <c r="CN7" s="22">
        <f t="shared" si="37"/>
        <v>2205762723.7573934</v>
      </c>
      <c r="CO7" s="22">
        <v>4.5335791979318428E-10</v>
      </c>
      <c r="CP7" s="4">
        <v>39.1</v>
      </c>
      <c r="CQ7" s="32">
        <v>35.450000000000003</v>
      </c>
      <c r="CR7" s="25">
        <f t="shared" si="13"/>
        <v>74.550000000000011</v>
      </c>
      <c r="CT7" s="11">
        <f t="shared" ref="CT7:CT15" si="45">CP7/CR7</f>
        <v>0.52448021462105965</v>
      </c>
      <c r="CU7" s="11">
        <f t="shared" si="14"/>
        <v>1.2330343980343979E+28</v>
      </c>
      <c r="CV7" s="11">
        <f t="shared" si="15"/>
        <v>2.0091267600162987E-11</v>
      </c>
      <c r="CW7" s="172">
        <v>2.9886116439238405E-10</v>
      </c>
      <c r="CX7" s="172">
        <v>4.4781785313967904E-10</v>
      </c>
      <c r="CY7" s="172">
        <v>4.5057108186773498E-10</v>
      </c>
      <c r="CZ7" s="22">
        <f t="shared" si="16"/>
        <v>-2.6753791875773571E-25</v>
      </c>
      <c r="DA7" s="22">
        <f t="shared" si="17"/>
        <v>1.0762011978874663E-28</v>
      </c>
      <c r="DB7" s="22">
        <f t="shared" si="18"/>
        <v>9.326475265360987E-29</v>
      </c>
      <c r="DC7" s="25">
        <f t="shared" si="38"/>
        <v>1.1539206048018307</v>
      </c>
      <c r="DD7" s="22">
        <f t="shared" si="39"/>
        <v>-4.0226118334351008E-4</v>
      </c>
      <c r="DE7" s="22">
        <f t="shared" si="40"/>
        <v>-3.4860386552555992E-4</v>
      </c>
      <c r="DF7" s="172">
        <f t="shared" si="19"/>
        <v>-2.5829928653206969E-9</v>
      </c>
      <c r="DG7" s="172">
        <f t="shared" si="20"/>
        <v>1.1504277996851191E-9</v>
      </c>
      <c r="DH7" s="172">
        <f t="shared" si="21"/>
        <v>1.1364113047341505E-9</v>
      </c>
      <c r="DI7" s="25">
        <f t="shared" si="41"/>
        <v>1.0123339981682491</v>
      </c>
      <c r="DJ7" s="25">
        <f t="shared" si="42"/>
        <v>-0.44538558937997114</v>
      </c>
      <c r="DK7" s="25">
        <f t="shared" si="43"/>
        <v>-0.43995913422434363</v>
      </c>
    </row>
    <row r="8" spans="1:115" s="11" customFormat="1" ht="20.25" customHeight="1" x14ac:dyDescent="0.25">
      <c r="A8" s="2" t="s">
        <v>16</v>
      </c>
      <c r="B8" s="30">
        <v>150</v>
      </c>
      <c r="C8" s="173">
        <f>$B$35*P8+$B$37</f>
        <v>2554019.5537003749</v>
      </c>
      <c r="D8" s="173" t="s">
        <v>139</v>
      </c>
      <c r="E8" s="2">
        <v>1</v>
      </c>
      <c r="F8" s="2">
        <v>12</v>
      </c>
      <c r="G8" s="2">
        <v>12</v>
      </c>
      <c r="H8" s="22">
        <v>2.0071462799999999E-26</v>
      </c>
      <c r="I8" s="22">
        <v>1.0931262719999999E-29</v>
      </c>
      <c r="J8" s="24">
        <v>1836.1522647586683</v>
      </c>
      <c r="K8" s="24">
        <v>1</v>
      </c>
      <c r="L8" s="26">
        <v>2.0060531537279999E-26</v>
      </c>
      <c r="M8" s="3">
        <v>25.939</v>
      </c>
      <c r="N8" s="11">
        <v>2.0988673196732184E-3</v>
      </c>
      <c r="O8" s="27">
        <v>8.9433439162902998E-4</v>
      </c>
      <c r="P8" s="3">
        <v>1118.1500000000001</v>
      </c>
      <c r="Q8" s="5">
        <v>1.42E-5</v>
      </c>
      <c r="R8" s="5">
        <v>2.6800000000000001E-4</v>
      </c>
      <c r="S8" s="32"/>
      <c r="T8" s="6">
        <v>7.5999999999999996E-11</v>
      </c>
      <c r="U8" s="6">
        <v>1.3300000000000001E-10</v>
      </c>
      <c r="V8" s="6">
        <v>2.09E-10</v>
      </c>
      <c r="W8" s="6">
        <f t="shared" si="44"/>
        <v>5.700000000000001E-11</v>
      </c>
      <c r="X8" s="6">
        <v>1810000</v>
      </c>
      <c r="Y8" s="11">
        <v>2547.8000000000002</v>
      </c>
      <c r="Z8" s="11">
        <v>0</v>
      </c>
      <c r="AA8" s="11">
        <v>2.3580999999999999</v>
      </c>
      <c r="AB8" s="11">
        <v>-4.9019999999999999E-4</v>
      </c>
      <c r="AC8" s="11">
        <v>1</v>
      </c>
      <c r="AD8" s="11">
        <v>1</v>
      </c>
      <c r="AE8" s="11">
        <v>2</v>
      </c>
      <c r="AF8" s="11">
        <v>1</v>
      </c>
      <c r="AG8" s="11">
        <v>-1</v>
      </c>
      <c r="AH8" s="178">
        <v>62.5</v>
      </c>
      <c r="AI8" s="178">
        <f t="shared" si="0"/>
        <v>69.680957920869815</v>
      </c>
      <c r="AJ8" s="193">
        <f t="shared" si="1"/>
        <v>4.0924290000000007E-3</v>
      </c>
      <c r="AK8" s="193">
        <v>1.35</v>
      </c>
      <c r="AL8" s="193">
        <v>-3.7500000000000001E-4</v>
      </c>
      <c r="AM8" s="200">
        <v>1121</v>
      </c>
      <c r="AN8" s="200">
        <f t="shared" si="22"/>
        <v>1.3193062500000001</v>
      </c>
      <c r="AO8" s="200">
        <f t="shared" si="2"/>
        <v>1.3489312500000001</v>
      </c>
      <c r="AP8" s="199">
        <f t="shared" si="3"/>
        <v>1.33125</v>
      </c>
      <c r="AQ8" s="178" t="s">
        <v>180</v>
      </c>
      <c r="AR8" s="199">
        <v>1.2195937295724</v>
      </c>
      <c r="AS8" s="199">
        <f t="shared" si="4"/>
        <v>0.72198244099516784</v>
      </c>
      <c r="AT8" s="199">
        <f t="shared" si="5"/>
        <v>0.80248523098591562</v>
      </c>
      <c r="AU8" s="199">
        <f t="shared" si="6"/>
        <v>0.80248523098591562</v>
      </c>
      <c r="AV8" s="199">
        <f t="shared" si="23"/>
        <v>0.72198244099516784</v>
      </c>
      <c r="AW8" s="178">
        <v>1.22987712739888</v>
      </c>
      <c r="AX8" s="178">
        <v>0.90368250947301099</v>
      </c>
      <c r="AY8" s="199" t="e">
        <f>AX8/AZ8*#REF!*10^-10</f>
        <v>#REF!</v>
      </c>
      <c r="AZ8" s="178">
        <v>2.3551445219999998E-10</v>
      </c>
      <c r="BA8" s="178">
        <v>1.8816044053807599E-10</v>
      </c>
      <c r="BB8" s="201">
        <f>AP8/0.0000002747668609</f>
        <v>4845016.5920281839</v>
      </c>
      <c r="BC8" s="181">
        <v>0.90535258306336996</v>
      </c>
      <c r="BD8" s="181">
        <f t="shared" si="7"/>
        <v>1.2437138082745092</v>
      </c>
      <c r="BE8" s="201">
        <f t="shared" si="25"/>
        <v>1.0745331956689395</v>
      </c>
      <c r="BF8" s="201">
        <f t="shared" si="26"/>
        <v>1.2835318766111998</v>
      </c>
      <c r="BG8" s="201">
        <f t="shared" si="8"/>
        <v>1.0814453239955075</v>
      </c>
      <c r="BH8" s="201">
        <f t="shared" si="27"/>
        <v>1.4856184292268921</v>
      </c>
      <c r="BI8" s="182">
        <v>3837057560.7207298</v>
      </c>
      <c r="BJ8" s="202">
        <f t="shared" si="28"/>
        <v>5271097206.4222279</v>
      </c>
      <c r="BK8" s="202">
        <f t="shared" si="29"/>
        <v>4554077383.5714788</v>
      </c>
      <c r="BL8" s="182">
        <v>2.3591537099888599E-10</v>
      </c>
      <c r="BM8" s="182">
        <v>2.8180134413727398E-10</v>
      </c>
      <c r="BN8" s="182">
        <v>5.2250000000000001E-11</v>
      </c>
      <c r="BO8" s="190">
        <f>AP8/BI8</f>
        <v>3.4694553806744197E-10</v>
      </c>
      <c r="BP8" s="203">
        <f t="shared" si="30"/>
        <v>1.1621868768680972E-10</v>
      </c>
      <c r="BQ8" s="203">
        <f t="shared" si="30"/>
        <v>1.3451681831536558E-10</v>
      </c>
      <c r="BR8" s="184">
        <v>3.5199164586657898E-4</v>
      </c>
      <c r="BS8" s="204">
        <f t="shared" si="31"/>
        <v>4.204546677493163E-4</v>
      </c>
      <c r="BT8" s="232">
        <f>Y8+Z8*P8</f>
        <v>2547.8000000000002</v>
      </c>
      <c r="BU8" s="205">
        <f t="shared" si="32"/>
        <v>3023.9</v>
      </c>
      <c r="BV8" s="230">
        <v>3500</v>
      </c>
      <c r="BW8" s="183"/>
      <c r="BX8" s="191">
        <f t="shared" si="9"/>
        <v>3782.0499879267163</v>
      </c>
      <c r="BY8" s="206">
        <f t="shared" si="9"/>
        <v>3166.2152952805809</v>
      </c>
      <c r="BZ8" s="185">
        <v>64.2</v>
      </c>
      <c r="CA8" s="186">
        <f t="shared" si="10"/>
        <v>4521126.760563381</v>
      </c>
      <c r="CB8" s="180">
        <v>2.002201897716116E-7</v>
      </c>
      <c r="CC8" s="186">
        <f t="shared" si="11"/>
        <v>2.752345994987003E-7</v>
      </c>
      <c r="CD8" s="208">
        <f t="shared" si="33"/>
        <v>2.3779483012117713E-7</v>
      </c>
      <c r="CE8" s="208">
        <f t="shared" si="34"/>
        <v>2.8404636151223427E-7</v>
      </c>
      <c r="CF8" s="208">
        <f t="shared" si="35"/>
        <v>2.3932448819764887E-7</v>
      </c>
      <c r="CG8" s="208">
        <f t="shared" si="36"/>
        <v>3.2876823482681962E-7</v>
      </c>
      <c r="CH8" s="210">
        <f t="shared" si="12"/>
        <v>6648929.8682542378</v>
      </c>
      <c r="CI8" s="210">
        <f t="shared" si="12"/>
        <v>4836782.8842183277</v>
      </c>
      <c r="CJ8" s="211">
        <f t="shared" si="12"/>
        <v>5598313.4676292688</v>
      </c>
      <c r="CK8" s="211">
        <f t="shared" si="12"/>
        <v>4686734.9150770986</v>
      </c>
      <c r="CL8" s="210">
        <f t="shared" si="12"/>
        <v>5562531.4819458509</v>
      </c>
      <c r="CM8" s="210">
        <f t="shared" si="12"/>
        <v>4049205.0599147542</v>
      </c>
      <c r="CN8" s="22">
        <f t="shared" si="37"/>
        <v>2197146030.5161104</v>
      </c>
      <c r="CO8" s="22">
        <v>4.5513588360128237E-10</v>
      </c>
      <c r="CP8" s="11">
        <v>6.94</v>
      </c>
      <c r="CQ8" s="32">
        <v>19</v>
      </c>
      <c r="CR8" s="25">
        <f t="shared" si="13"/>
        <v>25.94</v>
      </c>
      <c r="CT8" s="11">
        <f t="shared" si="45"/>
        <v>0.26754047802621433</v>
      </c>
      <c r="CU8" s="11">
        <f t="shared" si="14"/>
        <v>4.2409436619718312E+28</v>
      </c>
      <c r="CV8" s="11">
        <f t="shared" si="15"/>
        <v>1.1205323631899612E-11</v>
      </c>
      <c r="CW8" s="172">
        <v>1.8816044053807599E-10</v>
      </c>
      <c r="CX8" s="172">
        <v>2.8180134413727398E-10</v>
      </c>
      <c r="CY8" s="172">
        <v>2.82245753745491E-10</v>
      </c>
      <c r="CZ8" s="22">
        <f t="shared" si="16"/>
        <v>-6.2493647254461605E-26</v>
      </c>
      <c r="DA8" s="22">
        <f t="shared" si="17"/>
        <v>9.7971356258202976E-30</v>
      </c>
      <c r="DB8" s="22">
        <f t="shared" si="18"/>
        <v>9.4013537312610875E-30</v>
      </c>
      <c r="DC8" s="25">
        <f t="shared" si="38"/>
        <v>1.0420983941113893</v>
      </c>
      <c r="DD8" s="22">
        <f t="shared" si="39"/>
        <v>-1.5677010474246007E-4</v>
      </c>
      <c r="DE8" s="22">
        <f t="shared" si="40"/>
        <v>-1.504369507028556E-4</v>
      </c>
      <c r="DF8" s="172">
        <f t="shared" si="19"/>
        <v>-6.5163669525834072E-9</v>
      </c>
      <c r="DG8" s="172">
        <f t="shared" si="20"/>
        <v>2.9052001262871297E-9</v>
      </c>
      <c r="DH8" s="172">
        <f t="shared" si="21"/>
        <v>2.896058572276397E-9</v>
      </c>
      <c r="DI8" s="25">
        <f t="shared" si="41"/>
        <v>1.003156550112019</v>
      </c>
      <c r="DJ8" s="25">
        <f t="shared" si="42"/>
        <v>-0.4458312657078598</v>
      </c>
      <c r="DK8" s="25">
        <f t="shared" si="43"/>
        <v>-0.44442840517571797</v>
      </c>
    </row>
    <row r="9" spans="1:115" ht="20.25" customHeight="1" x14ac:dyDescent="0.25">
      <c r="A9" s="2" t="s">
        <v>17</v>
      </c>
      <c r="B9" s="29">
        <v>300</v>
      </c>
      <c r="C9" s="173">
        <f>$G$35*P8+$G$37</f>
        <v>3363565.435277028</v>
      </c>
      <c r="D9" s="173" t="s">
        <v>140</v>
      </c>
      <c r="E9" s="2">
        <v>1</v>
      </c>
      <c r="F9" s="2">
        <v>20</v>
      </c>
      <c r="G9" s="2">
        <v>20</v>
      </c>
      <c r="H9" s="22">
        <f>F9*1.6726219E-27</f>
        <v>3.3452438000000001E-26</v>
      </c>
      <c r="I9" s="22">
        <f>G9*9.1093856E-31</f>
        <v>1.82187712E-29</v>
      </c>
      <c r="J9" s="24">
        <f>((H9*F9)/(I9*G9))</f>
        <v>1836.1522647586683</v>
      </c>
      <c r="K9" s="24">
        <f>F9/G9</f>
        <v>1</v>
      </c>
      <c r="L9" s="26">
        <f>(H9)-(I9)</f>
        <v>3.3434219228800004E-26</v>
      </c>
      <c r="M9" s="3">
        <v>41.988</v>
      </c>
      <c r="N9" s="11">
        <f>0.12*EXP(26500/(8.3144598*P9))/1000</f>
        <v>1.4814456494713717E-3</v>
      </c>
      <c r="O9" s="27">
        <f>P9^-1</f>
        <v>7.885502503647044E-4</v>
      </c>
      <c r="P9" s="3">
        <v>1268.1500000000001</v>
      </c>
      <c r="Q9" s="5">
        <v>2.16E-5</v>
      </c>
      <c r="R9" s="5">
        <v>2.8800000000000001E-4</v>
      </c>
      <c r="T9" s="6">
        <v>1.02E-10</v>
      </c>
      <c r="U9" s="6">
        <v>1.3300000000000001E-10</v>
      </c>
      <c r="V9" s="6">
        <f>U9+T9</f>
        <v>2.3500000000000002E-10</v>
      </c>
      <c r="W9" s="6">
        <f t="shared" si="44"/>
        <v>3.1000000000000009E-11</v>
      </c>
      <c r="X9" s="6">
        <v>1950000</v>
      </c>
      <c r="Y9" s="7">
        <v>2085.5</v>
      </c>
      <c r="Z9" s="4">
        <v>0</v>
      </c>
      <c r="AA9" s="8">
        <v>2.7549999999999999</v>
      </c>
      <c r="AB9" s="4">
        <v>-6.3599999999999996E-4</v>
      </c>
      <c r="AC9" s="4">
        <v>1</v>
      </c>
      <c r="AD9" s="4">
        <v>1</v>
      </c>
      <c r="AE9" s="11">
        <f>AC9+AD9</f>
        <v>2</v>
      </c>
      <c r="AF9" s="11">
        <v>1</v>
      </c>
      <c r="AG9" s="11">
        <v>-1</v>
      </c>
      <c r="AH9" s="178">
        <v>47.6</v>
      </c>
      <c r="AI9" s="178">
        <f t="shared" si="0"/>
        <v>104.07833436461614</v>
      </c>
      <c r="AJ9" s="193">
        <f t="shared" si="1"/>
        <v>9.2828580000000015E-3</v>
      </c>
      <c r="AK9" s="193">
        <v>0.84099999999999997</v>
      </c>
      <c r="AL9" s="193">
        <v>-2.6200000000000003E-4</v>
      </c>
      <c r="AM9" s="200">
        <v>1266.1500000000001</v>
      </c>
      <c r="AN9" s="200">
        <f t="shared" si="22"/>
        <v>0.85885529999999999</v>
      </c>
      <c r="AO9" s="200">
        <f t="shared" si="2"/>
        <v>0.84152399999999994</v>
      </c>
      <c r="AP9" s="199">
        <f t="shared" si="3"/>
        <v>0.82789999999999997</v>
      </c>
      <c r="AQ9" s="178" t="s">
        <v>180</v>
      </c>
      <c r="AR9" s="199">
        <v>0.78920410369242799</v>
      </c>
      <c r="AS9" s="199">
        <f t="shared" si="4"/>
        <v>0.49067523585877765</v>
      </c>
      <c r="AT9" s="199">
        <f t="shared" si="5"/>
        <v>0.53093354166666662</v>
      </c>
      <c r="AU9" s="199">
        <f t="shared" si="6"/>
        <v>0.53093354166666662</v>
      </c>
      <c r="AV9" s="199">
        <f>AX9/AZ9*BA9</f>
        <v>0.49067523585877765</v>
      </c>
      <c r="AW9" s="178">
        <v>0.78264084714836502</v>
      </c>
      <c r="AX9" s="178">
        <v>0.59812175800891498</v>
      </c>
      <c r="AY9" s="199" t="e">
        <f>AX9/AZ9*#REF!*10^-10</f>
        <v>#REF!</v>
      </c>
      <c r="AZ9" s="178">
        <v>2.6496648079999998E-10</v>
      </c>
      <c r="BA9" s="178">
        <v>2.1736793340206901E-10</v>
      </c>
      <c r="BB9" s="201">
        <f t="shared" si="24"/>
        <v>3446190.6171793793</v>
      </c>
      <c r="BC9" s="181">
        <v>0.61286742806674199</v>
      </c>
      <c r="BD9" s="181">
        <f t="shared" si="7"/>
        <v>0.79932841253490206</v>
      </c>
      <c r="BE9" s="201">
        <f t="shared" si="25"/>
        <v>0.70609792030082197</v>
      </c>
      <c r="BF9" s="201">
        <f t="shared" si="26"/>
        <v>0.84980152002576392</v>
      </c>
      <c r="BG9" s="201">
        <f t="shared" si="8"/>
        <v>0.73759694933460851</v>
      </c>
      <c r="BH9" s="201">
        <f t="shared" si="27"/>
        <v>0.96200609071691934</v>
      </c>
      <c r="BI9" s="179">
        <v>2260641605.9165201</v>
      </c>
      <c r="BJ9" s="202">
        <f t="shared" si="28"/>
        <v>2948427316.275682</v>
      </c>
      <c r="BK9" s="202">
        <f t="shared" si="29"/>
        <v>2604534461.0961008</v>
      </c>
      <c r="BL9" s="182">
        <v>2.7110331264484899E-10</v>
      </c>
      <c r="BM9" s="182">
        <v>3.2627770249126501E-10</v>
      </c>
      <c r="BN9" s="182">
        <v>5.8750000000000004E-11</v>
      </c>
      <c r="BO9" s="190">
        <f>AP9/BI9</f>
        <v>3.662234640967553E-10</v>
      </c>
      <c r="BP9" s="203">
        <f t="shared" si="30"/>
        <v>2.0777178281396749E-10</v>
      </c>
      <c r="BQ9" s="203">
        <f t="shared" si="30"/>
        <v>2.3520518125231158E-10</v>
      </c>
      <c r="BR9" s="184">
        <v>2.9457755653783602E-4</v>
      </c>
      <c r="BS9" s="204">
        <f t="shared" si="31"/>
        <v>3.5452937632882164E-4</v>
      </c>
      <c r="BT9" s="232">
        <f>Y9+Z9*P9</f>
        <v>2085.5</v>
      </c>
      <c r="BU9" s="205">
        <f t="shared" si="32"/>
        <v>2402.75</v>
      </c>
      <c r="BV9" s="230">
        <v>2720</v>
      </c>
      <c r="BW9" s="183" t="s">
        <v>122</v>
      </c>
      <c r="BX9" s="191">
        <f t="shared" si="9"/>
        <v>2810.4652972558115</v>
      </c>
      <c r="BY9" s="206">
        <f t="shared" si="9"/>
        <v>2335.2084630418126</v>
      </c>
      <c r="BZ9" s="187">
        <v>70.2</v>
      </c>
      <c r="CA9" s="186">
        <f t="shared" si="10"/>
        <v>3250000</v>
      </c>
      <c r="CB9" s="186">
        <v>1.8800978584811899E-7</v>
      </c>
      <c r="CC9" s="186">
        <f t="shared" si="11"/>
        <v>2.458003367979964E-7</v>
      </c>
      <c r="CD9" s="208">
        <f t="shared" si="33"/>
        <v>2.1713116148580361E-7</v>
      </c>
      <c r="CE9" s="208">
        <f t="shared" si="34"/>
        <v>2.6132124988696234E-7</v>
      </c>
      <c r="CF9" s="208">
        <f t="shared" si="35"/>
        <v>2.2681738284851104E-7</v>
      </c>
      <c r="CG9" s="208">
        <f t="shared" si="36"/>
        <v>2.9582511692541361E-7</v>
      </c>
      <c r="CH9" s="210">
        <f t="shared" si="12"/>
        <v>4403494.191886411</v>
      </c>
      <c r="CI9" s="210">
        <f t="shared" si="12"/>
        <v>3368180.9015598893</v>
      </c>
      <c r="CJ9" s="211">
        <f t="shared" si="12"/>
        <v>3812902.737381292</v>
      </c>
      <c r="CK9" s="211">
        <f t="shared" si="12"/>
        <v>3168131.1809051814</v>
      </c>
      <c r="CL9" s="210">
        <f t="shared" si="12"/>
        <v>3650072.9776647924</v>
      </c>
      <c r="CM9" s="210">
        <f t="shared" si="12"/>
        <v>2798612.9393087956</v>
      </c>
      <c r="CN9" s="22">
        <f t="shared" si="37"/>
        <v>2745105769.7939444</v>
      </c>
      <c r="CO9" s="8">
        <f>N9/(X9/1000*(Y9+Z9*P9))</f>
        <v>3.6428468840931505E-10</v>
      </c>
      <c r="CP9" s="11">
        <v>22.99</v>
      </c>
      <c r="CQ9" s="32">
        <v>19</v>
      </c>
      <c r="CR9" s="25">
        <f t="shared" si="13"/>
        <v>41.989999999999995</v>
      </c>
      <c r="CS9"/>
      <c r="CT9" s="11">
        <f t="shared" si="45"/>
        <v>0.54751131221719462</v>
      </c>
      <c r="CU9" s="11">
        <f t="shared" si="14"/>
        <v>2.7880277777777775E+28</v>
      </c>
      <c r="CV9" s="11">
        <f t="shared" si="15"/>
        <v>1.4717782705243564E-11</v>
      </c>
      <c r="CW9" s="227">
        <v>2.1736793340206901E-10</v>
      </c>
      <c r="CX9" s="227">
        <v>3.2627770249126501E-10</v>
      </c>
      <c r="CY9" s="227">
        <v>3.27899528751448E-10</v>
      </c>
      <c r="CZ9" s="22">
        <f t="shared" si="16"/>
        <v>-4.0901757414025308E-25</v>
      </c>
      <c r="DA9" s="22">
        <f t="shared" si="17"/>
        <v>1.6658069690736827E-28</v>
      </c>
      <c r="DB9" s="22">
        <f t="shared" si="18"/>
        <v>1.4846161872545163E-28</v>
      </c>
      <c r="DC9" s="25">
        <f t="shared" si="38"/>
        <v>1.1220455383517274</v>
      </c>
      <c r="DD9" s="22">
        <f t="shared" si="39"/>
        <v>-4.0727026768352833E-4</v>
      </c>
      <c r="DE9" s="22">
        <f t="shared" si="40"/>
        <v>-3.6297124649842992E-4</v>
      </c>
      <c r="DF9" s="172">
        <f t="shared" si="19"/>
        <v>-4.882825704355032E-9</v>
      </c>
      <c r="DG9" s="172">
        <f t="shared" si="20"/>
        <v>2.1671420741743169E-9</v>
      </c>
      <c r="DH9" s="172">
        <f t="shared" si="21"/>
        <v>2.1457572565258799E-9</v>
      </c>
      <c r="DI9" s="25">
        <f t="shared" si="41"/>
        <v>1.0099660935939512</v>
      </c>
      <c r="DJ9" s="25">
        <f t="shared" si="42"/>
        <v>-0.44382949656413606</v>
      </c>
      <c r="DK9" s="25">
        <f t="shared" si="43"/>
        <v>-0.43944989775327464</v>
      </c>
    </row>
    <row r="10" spans="1:115" s="11" customFormat="1" ht="20.25" customHeight="1" x14ac:dyDescent="0.25">
      <c r="A10" s="2" t="s">
        <v>18</v>
      </c>
      <c r="B10" s="30">
        <v>210</v>
      </c>
      <c r="C10" s="173">
        <f>$K$35*P10+$K$37</f>
        <v>2128432.5483899587</v>
      </c>
      <c r="D10" s="173" t="s">
        <v>141</v>
      </c>
      <c r="E10" s="2">
        <v>1</v>
      </c>
      <c r="F10" s="2">
        <v>28</v>
      </c>
      <c r="G10" s="2">
        <v>28</v>
      </c>
      <c r="H10" s="22">
        <v>4.6833413199999998E-26</v>
      </c>
      <c r="I10" s="22">
        <v>2.5506279679999997E-29</v>
      </c>
      <c r="J10" s="24">
        <v>1836.1522647586683</v>
      </c>
      <c r="K10" s="24">
        <v>1</v>
      </c>
      <c r="L10" s="26">
        <v>4.680790692032E-26</v>
      </c>
      <c r="M10" s="3">
        <v>58.097000000000001</v>
      </c>
      <c r="N10" s="11">
        <v>1.3500630387524655E-3</v>
      </c>
      <c r="O10" s="27">
        <v>8.856219279989372E-4</v>
      </c>
      <c r="P10" s="3">
        <v>1129.1500000000001</v>
      </c>
      <c r="Q10" s="5">
        <v>3.04E-5</v>
      </c>
      <c r="R10" s="5">
        <v>3.4099999999999999E-4</v>
      </c>
      <c r="S10" s="32"/>
      <c r="T10" s="6">
        <v>1.3799999999999999E-10</v>
      </c>
      <c r="U10" s="6">
        <v>1.3300000000000001E-10</v>
      </c>
      <c r="V10" s="6">
        <v>2.7099999999999999E-10</v>
      </c>
      <c r="W10" s="6">
        <f t="shared" si="44"/>
        <v>-4.9999999999999827E-12</v>
      </c>
      <c r="X10" s="6">
        <v>1910000</v>
      </c>
      <c r="Y10" s="11">
        <v>1816.4</v>
      </c>
      <c r="Z10" s="11">
        <v>0</v>
      </c>
      <c r="AA10" s="11">
        <v>2.6463999999999999</v>
      </c>
      <c r="AB10" s="11">
        <v>-6.5149999999999995E-4</v>
      </c>
      <c r="AC10" s="11">
        <v>1</v>
      </c>
      <c r="AD10" s="11">
        <v>1</v>
      </c>
      <c r="AE10" s="11">
        <v>2</v>
      </c>
      <c r="AF10" s="11">
        <v>1</v>
      </c>
      <c r="AG10" s="11">
        <v>-1</v>
      </c>
      <c r="AH10" s="178">
        <v>28.7</v>
      </c>
      <c r="AI10" s="178">
        <f t="shared" si="0"/>
        <v>58.640998533154338</v>
      </c>
      <c r="AJ10" s="193">
        <f t="shared" si="1"/>
        <v>5.7857646000000007E-3</v>
      </c>
      <c r="AK10" s="193">
        <v>0.58299999999999996</v>
      </c>
      <c r="AL10" s="193">
        <v>-2.5999999999999998E-4</v>
      </c>
      <c r="AM10" s="200">
        <v>1131.1500000000001</v>
      </c>
      <c r="AN10" s="200">
        <f t="shared" si="22"/>
        <v>0.56457899999999994</v>
      </c>
      <c r="AO10" s="200">
        <f t="shared" si="2"/>
        <v>0.58248</v>
      </c>
      <c r="AP10" s="199">
        <f t="shared" si="3"/>
        <v>0.56999999999999995</v>
      </c>
      <c r="AQ10" s="178" t="s">
        <v>181</v>
      </c>
      <c r="AR10" s="199">
        <v>0.53497140961714396</v>
      </c>
      <c r="AS10" s="199">
        <f t="shared" si="4"/>
        <v>0.33236370799974174</v>
      </c>
      <c r="AT10" s="199">
        <f t="shared" si="5"/>
        <v>0.36108717500000004</v>
      </c>
      <c r="AU10" s="199">
        <f t="shared" si="6"/>
        <v>0.36108717500000004</v>
      </c>
      <c r="AV10" s="199">
        <f t="shared" si="23"/>
        <v>0.33236370799974174</v>
      </c>
      <c r="AW10" s="178">
        <v>0.51980918395456199</v>
      </c>
      <c r="AX10" s="178">
        <v>0.40376310518547798</v>
      </c>
      <c r="AY10" s="199" t="e">
        <f>AX10/AZ10*#REF!*10^-10</f>
        <v>#REF!</v>
      </c>
      <c r="AZ10" s="178">
        <v>3.0052360800000003E-10</v>
      </c>
      <c r="BA10" s="178">
        <v>2.4738055412580903E-10</v>
      </c>
      <c r="BB10" s="201">
        <f t="shared" si="24"/>
        <v>2411046.0938777248</v>
      </c>
      <c r="BC10" s="181">
        <v>0.42353288371673797</v>
      </c>
      <c r="BD10" s="181">
        <f t="shared" si="7"/>
        <v>0.55028496232740676</v>
      </c>
      <c r="BE10" s="201">
        <f t="shared" si="25"/>
        <v>0.48690892302207234</v>
      </c>
      <c r="BF10" s="201">
        <f t="shared" si="26"/>
        <v>0.58299891529503312</v>
      </c>
      <c r="BG10" s="201">
        <f t="shared" si="8"/>
        <v>0.50711580774920906</v>
      </c>
      <c r="BH10" s="201">
        <f t="shared" si="27"/>
        <v>0.65888202284085728</v>
      </c>
      <c r="BI10" s="182">
        <v>1343585957.1456599</v>
      </c>
      <c r="BJ10" s="202">
        <f t="shared" si="28"/>
        <v>1745685344.0121984</v>
      </c>
      <c r="BK10" s="202">
        <f t="shared" si="29"/>
        <v>1544635650.5789289</v>
      </c>
      <c r="BL10" s="182">
        <v>3.1522574455637898E-10</v>
      </c>
      <c r="BM10" s="182">
        <v>3.77434584703857E-10</v>
      </c>
      <c r="BN10" s="182">
        <v>6.7749999999999999E-11</v>
      </c>
      <c r="BO10" s="190">
        <f>AP10/BI10</f>
        <v>4.242378367893328E-10</v>
      </c>
      <c r="BP10" s="203">
        <f t="shared" si="30"/>
        <v>3.5092234812032614E-10</v>
      </c>
      <c r="BQ10" s="203">
        <f t="shared" si="30"/>
        <v>3.9659838213004971E-10</v>
      </c>
      <c r="BR10" s="184">
        <v>2.3103748024325401E-4</v>
      </c>
      <c r="BS10" s="204">
        <f t="shared" si="31"/>
        <v>2.7663202296296558E-4</v>
      </c>
      <c r="BT10" s="232">
        <v>1816.4</v>
      </c>
      <c r="BU10" s="205">
        <f t="shared" si="32"/>
        <v>2088.1999999999998</v>
      </c>
      <c r="BV10" s="230">
        <v>2360</v>
      </c>
      <c r="BW10" s="183" t="s">
        <v>121</v>
      </c>
      <c r="BX10" s="191">
        <f t="shared" si="9"/>
        <v>2467.1321700698095</v>
      </c>
      <c r="BY10" s="206">
        <f t="shared" si="9"/>
        <v>2060.498975840947</v>
      </c>
      <c r="BZ10" s="185">
        <v>66.900000000000006</v>
      </c>
      <c r="CA10" s="186">
        <f t="shared" si="10"/>
        <v>2200657.8947368423</v>
      </c>
      <c r="CB10" s="186">
        <v>1.9262165958693599E-7</v>
      </c>
      <c r="CC10" s="186">
        <f t="shared" si="11"/>
        <v>2.4797758571768477E-7</v>
      </c>
      <c r="CD10" s="208">
        <f t="shared" si="33"/>
        <v>2.1941813326087685E-7</v>
      </c>
      <c r="CE10" s="208">
        <f t="shared" si="34"/>
        <v>2.6271963325953138E-7</v>
      </c>
      <c r="CF10" s="208">
        <f t="shared" si="35"/>
        <v>2.2852405988536197E-7</v>
      </c>
      <c r="CG10" s="208">
        <f t="shared" si="36"/>
        <v>2.9691520663370083E-7</v>
      </c>
      <c r="CH10" s="210">
        <f t="shared" si="12"/>
        <v>2959168.7727243449</v>
      </c>
      <c r="CI10" s="211">
        <f t="shared" si="12"/>
        <v>2298594.8441684092</v>
      </c>
      <c r="CJ10" s="211">
        <f t="shared" si="12"/>
        <v>2597779.8258009027</v>
      </c>
      <c r="CK10" s="211">
        <f t="shared" si="12"/>
        <v>2169613.2600676906</v>
      </c>
      <c r="CL10" s="210">
        <f t="shared" si="12"/>
        <v>2494266.906889094</v>
      </c>
      <c r="CM10" s="210">
        <f t="shared" si="12"/>
        <v>1919740.0040988778</v>
      </c>
      <c r="CN10" s="22">
        <f t="shared" si="37"/>
        <v>2569749634.2140079</v>
      </c>
      <c r="CO10" s="22">
        <v>3.8914296812648964E-10</v>
      </c>
      <c r="CP10" s="4">
        <v>39.1</v>
      </c>
      <c r="CQ10" s="32">
        <v>19</v>
      </c>
      <c r="CR10" s="25">
        <f t="shared" si="13"/>
        <v>58.1</v>
      </c>
      <c r="CT10" s="11">
        <f t="shared" si="45"/>
        <v>0.67297762478485368</v>
      </c>
      <c r="CU10" s="11">
        <f t="shared" si="14"/>
        <v>1.980967105263158E+28</v>
      </c>
      <c r="CV10" s="11">
        <f t="shared" si="15"/>
        <v>1.647565955450779E-11</v>
      </c>
      <c r="CW10" s="172">
        <v>2.4699999999999997E-10</v>
      </c>
      <c r="CX10" s="172">
        <v>3.7699999999999999E-10</v>
      </c>
      <c r="CY10" s="172">
        <v>3.8600000000000001E-10</v>
      </c>
      <c r="CZ10" s="22">
        <f t="shared" si="16"/>
        <v>-2.8807379173544848E-25</v>
      </c>
      <c r="DA10" s="22">
        <f t="shared" si="17"/>
        <v>7.0646419513159272E-29</v>
      </c>
      <c r="DB10" s="22">
        <f t="shared" si="18"/>
        <v>3.99582384343453E-29</v>
      </c>
      <c r="DC10" s="25">
        <f t="shared" si="38"/>
        <v>1.768006355666484</v>
      </c>
      <c r="DD10" s="22">
        <f t="shared" si="39"/>
        <v>-2.4523723275054869E-4</v>
      </c>
      <c r="DE10" s="22">
        <f t="shared" si="40"/>
        <v>-1.3870834342001094E-4</v>
      </c>
      <c r="DF10" s="172">
        <f t="shared" si="19"/>
        <v>-3.781536254208038E-9</v>
      </c>
      <c r="DG10" s="172">
        <f t="shared" si="20"/>
        <v>1.6232278094757451E-9</v>
      </c>
      <c r="DH10" s="172">
        <f t="shared" si="21"/>
        <v>1.5484156979581878E-9</v>
      </c>
      <c r="DI10" s="25">
        <f t="shared" si="41"/>
        <v>1.0483152628949759</v>
      </c>
      <c r="DJ10" s="25">
        <f t="shared" si="42"/>
        <v>-0.42925089179548154</v>
      </c>
      <c r="DK10" s="25">
        <f t="shared" si="43"/>
        <v>-0.4094673682514966</v>
      </c>
    </row>
    <row r="11" spans="1:115" s="11" customFormat="1" ht="20.25" customHeight="1" x14ac:dyDescent="0.25">
      <c r="A11" s="2" t="s">
        <v>19</v>
      </c>
      <c r="B11" s="30"/>
      <c r="C11" s="173">
        <f>$O$35*P11+$O$37</f>
        <v>1508484.6673803362</v>
      </c>
      <c r="D11" s="173" t="s">
        <v>142</v>
      </c>
      <c r="E11" s="2">
        <v>1</v>
      </c>
      <c r="F11" s="2">
        <v>46</v>
      </c>
      <c r="G11" s="2">
        <v>46</v>
      </c>
      <c r="H11" s="22">
        <v>7.6940607399999996E-26</v>
      </c>
      <c r="I11" s="22">
        <v>4.1903173759999999E-29</v>
      </c>
      <c r="J11" s="24">
        <v>1836.1522647586683</v>
      </c>
      <c r="K11" s="24">
        <v>1</v>
      </c>
      <c r="L11" s="26">
        <v>7.689870422624E-26</v>
      </c>
      <c r="M11" s="3">
        <v>104.4662</v>
      </c>
      <c r="N11" s="11">
        <v>2.5481160758264749E-3</v>
      </c>
      <c r="O11" s="27">
        <v>9.5406191861851825E-4</v>
      </c>
      <c r="P11" s="3">
        <v>1048.1500000000001</v>
      </c>
      <c r="Q11" s="5">
        <v>3.57E-5</v>
      </c>
      <c r="R11" s="5">
        <v>3.4900000000000003E-4</v>
      </c>
      <c r="S11" s="32"/>
      <c r="T11" s="6">
        <v>1.5199999999999999E-10</v>
      </c>
      <c r="U11" s="6">
        <v>1.3300000000000001E-10</v>
      </c>
      <c r="V11" s="6">
        <v>2.85E-10</v>
      </c>
      <c r="W11" s="6">
        <f t="shared" si="44"/>
        <v>-1.8999999999999986E-11</v>
      </c>
      <c r="X11" s="6">
        <v>2926224.0896358541</v>
      </c>
      <c r="Y11" s="11">
        <v>1760.4</v>
      </c>
      <c r="Z11" s="11">
        <v>0</v>
      </c>
      <c r="AA11" s="11">
        <v>2926224089.6358538</v>
      </c>
      <c r="AB11" s="11">
        <v>0</v>
      </c>
      <c r="AF11" s="11">
        <v>1</v>
      </c>
      <c r="AG11" s="11">
        <v>-1</v>
      </c>
      <c r="AH11" s="178">
        <f>0.0000000244*O11*B11</f>
        <v>0</v>
      </c>
      <c r="AI11" s="178">
        <f t="shared" si="0"/>
        <v>38.579284180398666</v>
      </c>
      <c r="AJ11" s="193"/>
      <c r="AK11" s="193">
        <v>0.50700000000000001</v>
      </c>
      <c r="AL11" s="193">
        <v>-3.4699999999999998E-4</v>
      </c>
      <c r="AM11" s="200">
        <v>1068.1500000000001</v>
      </c>
      <c r="AN11" s="200">
        <f t="shared" si="22"/>
        <v>0.45430805000000002</v>
      </c>
      <c r="AO11" s="200">
        <f t="shared" si="2"/>
        <v>0.50006000000000006</v>
      </c>
      <c r="AP11" s="199">
        <f t="shared" si="3"/>
        <v>0.48965000000000003</v>
      </c>
      <c r="AQ11" s="178" t="s">
        <v>181</v>
      </c>
      <c r="AR11" s="199"/>
      <c r="AS11" s="199">
        <f t="shared" si="4"/>
        <v>0</v>
      </c>
      <c r="AT11" s="199">
        <f t="shared" si="5"/>
        <v>0</v>
      </c>
      <c r="AU11" s="199">
        <f t="shared" si="6"/>
        <v>0</v>
      </c>
      <c r="AV11" s="199"/>
      <c r="AW11" s="178"/>
      <c r="AX11" s="178"/>
      <c r="AY11" s="178"/>
      <c r="AZ11" s="178">
        <v>3.1433567870000001E-10</v>
      </c>
      <c r="BA11" s="178">
        <v>2.5893228302185304E-10</v>
      </c>
      <c r="BB11" s="201"/>
      <c r="BC11" s="181"/>
      <c r="BD11" s="181"/>
      <c r="BE11" s="201"/>
      <c r="BF11" s="201"/>
      <c r="BG11" s="201"/>
      <c r="BH11" s="201"/>
      <c r="BI11" s="182"/>
      <c r="BJ11" s="202"/>
      <c r="BK11" s="202"/>
      <c r="BL11" s="182"/>
      <c r="BM11" s="182">
        <v>3.9622631368514602E-10</v>
      </c>
      <c r="BN11" s="182"/>
      <c r="BO11" s="190"/>
      <c r="BP11" s="203"/>
      <c r="BQ11" s="203"/>
      <c r="BR11" s="184"/>
      <c r="BS11" s="204"/>
      <c r="BT11" s="232">
        <v>1760.4</v>
      </c>
      <c r="BU11" s="205">
        <f t="shared" si="32"/>
        <v>1760.4</v>
      </c>
      <c r="BV11" s="230"/>
      <c r="BW11" s="183"/>
      <c r="BX11" s="191"/>
      <c r="BY11" s="206"/>
      <c r="BZ11" s="185">
        <v>69.5</v>
      </c>
      <c r="CA11" s="186"/>
      <c r="CB11" s="180"/>
      <c r="CC11" s="186"/>
      <c r="CD11" s="208"/>
      <c r="CE11" s="208">
        <f>1/3*BU11*BM11</f>
        <v>2.3250560087044368E-7</v>
      </c>
      <c r="CF11" s="208">
        <f>1/3*BT11*BM11</f>
        <v>2.3250560087044368E-7</v>
      </c>
      <c r="CG11" s="208"/>
      <c r="CH11" s="210"/>
      <c r="CI11" s="211"/>
      <c r="CJ11" s="211"/>
      <c r="CK11" s="211"/>
      <c r="CL11" s="210"/>
      <c r="CM11" s="210"/>
      <c r="CN11" s="22">
        <f t="shared" si="37"/>
        <v>2021620967.845485</v>
      </c>
      <c r="CO11" s="22">
        <v>4.94652566383765E-10</v>
      </c>
      <c r="CP11" s="32"/>
      <c r="CQ11" s="32"/>
      <c r="CR11" s="25"/>
      <c r="CU11" s="11">
        <f t="shared" si="14"/>
        <v>1.6868739495798319E+28</v>
      </c>
      <c r="CV11" s="11">
        <f t="shared" si="15"/>
        <v>1.7201884426609329E-11</v>
      </c>
      <c r="CW11" s="172">
        <v>2.5899999999999998E-10</v>
      </c>
      <c r="CX11" s="172">
        <v>3.9599999999999998E-10</v>
      </c>
      <c r="CY11" s="172">
        <v>4.03E-10</v>
      </c>
      <c r="CZ11" s="22">
        <f t="shared" si="16"/>
        <v>-2.5752056023289238E-25</v>
      </c>
      <c r="DA11" s="22">
        <f t="shared" si="17"/>
        <v>5.8558424946394074E-29</v>
      </c>
      <c r="DB11" s="22">
        <f t="shared" si="18"/>
        <v>3.8304617924741604E-29</v>
      </c>
      <c r="DC11" s="25">
        <f t="shared" si="38"/>
        <v>1.5287562732369715</v>
      </c>
      <c r="DD11" s="22">
        <f t="shared" si="39"/>
        <v>-2.2739320267646176E-4</v>
      </c>
      <c r="DE11" s="22">
        <f t="shared" si="40"/>
        <v>-1.4874392122361135E-4</v>
      </c>
      <c r="DF11" s="172">
        <f t="shared" si="19"/>
        <v>-3.4392412953441095E-9</v>
      </c>
      <c r="DG11" s="172">
        <f t="shared" si="20"/>
        <v>1.4712002941854035E-9</v>
      </c>
      <c r="DH11" s="172">
        <f t="shared" si="21"/>
        <v>1.4205354711437061E-9</v>
      </c>
      <c r="DI11" s="25">
        <f t="shared" si="41"/>
        <v>1.0356660034690341</v>
      </c>
      <c r="DJ11" s="25">
        <f t="shared" si="42"/>
        <v>-0.42776885011733501</v>
      </c>
      <c r="DK11" s="25">
        <f t="shared" si="43"/>
        <v>-0.41303745482085341</v>
      </c>
    </row>
    <row r="12" spans="1:115" s="11" customFormat="1" ht="20.25" customHeight="1" x14ac:dyDescent="0.25">
      <c r="A12" s="2" t="s">
        <v>20</v>
      </c>
      <c r="B12" s="30"/>
      <c r="C12" s="30"/>
      <c r="D12" s="30"/>
      <c r="E12" s="2">
        <v>1</v>
      </c>
      <c r="F12" s="2">
        <v>64</v>
      </c>
      <c r="G12" s="2">
        <v>64</v>
      </c>
      <c r="H12" s="22">
        <v>1.070478016E-25</v>
      </c>
      <c r="I12" s="22">
        <v>5.8300067839999996E-29</v>
      </c>
      <c r="J12" s="24">
        <v>1836.1522647586685</v>
      </c>
      <c r="K12" s="24">
        <v>1</v>
      </c>
      <c r="L12" s="26">
        <v>1.0698950153215999E-25</v>
      </c>
      <c r="M12" s="3">
        <v>58.44</v>
      </c>
      <c r="N12" s="11">
        <v>3.4453112314492135E-3</v>
      </c>
      <c r="O12" s="27">
        <v>1.0469559755012302E-3</v>
      </c>
      <c r="P12" s="3">
        <v>955.15</v>
      </c>
      <c r="Q12" s="5">
        <v>4.57E-5</v>
      </c>
      <c r="R12" s="5">
        <v>3.8499999999999998E-4</v>
      </c>
      <c r="S12" s="32"/>
      <c r="T12" s="6">
        <v>1.6699999999999999E-10</v>
      </c>
      <c r="U12" s="6">
        <v>1.3300000000000001E-10</v>
      </c>
      <c r="V12" s="6">
        <v>3E-10</v>
      </c>
      <c r="W12" s="6">
        <f t="shared" si="44"/>
        <v>-3.3999999999999986E-11</v>
      </c>
      <c r="X12" s="6">
        <v>2196977.25</v>
      </c>
      <c r="Y12" s="11">
        <v>2732.9322499999998</v>
      </c>
      <c r="Z12" s="11">
        <v>-0.91500000000000004</v>
      </c>
      <c r="AA12" s="11">
        <v>4.8985000000000003</v>
      </c>
      <c r="AB12" s="11">
        <v>-5.4299999999999997E-4</v>
      </c>
      <c r="AF12" s="11">
        <v>1</v>
      </c>
      <c r="AG12" s="11">
        <v>-1</v>
      </c>
      <c r="AH12" s="178"/>
      <c r="AI12" s="178"/>
      <c r="AJ12" s="193"/>
      <c r="AK12" s="193">
        <v>0.38200000000000001</v>
      </c>
      <c r="AL12" s="193">
        <v>-2.9700000000000001E-4</v>
      </c>
      <c r="AM12" s="200">
        <v>955.15</v>
      </c>
      <c r="AN12" s="200">
        <f t="shared" si="22"/>
        <v>0.30927955000000001</v>
      </c>
      <c r="AO12" s="200">
        <f t="shared" si="2"/>
        <v>0.38200000000000001</v>
      </c>
      <c r="AP12" s="199">
        <f t="shared" si="3"/>
        <v>0.36715000000000003</v>
      </c>
      <c r="AQ12" s="178" t="s">
        <v>181</v>
      </c>
      <c r="AR12" s="199"/>
      <c r="AS12" s="199">
        <f t="shared" si="4"/>
        <v>0</v>
      </c>
      <c r="AT12" s="199">
        <f t="shared" si="5"/>
        <v>0</v>
      </c>
      <c r="AU12" s="199">
        <f t="shared" si="6"/>
        <v>0</v>
      </c>
      <c r="AV12" s="199"/>
      <c r="AW12" s="178"/>
      <c r="AX12" s="178"/>
      <c r="AY12" s="178"/>
      <c r="AZ12" s="178">
        <v>3.3920043010000001E-10</v>
      </c>
      <c r="BA12" s="178">
        <v>2.7962928465917803E-10</v>
      </c>
      <c r="BB12" s="201"/>
      <c r="BC12" s="181"/>
      <c r="BD12" s="181"/>
      <c r="BE12" s="201"/>
      <c r="BF12" s="201"/>
      <c r="BG12" s="201"/>
      <c r="BH12" s="201"/>
      <c r="BI12" s="182"/>
      <c r="BJ12" s="202"/>
      <c r="BK12" s="202"/>
      <c r="BL12" s="182"/>
      <c r="BM12" s="182">
        <v>4.3148798302744901E-10</v>
      </c>
      <c r="BN12" s="182"/>
      <c r="BO12" s="190"/>
      <c r="BP12" s="203"/>
      <c r="BQ12" s="203"/>
      <c r="BR12" s="184"/>
      <c r="BS12" s="204"/>
      <c r="BT12" s="232">
        <v>1858.9699999999998</v>
      </c>
      <c r="BU12" s="205">
        <f t="shared" si="32"/>
        <v>1858.9699999999998</v>
      </c>
      <c r="BV12" s="230"/>
      <c r="BW12" s="183"/>
      <c r="BX12" s="191"/>
      <c r="BY12" s="206"/>
      <c r="BZ12" s="185">
        <v>74.099999999999994</v>
      </c>
      <c r="CA12" s="186"/>
      <c r="CB12" s="180"/>
      <c r="CC12" s="186"/>
      <c r="CD12" s="208"/>
      <c r="CE12" s="208">
        <f t="shared" si="34"/>
        <v>2.6737440526951226E-7</v>
      </c>
      <c r="CF12" s="208">
        <f t="shared" si="35"/>
        <v>2.6737440526951226E-7</v>
      </c>
      <c r="CG12" s="208"/>
      <c r="CH12" s="210"/>
      <c r="CI12" s="211"/>
      <c r="CJ12" s="211"/>
      <c r="CK12" s="211"/>
      <c r="CL12" s="210"/>
      <c r="CM12" s="210"/>
      <c r="CN12" s="22">
        <f t="shared" si="37"/>
        <v>1185412441.4515038</v>
      </c>
      <c r="CO12" s="22">
        <v>8.4358824408450485E-10</v>
      </c>
      <c r="CP12" s="32"/>
      <c r="CQ12" s="32"/>
      <c r="CR12" s="25"/>
      <c r="CU12" s="11">
        <f t="shared" si="14"/>
        <v>1.3177549234135668E+28</v>
      </c>
      <c r="CV12" s="11">
        <f t="shared" si="15"/>
        <v>1.8579075009852375E-11</v>
      </c>
      <c r="CW12" s="172">
        <v>2.8000000000000002E-10</v>
      </c>
      <c r="CX12" s="172">
        <v>4.3100000000000001E-10</v>
      </c>
      <c r="CY12" s="172">
        <v>4.2E-10</v>
      </c>
      <c r="CZ12" s="22">
        <f t="shared" si="16"/>
        <v>-2.3484130330974972E-25</v>
      </c>
      <c r="DA12" s="22">
        <f t="shared" si="17"/>
        <v>4.5056797322619321E-29</v>
      </c>
      <c r="DB12" s="22">
        <f t="shared" si="18"/>
        <v>8.3583084117439271E-29</v>
      </c>
      <c r="DC12" s="25">
        <f t="shared" si="38"/>
        <v>0.53906598205100698</v>
      </c>
      <c r="DD12" s="22">
        <f t="shared" si="39"/>
        <v>-1.918606168830129E-4</v>
      </c>
      <c r="DE12" s="22">
        <f t="shared" si="40"/>
        <v>-3.559130482562316E-4</v>
      </c>
      <c r="DF12" s="172">
        <f t="shared" si="19"/>
        <v>-2.942700833328803E-9</v>
      </c>
      <c r="DG12" s="172">
        <f t="shared" si="20"/>
        <v>1.2419600741435402E-9</v>
      </c>
      <c r="DH12" s="172">
        <f t="shared" si="21"/>
        <v>1.3078670370350236E-9</v>
      </c>
      <c r="DI12" s="25">
        <f t="shared" si="41"/>
        <v>0.94960729108908759</v>
      </c>
      <c r="DJ12" s="25">
        <f t="shared" si="42"/>
        <v>-0.42204768492848344</v>
      </c>
      <c r="DK12" s="25">
        <f t="shared" si="43"/>
        <v>-0.44444444444444448</v>
      </c>
    </row>
    <row r="13" spans="1:115" s="11" customFormat="1" ht="20.25" customHeight="1" x14ac:dyDescent="0.25">
      <c r="A13" s="2" t="s">
        <v>28</v>
      </c>
      <c r="B13" s="30">
        <v>0.8</v>
      </c>
      <c r="C13" s="30"/>
      <c r="D13" s="30"/>
      <c r="E13" s="2">
        <v>1</v>
      </c>
      <c r="F13" s="2">
        <v>29</v>
      </c>
      <c r="G13" s="2">
        <v>28</v>
      </c>
      <c r="H13" s="22">
        <v>4.8506035099999997E-26</v>
      </c>
      <c r="I13" s="22">
        <v>2.5506279679999997E-29</v>
      </c>
      <c r="J13" s="24">
        <v>1969.6480289056633</v>
      </c>
      <c r="K13" s="24">
        <v>1.0357142857142858</v>
      </c>
      <c r="L13" s="26">
        <v>4.8480528820319999E-26</v>
      </c>
      <c r="M13" s="3">
        <v>95.210999999999999</v>
      </c>
      <c r="N13" s="11">
        <v>2.1885964575678765E-3</v>
      </c>
      <c r="O13" s="27">
        <v>1.0131712259371835E-3</v>
      </c>
      <c r="P13" s="3">
        <v>987</v>
      </c>
      <c r="Q13" s="5">
        <v>5.651027632231827E-5</v>
      </c>
      <c r="R13" s="5">
        <v>1.8000000000000001E-4</v>
      </c>
      <c r="S13" s="32"/>
      <c r="T13" s="6">
        <v>7.1999999999999997E-11</v>
      </c>
      <c r="U13" s="6">
        <v>1.81E-10</v>
      </c>
      <c r="V13" s="6">
        <v>2.5300000000000001E-10</v>
      </c>
      <c r="W13" s="6">
        <f t="shared" si="44"/>
        <v>1.09E-10</v>
      </c>
      <c r="X13" s="6">
        <v>1684844</v>
      </c>
      <c r="Y13" s="11">
        <v>2101</v>
      </c>
      <c r="Z13" s="11">
        <v>0</v>
      </c>
      <c r="AA13" s="11">
        <v>1.9691000000000001</v>
      </c>
      <c r="AB13" s="11">
        <v>-2.8800000000000001E-4</v>
      </c>
      <c r="AC13" s="11">
        <v>1</v>
      </c>
      <c r="AD13" s="11">
        <v>2</v>
      </c>
      <c r="AE13" s="11">
        <v>3</v>
      </c>
      <c r="AF13" s="11">
        <v>2</v>
      </c>
      <c r="AG13" s="11">
        <v>-2</v>
      </c>
      <c r="AH13" s="178"/>
      <c r="AI13" s="178"/>
      <c r="AJ13" s="193"/>
      <c r="AK13" s="193">
        <v>0.46200000000000002</v>
      </c>
      <c r="AL13" s="193">
        <v>-1.0399999999999999E-4</v>
      </c>
      <c r="AM13" s="200">
        <v>998</v>
      </c>
      <c r="AN13" s="200">
        <f t="shared" si="22"/>
        <v>0.43984800000000002</v>
      </c>
      <c r="AO13" s="200">
        <f t="shared" si="2"/>
        <v>0.46085600000000004</v>
      </c>
      <c r="AP13" s="199">
        <f t="shared" si="3"/>
        <v>0.45680000000000004</v>
      </c>
      <c r="AQ13" s="178" t="s">
        <v>181</v>
      </c>
      <c r="AR13" s="199">
        <v>0.56648340243984496</v>
      </c>
      <c r="AS13" s="199">
        <f t="shared" si="4"/>
        <v>0.269940662012365</v>
      </c>
      <c r="AT13" s="199">
        <f t="shared" si="5"/>
        <v>0.28861057804145579</v>
      </c>
      <c r="AU13" s="199">
        <f t="shared" si="6"/>
        <v>0.28861057804145579</v>
      </c>
      <c r="AV13" s="199">
        <f t="shared" si="23"/>
        <v>0.269940662012365</v>
      </c>
      <c r="AW13" s="178">
        <v>0.54002025954196298</v>
      </c>
      <c r="AX13" s="178">
        <v>0.33370075449931302</v>
      </c>
      <c r="AY13" s="199" t="e">
        <f>AX13/AZ13*#REF!*10^-10</f>
        <v>#REF!</v>
      </c>
      <c r="AZ13" s="178">
        <v>2.9252666850000001E-10</v>
      </c>
      <c r="BA13" s="178">
        <v>2.36633694969138E-10</v>
      </c>
      <c r="BB13" s="201">
        <f t="shared" si="24"/>
        <v>1377853.2589735894</v>
      </c>
      <c r="BC13" s="181">
        <v>0.35221854185797102</v>
      </c>
      <c r="BD13" s="181">
        <f>BC13/BT13*BV13</f>
        <v>0.56998716911808733</v>
      </c>
      <c r="BE13" s="201">
        <f>BC13/BT13*BU13</f>
        <v>0.46110285548802915</v>
      </c>
      <c r="BF13" s="201">
        <f t="shared" si="26"/>
        <v>0.53865932656527438</v>
      </c>
      <c r="BG13" s="201">
        <f>BC13/BL13*BM13</f>
        <v>0.41146091442052046</v>
      </c>
      <c r="BH13" s="201">
        <f t="shared" si="27"/>
        <v>0.66585773871002829</v>
      </c>
      <c r="BI13" s="182">
        <v>1140753272.89112</v>
      </c>
      <c r="BJ13" s="202">
        <f t="shared" si="28"/>
        <v>1846054796.6824405</v>
      </c>
      <c r="BK13" s="202">
        <f t="shared" si="29"/>
        <v>1493404034.7867801</v>
      </c>
      <c r="BL13" s="182">
        <v>3.08759615447175E-10</v>
      </c>
      <c r="BM13" s="182">
        <v>3.60692293590982E-10</v>
      </c>
      <c r="BN13" s="182">
        <v>6.3250000000000001E-11</v>
      </c>
      <c r="BO13" s="190">
        <f>AP13/BI13</f>
        <v>4.0043715924854475E-10</v>
      </c>
      <c r="BP13" s="203">
        <f>$AP$5/BJ13</f>
        <v>3.318428039627579E-10</v>
      </c>
      <c r="BQ13" s="203">
        <f>$AP$5/BK13</f>
        <v>4.1020379330062789E-10</v>
      </c>
      <c r="BR13" s="184">
        <v>1.6764328503473099E-4</v>
      </c>
      <c r="BS13" s="204">
        <f t="shared" si="31"/>
        <v>1.9584051138530178E-4</v>
      </c>
      <c r="BT13" s="232">
        <v>2101</v>
      </c>
      <c r="BU13" s="205">
        <f>AVERAGE(BT13,BV13)</f>
        <v>2750.5</v>
      </c>
      <c r="BV13" s="230">
        <v>3400</v>
      </c>
      <c r="BW13" s="183"/>
      <c r="BX13" s="191">
        <f t="shared" ref="BX13:BY15" si="46">$AP13/BR13</f>
        <v>2724.8332666910214</v>
      </c>
      <c r="BY13" s="206">
        <f t="shared" si="46"/>
        <v>2332.5102491245016</v>
      </c>
      <c r="BZ13" s="185">
        <v>92.048000000000002</v>
      </c>
      <c r="CA13" s="186">
        <f>BZ13/Q13</f>
        <v>1628871.8794256966</v>
      </c>
      <c r="CB13" s="186">
        <v>2.16234650684838E-7</v>
      </c>
      <c r="CC13" s="186">
        <f>1/3*BV13*BL13</f>
        <v>3.4992756417346495E-7</v>
      </c>
      <c r="CD13" s="208">
        <f t="shared" si="33"/>
        <v>2.8308110742915158E-7</v>
      </c>
      <c r="CE13" s="208">
        <f t="shared" si="34"/>
        <v>3.3069471784066529E-7</v>
      </c>
      <c r="CF13" s="208">
        <f t="shared" si="35"/>
        <v>2.526048362782177E-7</v>
      </c>
      <c r="CG13" s="208">
        <f t="shared" si="36"/>
        <v>4.0878459940311292E-7</v>
      </c>
      <c r="CH13" s="210">
        <f t="shared" ref="CH13:CM14" si="47">$AP13/(CB13)</f>
        <v>2112519.887785173</v>
      </c>
      <c r="CI13" s="211">
        <f t="shared" si="47"/>
        <v>1305413.0247754836</v>
      </c>
      <c r="CJ13" s="211">
        <f t="shared" si="47"/>
        <v>1613671.7993952532</v>
      </c>
      <c r="CK13" s="211">
        <f t="shared" si="47"/>
        <v>1381334.4312928959</v>
      </c>
      <c r="CL13" s="211">
        <f t="shared" si="47"/>
        <v>1808358.0929419848</v>
      </c>
      <c r="CM13" s="210">
        <f t="shared" si="47"/>
        <v>1117458.9274326793</v>
      </c>
      <c r="CN13" s="22">
        <f t="shared" si="37"/>
        <v>1617409747.5848701</v>
      </c>
      <c r="CO13" s="22">
        <v>6.1827251968353004E-10</v>
      </c>
      <c r="CP13" s="11">
        <v>24.31</v>
      </c>
      <c r="CQ13" s="32">
        <v>70.900000000000006</v>
      </c>
      <c r="CR13" s="25">
        <f>SUM(CP13:CQ13)</f>
        <v>95.210000000000008</v>
      </c>
      <c r="CT13" s="11">
        <f t="shared" si="45"/>
        <v>0.25533032244512127</v>
      </c>
      <c r="CU13" s="11">
        <f t="shared" si="14"/>
        <v>1.0656716604341934E+28</v>
      </c>
      <c r="CV13" s="11">
        <f t="shared" si="15"/>
        <v>2.1001605188213379E-11</v>
      </c>
      <c r="CW13" s="172">
        <v>2.36633694969138E-10</v>
      </c>
      <c r="CX13" s="172">
        <v>3.60692293590982E-10</v>
      </c>
      <c r="CY13" s="172">
        <v>3.5942460919017999E-10</v>
      </c>
      <c r="CZ13" s="22">
        <f t="shared" si="16"/>
        <v>-4.9850741268392759E-23</v>
      </c>
      <c r="DA13" s="22">
        <f t="shared" si="17"/>
        <v>8.8959035300169526E-26</v>
      </c>
      <c r="DB13" s="22">
        <f t="shared" si="18"/>
        <v>9.4827369345365731E-26</v>
      </c>
      <c r="DC13" s="25">
        <f t="shared" si="38"/>
        <v>0.93811560854521381</v>
      </c>
      <c r="DD13" s="22">
        <f t="shared" si="39"/>
        <v>-1.784507773339228E-3</v>
      </c>
      <c r="DE13" s="22">
        <f t="shared" si="40"/>
        <v>-1.9022258632990447E-3</v>
      </c>
      <c r="DF13" s="172">
        <f t="shared" si="19"/>
        <v>-1.648044734180387E-8</v>
      </c>
      <c r="DG13" s="172">
        <f t="shared" si="20"/>
        <v>7.093301817926188E-9</v>
      </c>
      <c r="DH13" s="172">
        <f t="shared" si="21"/>
        <v>7.1434259622889806E-9</v>
      </c>
      <c r="DI13" s="25">
        <f t="shared" si="41"/>
        <v>0.99298317857182195</v>
      </c>
      <c r="DJ13" s="25">
        <f t="shared" si="42"/>
        <v>-0.43040711643387891</v>
      </c>
      <c r="DK13" s="25">
        <f t="shared" si="43"/>
        <v>-0.43344854748991879</v>
      </c>
    </row>
    <row r="14" spans="1:115" s="11" customFormat="1" ht="20.25" customHeight="1" x14ac:dyDescent="0.25">
      <c r="A14" s="2" t="s">
        <v>29</v>
      </c>
      <c r="B14" s="30">
        <v>2.5</v>
      </c>
      <c r="C14" s="30"/>
      <c r="D14" s="30"/>
      <c r="E14" s="2">
        <v>1</v>
      </c>
      <c r="F14" s="2">
        <v>37</v>
      </c>
      <c r="G14" s="2">
        <v>36</v>
      </c>
      <c r="H14" s="22">
        <v>6.1887010299999994E-26</v>
      </c>
      <c r="I14" s="22">
        <v>3.2793788159999999E-29</v>
      </c>
      <c r="J14" s="24">
        <v>1939.5775080668341</v>
      </c>
      <c r="K14" s="24">
        <v>1.0277777777777777</v>
      </c>
      <c r="L14" s="26">
        <v>6.185421651184E-26</v>
      </c>
      <c r="M14" s="3">
        <v>110.98399999999999</v>
      </c>
      <c r="N14" s="11">
        <v>3.3595446651079881E-3</v>
      </c>
      <c r="O14" s="27">
        <v>9.5693779904306223E-4</v>
      </c>
      <c r="P14" s="3">
        <v>1045</v>
      </c>
      <c r="Q14" s="5">
        <v>5.3154147698835956E-5</v>
      </c>
      <c r="R14" s="5">
        <v>2.03E-4</v>
      </c>
      <c r="S14" s="32"/>
      <c r="T14" s="6">
        <v>1E-10</v>
      </c>
      <c r="U14" s="6">
        <v>1.81E-10</v>
      </c>
      <c r="V14" s="6">
        <v>2.8100000000000001E-10</v>
      </c>
      <c r="W14" s="6">
        <f t="shared" si="44"/>
        <v>8.0999999999999992E-11</v>
      </c>
      <c r="X14" s="6">
        <v>2087964.9999999995</v>
      </c>
      <c r="Y14" s="11">
        <v>2065.0300000000002</v>
      </c>
      <c r="Z14" s="11">
        <v>0</v>
      </c>
      <c r="AA14" s="11">
        <v>2.5299999999999998</v>
      </c>
      <c r="AB14" s="11">
        <v>-4.2299999999999998E-4</v>
      </c>
      <c r="AF14" s="11">
        <v>2</v>
      </c>
      <c r="AG14" s="11">
        <v>-2</v>
      </c>
      <c r="AH14" s="178"/>
      <c r="AI14" s="178"/>
      <c r="AJ14" s="193"/>
      <c r="AK14" s="193">
        <v>0.44700000000000001</v>
      </c>
      <c r="AL14" s="193">
        <v>-1.15E-4</v>
      </c>
      <c r="AM14" s="200">
        <v>1093</v>
      </c>
      <c r="AN14" s="200">
        <f t="shared" si="22"/>
        <v>0.42917500000000003</v>
      </c>
      <c r="AO14" s="200">
        <f t="shared" si="2"/>
        <v>0.44147999999999998</v>
      </c>
      <c r="AP14" s="199">
        <f t="shared" si="3"/>
        <v>0.44125000000000003</v>
      </c>
      <c r="AQ14" s="178" t="s">
        <v>181</v>
      </c>
      <c r="AR14" s="199"/>
      <c r="AS14" s="199">
        <f t="shared" si="4"/>
        <v>0.37024310108699071</v>
      </c>
      <c r="AT14" s="199">
        <f t="shared" si="5"/>
        <v>0.37311089961278132</v>
      </c>
      <c r="AU14" s="199">
        <f t="shared" si="6"/>
        <v>0.37311089961278132</v>
      </c>
      <c r="AV14" s="199">
        <f t="shared" si="23"/>
        <v>0.37024310108699071</v>
      </c>
      <c r="AW14" s="178">
        <v>0.42656474196147098</v>
      </c>
      <c r="AX14" s="178">
        <v>0.40039499504213499</v>
      </c>
      <c r="AY14" s="199" t="e">
        <f>AX14/AZ14*#REF!*10^-10</f>
        <v>#REF!</v>
      </c>
      <c r="AZ14" s="178">
        <v>3.0154839680000001E-10</v>
      </c>
      <c r="BA14" s="178">
        <v>2.7884018267334601E-10</v>
      </c>
      <c r="BB14" s="201">
        <f t="shared" si="24"/>
        <v>1995383.0026615004</v>
      </c>
      <c r="BC14" s="181">
        <v>0.44097489408671398</v>
      </c>
      <c r="BD14" s="181">
        <f>BC14/BT14*BV14</f>
        <v>0.46979693611752404</v>
      </c>
      <c r="BE14" s="201">
        <f>BC14/BT14*BU14</f>
        <v>0.45538591510211907</v>
      </c>
      <c r="BF14" s="201">
        <f t="shared" si="26"/>
        <v>0.49477856340506143</v>
      </c>
      <c r="BG14" s="201">
        <f>BC14/BL14*BM14</f>
        <v>0.47912093316499721</v>
      </c>
      <c r="BH14" s="201">
        <f t="shared" si="27"/>
        <v>0.5104361936451256</v>
      </c>
      <c r="BI14" s="182">
        <v>1327796795.7750199</v>
      </c>
      <c r="BJ14" s="202">
        <f t="shared" si="28"/>
        <v>1414581362.3555317</v>
      </c>
      <c r="BK14" s="202">
        <f t="shared" si="29"/>
        <v>1371189079.0652759</v>
      </c>
      <c r="BL14" s="182">
        <v>3.3211022612034601E-10</v>
      </c>
      <c r="BM14" s="182">
        <v>3.6083904908456901E-10</v>
      </c>
      <c r="BN14" s="182">
        <v>7.0250000000000003E-11</v>
      </c>
      <c r="BO14" s="190">
        <f>AP14/BI14</f>
        <v>3.323174158907707E-10</v>
      </c>
      <c r="BP14" s="203">
        <f>$AP$5/BJ14</f>
        <v>4.3306098631181678E-10</v>
      </c>
      <c r="BQ14" s="203">
        <f>$AP$5/BK14</f>
        <v>4.4676551859470942E-10</v>
      </c>
      <c r="BR14" s="184">
        <v>2.13544061871601E-4</v>
      </c>
      <c r="BS14" s="204">
        <f t="shared" si="31"/>
        <v>2.3201645165687434E-4</v>
      </c>
      <c r="BT14" s="232">
        <v>2065.0300000000002</v>
      </c>
      <c r="BU14" s="205">
        <f t="shared" si="32"/>
        <v>2132.5150000000003</v>
      </c>
      <c r="BV14" s="230">
        <v>2200</v>
      </c>
      <c r="BW14" s="183"/>
      <c r="BX14" s="191">
        <f t="shared" si="46"/>
        <v>2066.3182864120718</v>
      </c>
      <c r="BY14" s="206">
        <f t="shared" si="46"/>
        <v>1901.8047937934937</v>
      </c>
      <c r="BZ14" s="185">
        <v>102.533</v>
      </c>
      <c r="CA14" s="186">
        <f>BZ14/Q14</f>
        <v>1928974.5850302745</v>
      </c>
      <c r="CB14" s="186">
        <v>2.2860586008176599E-7</v>
      </c>
      <c r="CC14" s="186">
        <f>1/3*BV14*BL14</f>
        <v>2.4354749915492038E-7</v>
      </c>
      <c r="CD14" s="208">
        <f t="shared" si="33"/>
        <v>2.3607667961834324E-7</v>
      </c>
      <c r="CE14" s="208">
        <f t="shared" si="34"/>
        <v>2.5649822825285991E-7</v>
      </c>
      <c r="CF14" s="208">
        <f t="shared" si="35"/>
        <v>2.4838115384370252E-7</v>
      </c>
      <c r="CG14" s="208">
        <f t="shared" si="36"/>
        <v>2.6461530266201724E-7</v>
      </c>
      <c r="CH14" s="210">
        <f t="shared" si="47"/>
        <v>1930177.9921222366</v>
      </c>
      <c r="CI14" s="211">
        <f t="shared" si="47"/>
        <v>1811761.5723055371</v>
      </c>
      <c r="CJ14" s="211">
        <f t="shared" si="47"/>
        <v>1869096.0950202839</v>
      </c>
      <c r="CK14" s="211">
        <f t="shared" si="47"/>
        <v>1720284.7871721319</v>
      </c>
      <c r="CL14" s="210">
        <f t="shared" si="47"/>
        <v>1776503.5437336885</v>
      </c>
      <c r="CM14" s="210">
        <f t="shared" si="47"/>
        <v>1667515.0513256271</v>
      </c>
      <c r="CN14" s="22">
        <f t="shared" si="37"/>
        <v>1283421056.6482842</v>
      </c>
      <c r="CO14" s="22">
        <v>7.7916751857846874E-10</v>
      </c>
      <c r="CP14" s="11">
        <v>40.08</v>
      </c>
      <c r="CQ14" s="32">
        <v>70.900000000000006</v>
      </c>
      <c r="CR14" s="25">
        <f>SUM(CP14:CQ14)</f>
        <v>110.98</v>
      </c>
      <c r="CT14" s="11">
        <f t="shared" si="45"/>
        <v>0.36114615245990267</v>
      </c>
      <c r="CU14" s="11">
        <f t="shared" si="14"/>
        <v>1.1329576826479489E+28</v>
      </c>
      <c r="CV14" s="11">
        <f t="shared" si="15"/>
        <v>2.0958341989755692E-11</v>
      </c>
      <c r="CW14" s="172">
        <v>2.7884018267334601E-10</v>
      </c>
      <c r="CX14" s="172">
        <v>3.6083904908456901E-10</v>
      </c>
      <c r="CY14" s="172">
        <v>3.7278880607214401E-10</v>
      </c>
      <c r="CZ14" s="22">
        <f t="shared" si="16"/>
        <v>-5.5169302889417085E-24</v>
      </c>
      <c r="DA14" s="22">
        <f t="shared" si="17"/>
        <v>8.5226678653207637E-26</v>
      </c>
      <c r="DB14" s="22">
        <f t="shared" si="18"/>
        <v>4.6645076217670404E-26</v>
      </c>
      <c r="DC14" s="25">
        <f t="shared" si="38"/>
        <v>1.8271312979636956</v>
      </c>
      <c r="DD14" s="22">
        <f t="shared" si="39"/>
        <v>-1.544820655501818E-2</v>
      </c>
      <c r="DE14" s="22">
        <f t="shared" si="40"/>
        <v>-8.454896794901889E-3</v>
      </c>
      <c r="DF14" s="172">
        <f t="shared" si="19"/>
        <v>-1.1868926737062473E-8</v>
      </c>
      <c r="DG14" s="172">
        <f t="shared" si="20"/>
        <v>7.0875332109788254E-9</v>
      </c>
      <c r="DH14" s="172">
        <f t="shared" si="21"/>
        <v>6.6404336257538526E-9</v>
      </c>
      <c r="DI14" s="25">
        <f t="shared" si="41"/>
        <v>1.0673298778999867</v>
      </c>
      <c r="DJ14" s="25">
        <f t="shared" si="42"/>
        <v>-0.59715030415066583</v>
      </c>
      <c r="DK14" s="25">
        <f t="shared" si="43"/>
        <v>-0.55948054721899332</v>
      </c>
    </row>
    <row r="15" spans="1:115" s="11" customFormat="1" ht="20.25" customHeight="1" x14ac:dyDescent="0.25">
      <c r="A15" s="2" t="s">
        <v>30</v>
      </c>
      <c r="B15" s="30"/>
      <c r="C15" s="30"/>
      <c r="D15" s="30"/>
      <c r="E15" s="2">
        <v>1</v>
      </c>
      <c r="F15" s="2">
        <v>55</v>
      </c>
      <c r="G15" s="2">
        <v>54</v>
      </c>
      <c r="H15" s="22">
        <v>9.1994204499999998E-26</v>
      </c>
      <c r="I15" s="22">
        <v>4.9190682239999996E-29</v>
      </c>
      <c r="J15" s="24">
        <v>1904.7875860407996</v>
      </c>
      <c r="K15" s="24">
        <v>1.0185185185185186</v>
      </c>
      <c r="L15" s="26">
        <v>9.1945013817760001E-26</v>
      </c>
      <c r="M15" s="3">
        <v>158.52600000000001</v>
      </c>
      <c r="N15" s="11">
        <v>3.78088190424221E-3</v>
      </c>
      <c r="O15" s="27">
        <v>8.7260034904013963E-4</v>
      </c>
      <c r="P15" s="3">
        <v>1146</v>
      </c>
      <c r="Q15" s="5">
        <v>5.811897000013199E-5</v>
      </c>
      <c r="R15" s="5">
        <v>2.12E-4</v>
      </c>
      <c r="S15" s="32"/>
      <c r="T15" s="6">
        <v>1.1800000000000001E-10</v>
      </c>
      <c r="U15" s="6">
        <v>1.81E-10</v>
      </c>
      <c r="V15" s="6">
        <v>2.99E-10</v>
      </c>
      <c r="W15" s="6">
        <f t="shared" si="44"/>
        <v>6.2999999999999989E-11</v>
      </c>
      <c r="X15" s="6">
        <v>2727612</v>
      </c>
      <c r="Y15" s="11">
        <v>1873.13</v>
      </c>
      <c r="Z15" s="11">
        <v>0</v>
      </c>
      <c r="AA15" s="11">
        <v>3.39</v>
      </c>
      <c r="AB15" s="11">
        <v>-5.7799999999999995E-4</v>
      </c>
      <c r="AC15" s="11">
        <v>1</v>
      </c>
      <c r="AD15" s="11">
        <v>2</v>
      </c>
      <c r="AE15" s="11">
        <v>3</v>
      </c>
      <c r="AF15" s="11">
        <v>2</v>
      </c>
      <c r="AG15" s="11">
        <v>-2</v>
      </c>
      <c r="AH15" s="178"/>
      <c r="AI15" s="178"/>
      <c r="AJ15" s="193"/>
      <c r="AK15" s="193">
        <v>0.38300000000000001</v>
      </c>
      <c r="AL15" s="193">
        <v>-1.1900000000000001E-4</v>
      </c>
      <c r="AM15" s="200">
        <v>1198</v>
      </c>
      <c r="AN15" s="200">
        <f t="shared" si="22"/>
        <v>0.37657400000000002</v>
      </c>
      <c r="AO15" s="200">
        <f t="shared" si="2"/>
        <v>0.37681199999999998</v>
      </c>
      <c r="AP15" s="199">
        <f t="shared" si="3"/>
        <v>0.37705</v>
      </c>
      <c r="AQ15" s="178" t="s">
        <v>181</v>
      </c>
      <c r="AR15" s="199">
        <v>0.39572551478833601</v>
      </c>
      <c r="AS15" s="199">
        <f t="shared" si="4"/>
        <v>0.32666098973626601</v>
      </c>
      <c r="AT15" s="199">
        <f t="shared" si="5"/>
        <v>0.33599408249358714</v>
      </c>
      <c r="AU15" s="199">
        <f t="shared" si="6"/>
        <v>0.33599408249358714</v>
      </c>
      <c r="AV15" s="199">
        <f t="shared" si="23"/>
        <v>0.32666098973626601</v>
      </c>
      <c r="AW15" s="178"/>
      <c r="AX15" s="178">
        <v>0.36759447686851399</v>
      </c>
      <c r="AY15" s="199" t="e">
        <f>AX15/AZ15*#REF!*10^-10</f>
        <v>#REF!</v>
      </c>
      <c r="AZ15" s="178">
        <v>3.2712108429999999E-10</v>
      </c>
      <c r="BA15" s="178">
        <v>2.9069451225530999E-10</v>
      </c>
      <c r="BB15" s="201">
        <f t="shared" si="24"/>
        <v>1846051.2052025932</v>
      </c>
      <c r="BC15" s="181">
        <v>0.48314180608273199</v>
      </c>
      <c r="BD15" s="181"/>
      <c r="BE15" s="201"/>
      <c r="BF15" s="201"/>
      <c r="BG15" s="201">
        <f>BC15/BL15*BM15</f>
        <v>0.55522074200137805</v>
      </c>
      <c r="BH15" s="201"/>
      <c r="BI15" s="182">
        <v>1123726028.4066401</v>
      </c>
      <c r="BJ15" s="202"/>
      <c r="BK15" s="202"/>
      <c r="BL15" s="182">
        <v>4.2994626258483001E-10</v>
      </c>
      <c r="BM15" s="182">
        <v>4.9408906438577101E-10</v>
      </c>
      <c r="BN15" s="182">
        <v>7.475E-11</v>
      </c>
      <c r="BO15" s="190">
        <f>AP15/BI15</f>
        <v>3.3553552242144723E-10</v>
      </c>
      <c r="BP15" s="190"/>
      <c r="BQ15" s="203"/>
      <c r="BR15" s="184">
        <v>2.57932874964755E-4</v>
      </c>
      <c r="BS15" s="204">
        <f>BR15/BL15*BM15</f>
        <v>2.9641335198377983E-4</v>
      </c>
      <c r="BT15" s="232">
        <v>1873.13</v>
      </c>
      <c r="BU15" s="183"/>
      <c r="BV15" s="183">
        <v>1873.13</v>
      </c>
      <c r="BW15" s="183"/>
      <c r="BX15" s="191">
        <f t="shared" si="46"/>
        <v>1461.8144354476785</v>
      </c>
      <c r="BY15" s="206">
        <f t="shared" si="46"/>
        <v>1272.0412136516466</v>
      </c>
      <c r="BZ15" s="185">
        <v>104.6</v>
      </c>
      <c r="CA15" s="186">
        <f>BZ15/Q15</f>
        <v>1799756.6027023955</v>
      </c>
      <c r="CB15" s="186">
        <v>2.68448414278508E-7</v>
      </c>
      <c r="CC15" s="186"/>
      <c r="CD15" s="208"/>
      <c r="CE15" s="208"/>
      <c r="CF15" s="208">
        <f t="shared" si="35"/>
        <v>3.0849768305763975E-7</v>
      </c>
      <c r="CG15" s="208"/>
      <c r="CH15" s="210">
        <f>$AP15/(CB15)</f>
        <v>1404552.9045622179</v>
      </c>
      <c r="CI15" s="210"/>
      <c r="CJ15" s="211"/>
      <c r="CK15" s="211"/>
      <c r="CL15" s="210">
        <f>$AP15/(CF15)</f>
        <v>1222213.3931863336</v>
      </c>
      <c r="CM15" s="210"/>
      <c r="CN15" s="22">
        <f t="shared" si="37"/>
        <v>1351317495.4836404</v>
      </c>
      <c r="CO15" s="22">
        <v>7.4001853993764589E-10</v>
      </c>
      <c r="CP15" s="11">
        <v>87.62</v>
      </c>
      <c r="CQ15" s="32">
        <v>70.900000000000006</v>
      </c>
      <c r="CR15" s="25">
        <f>SUM(CP15:CQ15)</f>
        <v>158.52000000000001</v>
      </c>
      <c r="CT15" s="11">
        <f t="shared" si="45"/>
        <v>0.55273782488014134</v>
      </c>
      <c r="CU15" s="11">
        <f t="shared" si="14"/>
        <v>1.0361745915294651E+28</v>
      </c>
      <c r="CV15" s="11">
        <f t="shared" si="15"/>
        <v>2.2949935082211439E-11</v>
      </c>
      <c r="CW15" s="172">
        <v>2.9069451225530999E-10</v>
      </c>
      <c r="CX15" s="172">
        <v>4.9408906438577101E-10</v>
      </c>
      <c r="CY15" s="172">
        <v>3.7844741538236401E-10</v>
      </c>
      <c r="CZ15" s="22">
        <f t="shared" si="16"/>
        <v>-1.0016365935594962E-23</v>
      </c>
      <c r="DA15" s="22">
        <f t="shared" si="17"/>
        <v>8.3443533954109139E-28</v>
      </c>
      <c r="DB15" s="22">
        <f t="shared" si="18"/>
        <v>1.6809086523566032E-25</v>
      </c>
      <c r="DC15" s="25">
        <f t="shared" si="38"/>
        <v>4.9641920658283741E-3</v>
      </c>
      <c r="DD15" s="22">
        <f t="shared" si="39"/>
        <v>-8.3307193937052053E-5</v>
      </c>
      <c r="DE15" s="22">
        <f t="shared" si="40"/>
        <v>-1.6781621829362197E-2</v>
      </c>
      <c r="DF15" s="172">
        <f t="shared" si="19"/>
        <v>-1.0920650285607979E-8</v>
      </c>
      <c r="DG15" s="172">
        <f t="shared" si="20"/>
        <v>3.7801730593014461E-9</v>
      </c>
      <c r="DH15" s="172">
        <f t="shared" si="21"/>
        <v>6.4433404522461721E-9</v>
      </c>
      <c r="DI15" s="25">
        <f t="shared" si="41"/>
        <v>0.58667908165300564</v>
      </c>
      <c r="DJ15" s="25">
        <f t="shared" si="42"/>
        <v>-0.34614908090988233</v>
      </c>
      <c r="DK15" s="25">
        <f t="shared" si="43"/>
        <v>-0.59001435663017898</v>
      </c>
    </row>
    <row r="16" spans="1:115" s="11" customFormat="1" ht="20.25" customHeight="1" x14ac:dyDescent="0.25">
      <c r="A16" s="2" t="s">
        <v>31</v>
      </c>
      <c r="B16" s="30">
        <v>0.3</v>
      </c>
      <c r="C16" s="30"/>
      <c r="D16" s="30"/>
      <c r="E16" s="2">
        <v>1</v>
      </c>
      <c r="F16" s="2">
        <v>26</v>
      </c>
      <c r="G16" s="2">
        <v>25</v>
      </c>
      <c r="H16" s="22">
        <v>4.3488169400000001E-26</v>
      </c>
      <c r="I16" s="22">
        <v>2.2773463999999997E-29</v>
      </c>
      <c r="J16" s="24">
        <v>1985.9822895629759</v>
      </c>
      <c r="K16" s="24">
        <v>1.04</v>
      </c>
      <c r="L16" s="26">
        <v>4.3465395936000002E-26</v>
      </c>
      <c r="M16" s="3">
        <v>84.99</v>
      </c>
      <c r="O16" s="27">
        <v>1.7148246591785991E-3</v>
      </c>
      <c r="P16" s="3">
        <v>583.15</v>
      </c>
      <c r="Q16" s="5">
        <v>4.4669999999999998E-5</v>
      </c>
      <c r="R16" s="5">
        <v>3.7599999999999998E-4</v>
      </c>
      <c r="S16" s="32"/>
      <c r="T16" s="6">
        <v>1.02E-10</v>
      </c>
      <c r="U16" s="6">
        <v>2.31E-10</v>
      </c>
      <c r="V16" s="6">
        <v>3.3299999999999999E-10</v>
      </c>
      <c r="W16" s="6">
        <f t="shared" si="44"/>
        <v>1.2900000000000002E-10</v>
      </c>
      <c r="X16" s="6">
        <v>1886915.5249999999</v>
      </c>
      <c r="Y16" s="11">
        <v>2490.4882499999999</v>
      </c>
      <c r="Z16" s="11">
        <v>-1.155</v>
      </c>
      <c r="AA16" s="11">
        <v>2.3338999999999999</v>
      </c>
      <c r="AB16" s="11">
        <v>-7.6650000000000004E-4</v>
      </c>
      <c r="AC16" s="11">
        <v>2</v>
      </c>
      <c r="AD16" s="11">
        <v>3</v>
      </c>
      <c r="AE16" s="11">
        <v>5</v>
      </c>
      <c r="AF16" s="11">
        <v>3</v>
      </c>
      <c r="AG16" s="11">
        <v>-3</v>
      </c>
      <c r="AH16" s="178"/>
      <c r="AI16" s="178"/>
      <c r="AJ16" s="193"/>
      <c r="AK16" s="193">
        <v>0.51910000000000001</v>
      </c>
      <c r="AL16" s="193">
        <v>-1.37E-4</v>
      </c>
      <c r="AM16" s="200">
        <v>623</v>
      </c>
      <c r="AN16" s="200">
        <f t="shared" si="22"/>
        <v>0.43459154999999999</v>
      </c>
      <c r="AO16" s="200">
        <f t="shared" si="2"/>
        <v>0.51364054999999997</v>
      </c>
      <c r="AP16" s="199">
        <f t="shared" si="3"/>
        <v>0.51224999999999998</v>
      </c>
      <c r="AQ16" s="178" t="s">
        <v>179</v>
      </c>
      <c r="AR16" s="199"/>
      <c r="AS16" s="199">
        <f t="shared" si="4"/>
        <v>0.37318886413862051</v>
      </c>
      <c r="AT16" s="199">
        <f t="shared" si="5"/>
        <v>0</v>
      </c>
      <c r="AU16" s="199">
        <f t="shared" si="6"/>
        <v>0</v>
      </c>
      <c r="AV16" s="199">
        <f t="shared" si="23"/>
        <v>0.38288813854392989</v>
      </c>
      <c r="AW16" s="178">
        <v>0.54571904518309799</v>
      </c>
      <c r="AX16" s="178">
        <v>0.54571904518309799</v>
      </c>
      <c r="AY16" s="178"/>
      <c r="AZ16" s="178">
        <v>2.9210006750000005E-10</v>
      </c>
      <c r="BA16" s="178">
        <v>2.0494364655370699E-10</v>
      </c>
      <c r="BB16" s="201">
        <f t="shared" si="24"/>
        <v>2895533.4619687814</v>
      </c>
      <c r="BC16" s="181"/>
      <c r="BD16" s="181"/>
      <c r="BE16" s="181"/>
      <c r="BF16" s="181"/>
      <c r="BG16" s="181"/>
      <c r="BH16" s="181"/>
      <c r="BI16" s="182"/>
      <c r="BJ16" s="182"/>
      <c r="BK16" s="182"/>
      <c r="BL16" s="182"/>
      <c r="BM16" s="182">
        <v>4.2035554602204399E-10</v>
      </c>
      <c r="BN16" s="182"/>
      <c r="BO16" s="189"/>
      <c r="BP16" s="189"/>
      <c r="BQ16" s="189"/>
      <c r="BR16" s="184"/>
      <c r="BS16" s="204"/>
      <c r="BT16" s="232">
        <v>1816.9499999999998</v>
      </c>
      <c r="BU16" s="183"/>
      <c r="BV16" s="183">
        <v>1816.9499999999998</v>
      </c>
      <c r="BW16" s="183"/>
      <c r="BX16" s="191"/>
      <c r="BY16" s="191"/>
      <c r="BZ16" s="185">
        <v>155.6</v>
      </c>
      <c r="CA16" s="186"/>
      <c r="CB16" s="180"/>
      <c r="CC16" s="186"/>
      <c r="CD16" s="208"/>
      <c r="CE16" s="208"/>
      <c r="CF16" s="208">
        <f>1/3*BT16*BM16</f>
        <v>2.545883364482509E-7</v>
      </c>
      <c r="CG16" s="208"/>
      <c r="CH16" s="192"/>
      <c r="CI16" s="192"/>
      <c r="CJ16" s="192"/>
      <c r="CK16" s="192"/>
      <c r="CL16" s="192"/>
      <c r="CM16" s="192"/>
      <c r="CN16" s="22" t="e">
        <f t="shared" si="37"/>
        <v>#DIV/0!</v>
      </c>
      <c r="CO16" s="22"/>
      <c r="CP16" s="32"/>
      <c r="CQ16" s="32"/>
      <c r="CR16" s="32"/>
      <c r="CT16" s="22"/>
      <c r="CU16" s="11">
        <f t="shared" si="14"/>
        <v>1.3481396910678308E+28</v>
      </c>
      <c r="CV16" s="11">
        <f t="shared" si="15"/>
        <v>1.4352525075244772E-11</v>
      </c>
    </row>
    <row r="17" spans="1:108" s="11" customFormat="1" ht="20.25" customHeight="1" x14ac:dyDescent="0.25">
      <c r="A17" s="2" t="s">
        <v>32</v>
      </c>
      <c r="B17" s="30">
        <v>0.2</v>
      </c>
      <c r="C17" s="30"/>
      <c r="D17" s="30"/>
      <c r="E17" s="2">
        <v>1</v>
      </c>
      <c r="F17" s="2">
        <v>34</v>
      </c>
      <c r="G17" s="2">
        <v>33</v>
      </c>
      <c r="H17" s="22">
        <v>5.6869144599999998E-26</v>
      </c>
      <c r="I17" s="22">
        <v>3.0060972479999997E-29</v>
      </c>
      <c r="J17" s="24">
        <v>1949.1203104325261</v>
      </c>
      <c r="K17" s="24">
        <v>1.0303030303030303</v>
      </c>
      <c r="L17" s="26">
        <v>5.6839083627519992E-26</v>
      </c>
      <c r="M17" s="3">
        <v>101.1</v>
      </c>
      <c r="O17" s="27">
        <v>1.6389412439564042E-3</v>
      </c>
      <c r="P17" s="3">
        <v>610.15</v>
      </c>
      <c r="Q17" s="5">
        <v>5.4060000000000001E-5</v>
      </c>
      <c r="R17" s="5">
        <v>3.8999999999999999E-4</v>
      </c>
      <c r="S17" s="32"/>
      <c r="T17" s="6">
        <v>1.3799999999999999E-10</v>
      </c>
      <c r="U17" s="6">
        <v>2.31E-10</v>
      </c>
      <c r="V17" s="6">
        <v>3.6899999999999997E-10</v>
      </c>
      <c r="W17" s="6">
        <f t="shared" si="44"/>
        <v>9.3000000000000015E-11</v>
      </c>
      <c r="X17" s="6">
        <v>1870200.65</v>
      </c>
      <c r="Y17" s="11">
        <v>2449.9279999999999</v>
      </c>
      <c r="Z17" s="11">
        <v>-1.1200000000000001</v>
      </c>
      <c r="AA17" s="11">
        <v>2.3149999999999999</v>
      </c>
      <c r="AB17" s="11">
        <v>-7.2900000000000005E-4</v>
      </c>
      <c r="AC17" s="11">
        <v>2</v>
      </c>
      <c r="AD17" s="11">
        <v>3</v>
      </c>
      <c r="AE17" s="11">
        <v>5</v>
      </c>
      <c r="AF17" s="11">
        <v>3</v>
      </c>
      <c r="AG17" s="11">
        <v>-3</v>
      </c>
      <c r="AH17" s="178"/>
      <c r="AI17" s="178"/>
      <c r="AJ17" s="193"/>
      <c r="AK17" s="193">
        <v>0.43030000000000002</v>
      </c>
      <c r="AL17" s="193">
        <v>-4.2200000000000001E-4</v>
      </c>
      <c r="AM17" s="200"/>
      <c r="AN17" s="200">
        <f t="shared" si="22"/>
        <v>0.1813833</v>
      </c>
      <c r="AO17" s="200">
        <f t="shared" si="2"/>
        <v>0.68778329999999999</v>
      </c>
      <c r="AP17" s="199">
        <f t="shared" si="3"/>
        <v>0.40920000000000001</v>
      </c>
      <c r="AQ17" s="178" t="s">
        <v>179</v>
      </c>
      <c r="AR17" s="199"/>
      <c r="AS17" s="199">
        <f t="shared" si="4"/>
        <v>0</v>
      </c>
      <c r="AT17" s="199">
        <f t="shared" si="5"/>
        <v>0</v>
      </c>
      <c r="AU17" s="199">
        <f t="shared" si="6"/>
        <v>0</v>
      </c>
      <c r="AV17" s="199"/>
      <c r="AW17" s="178"/>
      <c r="AX17" s="178"/>
      <c r="AY17" s="178"/>
      <c r="AZ17" s="178"/>
      <c r="BA17" s="178"/>
      <c r="BB17" s="201"/>
      <c r="BC17" s="181"/>
      <c r="BD17" s="181"/>
      <c r="BE17" s="181"/>
      <c r="BF17" s="181"/>
      <c r="BG17" s="181"/>
      <c r="BH17" s="181"/>
      <c r="BI17" s="182"/>
      <c r="BJ17" s="182"/>
      <c r="BK17" s="182"/>
      <c r="BL17" s="182"/>
      <c r="BM17" s="182"/>
      <c r="BN17" s="182"/>
      <c r="BO17" s="189"/>
      <c r="BP17" s="189"/>
      <c r="BQ17" s="189"/>
      <c r="BR17" s="184"/>
      <c r="BS17" s="184"/>
      <c r="BT17" s="232">
        <v>1766.56</v>
      </c>
      <c r="BU17" s="183"/>
      <c r="BV17" s="183">
        <v>1766.56</v>
      </c>
      <c r="BW17" s="183"/>
      <c r="BX17" s="191"/>
      <c r="BY17" s="191"/>
      <c r="BZ17" s="185">
        <v>141</v>
      </c>
      <c r="CA17" s="186"/>
      <c r="CB17" s="180"/>
      <c r="CC17" s="186"/>
      <c r="CD17" s="186"/>
      <c r="CE17" s="186"/>
      <c r="CF17" s="186"/>
      <c r="CG17" s="180"/>
      <c r="CH17" s="192"/>
      <c r="CI17" s="192"/>
      <c r="CJ17" s="192"/>
      <c r="CK17" s="192"/>
      <c r="CL17" s="192"/>
      <c r="CM17" s="192"/>
      <c r="CN17" s="22" t="e">
        <f t="shared" si="37"/>
        <v>#DIV/0!</v>
      </c>
      <c r="CO17" s="22"/>
      <c r="CP17" s="32"/>
      <c r="CQ17" s="32"/>
      <c r="CR17" s="32"/>
      <c r="CT17" s="22"/>
      <c r="CU17" s="11">
        <f t="shared" si="14"/>
        <v>1.1139733629300775E+28</v>
      </c>
      <c r="CV17" s="11">
        <f t="shared" si="15"/>
        <v>1.6150520619007024E-11</v>
      </c>
    </row>
    <row r="18" spans="1:108" x14ac:dyDescent="0.25">
      <c r="A18" s="4" t="s">
        <v>38</v>
      </c>
      <c r="B18" s="31"/>
      <c r="C18" s="31"/>
      <c r="D18" s="31"/>
      <c r="E18" s="11">
        <v>2</v>
      </c>
      <c r="F18" s="25">
        <v>12.34</v>
      </c>
      <c r="G18" s="25">
        <v>11.34</v>
      </c>
      <c r="H18" s="22">
        <f t="shared" ref="H18:H23" si="48">F18*1.6726219E-27</f>
        <v>2.0640154245999999E-26</v>
      </c>
      <c r="I18" s="22">
        <f t="shared" ref="I18:I23" si="49">G18*9.1093856E-31</f>
        <v>1.0330043270399999E-29</v>
      </c>
      <c r="J18" s="24">
        <f t="shared" ref="J18:J23" si="50">((H18*F18)/(I18*G18))</f>
        <v>2174.2671429464549</v>
      </c>
      <c r="K18" s="24">
        <f t="shared" ref="K18:K23" si="51">F18/G18</f>
        <v>1.088183421516755</v>
      </c>
      <c r="L18" s="26">
        <f t="shared" ref="L18:L23" si="52">(H18)-(I18)</f>
        <v>2.06298242027296E-26</v>
      </c>
      <c r="M18" s="4">
        <v>33.103140000000003</v>
      </c>
      <c r="N18" s="11">
        <f>0.116*EXP(31200/(8.3144598*P18))/1000</f>
        <v>1.9398692129051695E-2</v>
      </c>
      <c r="O18" s="27">
        <f t="shared" ref="O18:O23" si="53">P18^-1</f>
        <v>1.364256480218281E-3</v>
      </c>
      <c r="P18" s="4">
        <v>733</v>
      </c>
      <c r="Q18" s="4">
        <v>1.6714173769923689E-5</v>
      </c>
      <c r="R18" s="4">
        <v>1.409526898683356E-4</v>
      </c>
      <c r="V18" s="22">
        <f>(T8+U8)*0.66+('MFP-rsum'!R10+'MFP-rsum'!S10)*0.34</f>
        <v>1.9472000000000003E-10</v>
      </c>
      <c r="X18" s="8">
        <v>1986063.3540000001</v>
      </c>
      <c r="Y18" s="4">
        <v>2547.6863757231322</v>
      </c>
      <c r="AC18" s="4">
        <v>2</v>
      </c>
      <c r="AD18" s="4">
        <v>3</v>
      </c>
      <c r="AE18" s="11">
        <f>AC18+AD18</f>
        <v>5</v>
      </c>
      <c r="AH18" s="178"/>
      <c r="AI18" s="178"/>
      <c r="AJ18" s="178">
        <v>0.98602842355479803</v>
      </c>
      <c r="AK18" s="178">
        <v>1.1000000000000001</v>
      </c>
      <c r="AL18" s="178">
        <v>0</v>
      </c>
      <c r="AM18" s="200">
        <v>973</v>
      </c>
      <c r="AN18" s="200">
        <f t="shared" si="22"/>
        <v>1.1000000000000001</v>
      </c>
      <c r="AO18" s="200">
        <f t="shared" ref="AO18:AO23" si="54">AK18+AL18*AM18</f>
        <v>1.1000000000000001</v>
      </c>
      <c r="AP18" s="199">
        <f t="shared" ref="AP18:AP23" si="55">AK18+AL18*P18</f>
        <v>1.1000000000000001</v>
      </c>
      <c r="AQ18" s="178" t="s">
        <v>182</v>
      </c>
      <c r="AR18" s="199">
        <v>1.0187917505808699</v>
      </c>
      <c r="AS18" s="199">
        <f t="shared" si="4"/>
        <v>1.0187917505808699</v>
      </c>
      <c r="AT18" s="199">
        <f t="shared" si="5"/>
        <v>0.71488518084414443</v>
      </c>
      <c r="AU18" s="199">
        <f t="shared" si="6"/>
        <v>0.71488518084414443</v>
      </c>
      <c r="AV18" s="199">
        <v>1.0187917505808699</v>
      </c>
      <c r="AW18" s="178">
        <v>1.28305844543897</v>
      </c>
      <c r="AX18" s="178">
        <v>1.28305844543897</v>
      </c>
      <c r="AY18" s="178">
        <v>1.28305844543897</v>
      </c>
      <c r="AZ18" s="178">
        <v>2.090905522E-10</v>
      </c>
      <c r="BA18" s="178">
        <v>1.6602500929042107E-10</v>
      </c>
      <c r="BB18" s="201">
        <f>AP18/2.41471418628523E-07</f>
        <v>4555404.5536636701</v>
      </c>
      <c r="BC18" s="181">
        <v>1.2641169574941</v>
      </c>
      <c r="BD18" s="181">
        <v>1.2641169574941</v>
      </c>
      <c r="BE18" s="181">
        <v>1.2641169574941</v>
      </c>
      <c r="BF18" s="181">
        <v>1.2641169574941</v>
      </c>
      <c r="BG18" s="181">
        <v>1.2641169574941</v>
      </c>
      <c r="BH18" s="181">
        <v>1.2641169574941</v>
      </c>
      <c r="BI18" s="182">
        <v>6136375549.3502598</v>
      </c>
      <c r="BJ18" s="182"/>
      <c r="BK18" s="182"/>
      <c r="BL18" s="182">
        <v>2.06003844994128E-10</v>
      </c>
      <c r="BM18" s="182"/>
      <c r="BN18" s="182">
        <v>4.2509000000000002E-11</v>
      </c>
      <c r="BO18" s="189">
        <f>AP18/BI18</f>
        <v>1.7925891125038326E-10</v>
      </c>
      <c r="BP18" s="189"/>
      <c r="BQ18" s="189"/>
      <c r="BR18" s="184">
        <v>3.64867161248093E-4</v>
      </c>
      <c r="BS18" s="184"/>
      <c r="BT18" s="232">
        <f t="shared" ref="BT18:BT23" si="56">Y18+Z18*P18</f>
        <v>2547.6863757231322</v>
      </c>
      <c r="BU18" s="183"/>
      <c r="BV18" s="183">
        <v>2547.6863757231322</v>
      </c>
      <c r="BW18" s="183"/>
      <c r="BX18" s="191">
        <f t="shared" ref="BX18:BX23" si="57">$AP18/BR18</f>
        <v>3014.7958403196781</v>
      </c>
      <c r="BY18" s="191"/>
      <c r="BZ18" s="185">
        <v>72.25800000000001</v>
      </c>
      <c r="CA18" s="186">
        <f t="shared" ref="CA18:CA23" si="58">BZ18/Q18</f>
        <v>4323157.1595853949</v>
      </c>
      <c r="CB18" s="180">
        <v>2.6515208606205915E-7</v>
      </c>
      <c r="CC18" s="180"/>
      <c r="CD18" s="180"/>
      <c r="CE18" s="180"/>
      <c r="CF18" s="180"/>
      <c r="CG18" s="180"/>
      <c r="CH18" s="192">
        <f t="shared" ref="CH18:CH23" si="59">$AP18/(CB18)</f>
        <v>4148562.4961009878</v>
      </c>
      <c r="CI18" s="192"/>
      <c r="CJ18" s="192"/>
      <c r="CK18" s="192"/>
      <c r="CL18" s="192"/>
      <c r="CM18" s="192"/>
      <c r="CN18" s="22">
        <f t="shared" si="37"/>
        <v>260835447.80480725</v>
      </c>
      <c r="CO18" s="8">
        <f t="shared" ref="CO18:CO23" si="60">N18/(X18/1000*(Y18+Z18*P18))</f>
        <v>3.8338347353322035E-9</v>
      </c>
      <c r="CP18"/>
      <c r="CQ18"/>
      <c r="CR18"/>
      <c r="CS18" s="4"/>
      <c r="CT18" s="8"/>
      <c r="CU18" s="11">
        <f t="shared" si="14"/>
        <v>3.603013874868608E+28</v>
      </c>
      <c r="CV18" s="11">
        <f t="shared" si="15"/>
        <v>9.8429355610459986E-12</v>
      </c>
      <c r="CY18"/>
      <c r="CZ18" s="4"/>
      <c r="DA18" s="4"/>
      <c r="DB18" s="4"/>
    </row>
    <row r="19" spans="1:108" x14ac:dyDescent="0.25">
      <c r="A19" s="4" t="s">
        <v>39</v>
      </c>
      <c r="B19" s="31"/>
      <c r="C19" s="31"/>
      <c r="D19" s="31"/>
      <c r="E19" s="11">
        <v>3</v>
      </c>
      <c r="F19" s="25">
        <v>19.64</v>
      </c>
      <c r="G19" s="25">
        <v>19.64</v>
      </c>
      <c r="H19" s="22">
        <f t="shared" si="48"/>
        <v>3.2850294116000003E-26</v>
      </c>
      <c r="I19" s="22">
        <f t="shared" si="49"/>
        <v>1.78908333184E-29</v>
      </c>
      <c r="J19" s="24">
        <f t="shared" si="50"/>
        <v>1836.1522647586683</v>
      </c>
      <c r="K19" s="24">
        <f t="shared" si="51"/>
        <v>1</v>
      </c>
      <c r="L19" s="26">
        <f t="shared" si="52"/>
        <v>3.2832403282681602E-26</v>
      </c>
      <c r="M19" s="4">
        <v>41.290994999999988</v>
      </c>
      <c r="N19" s="11">
        <f>10^(0.213+-1200/P19+1350000/P19^2)/1000</f>
        <v>1.2003439447166342E-2</v>
      </c>
      <c r="O19" s="27">
        <f t="shared" si="53"/>
        <v>1.3605442176870747E-3</v>
      </c>
      <c r="P19" s="4">
        <v>735</v>
      </c>
      <c r="Q19" s="4">
        <v>1.9405588331960499E-5</v>
      </c>
      <c r="R19" s="4">
        <v>3.1252324985815613E-4</v>
      </c>
      <c r="V19" s="22">
        <f>0.465*(T8+U8)+0.115*(T9+U9)+0.42*(T10+U10)</f>
        <v>2.3803E-10</v>
      </c>
      <c r="X19" s="8">
        <v>2102415.4449999998</v>
      </c>
      <c r="Y19" s="4">
        <v>2012.468707779205</v>
      </c>
      <c r="AC19" s="4">
        <v>3</v>
      </c>
      <c r="AD19" s="4">
        <v>3</v>
      </c>
      <c r="AE19" s="11">
        <f>AC19+AD19</f>
        <v>6</v>
      </c>
      <c r="AH19" s="178"/>
      <c r="AI19" s="178"/>
      <c r="AJ19" s="193"/>
      <c r="AK19" s="193">
        <v>1.24</v>
      </c>
      <c r="AL19" s="193">
        <v>-5.3799999999999996E-4</v>
      </c>
      <c r="AM19" s="200">
        <v>873</v>
      </c>
      <c r="AN19" s="200">
        <f>AK19+AL19*(1200)</f>
        <v>0.59440000000000004</v>
      </c>
      <c r="AO19" s="200">
        <f t="shared" si="54"/>
        <v>0.77032600000000007</v>
      </c>
      <c r="AP19" s="199">
        <f t="shared" si="55"/>
        <v>0.84457000000000004</v>
      </c>
      <c r="AQ19" s="178" t="s">
        <v>183</v>
      </c>
      <c r="AR19" s="199">
        <v>0.839610460137869</v>
      </c>
      <c r="AS19" s="199">
        <f t="shared" si="4"/>
        <v>0.68591483111751272</v>
      </c>
      <c r="AT19" s="199">
        <f t="shared" si="5"/>
        <v>0.54326858976638281</v>
      </c>
      <c r="AU19" s="199">
        <f t="shared" si="6"/>
        <v>0.54326858976638281</v>
      </c>
      <c r="AV19" s="199">
        <f>AX19/AZ19*BA19</f>
        <v>0.68591483111751272</v>
      </c>
      <c r="AW19" s="178">
        <v>0.85046707066330796</v>
      </c>
      <c r="AX19" s="178">
        <v>0.85046707066330796</v>
      </c>
      <c r="AY19" s="178"/>
      <c r="AZ19" s="178">
        <v>2.6189981379999998E-10</v>
      </c>
      <c r="BA19" s="178">
        <v>2.1122624584656404E-10</v>
      </c>
      <c r="BB19" s="201">
        <f>AP19/2.05953648575423E-07</f>
        <v>4100777.072131874</v>
      </c>
      <c r="BC19" s="181">
        <v>0.84284465559077204</v>
      </c>
      <c r="BD19" s="181">
        <v>0.84284465559077204</v>
      </c>
      <c r="BE19" s="181">
        <v>0.84284465559077204</v>
      </c>
      <c r="BF19" s="181">
        <v>0.84284465559077204</v>
      </c>
      <c r="BG19" s="181">
        <v>0.84284465559077204</v>
      </c>
      <c r="BH19" s="181">
        <v>0.84284465559077204</v>
      </c>
      <c r="BI19" s="182">
        <v>3247299256.6262999</v>
      </c>
      <c r="BJ19" s="182"/>
      <c r="BK19" s="182"/>
      <c r="BL19" s="182">
        <v>2.5955250470707202E-10</v>
      </c>
      <c r="BM19" s="182"/>
      <c r="BN19" s="182">
        <v>4.3781312500000001E-11</v>
      </c>
      <c r="BO19" s="189">
        <f>AP19/BI19</f>
        <v>2.6008382143302827E-10</v>
      </c>
      <c r="BP19" s="189"/>
      <c r="BQ19" s="189"/>
      <c r="BR19" s="184">
        <v>3.5726624232913199E-4</v>
      </c>
      <c r="BS19" s="184"/>
      <c r="BT19" s="232">
        <f t="shared" si="56"/>
        <v>2012.468707779205</v>
      </c>
      <c r="BU19" s="183"/>
      <c r="BV19" s="183">
        <v>2012.468707779205</v>
      </c>
      <c r="BW19" s="183"/>
      <c r="BX19" s="191">
        <f t="shared" si="57"/>
        <v>2363.979295927822</v>
      </c>
      <c r="BY19" s="191"/>
      <c r="BZ19" s="185">
        <v>66.024000000000001</v>
      </c>
      <c r="CA19" s="186">
        <f t="shared" si="58"/>
        <v>3402318.9027080508</v>
      </c>
      <c r="CB19" s="180">
        <v>2.1033914784311533E-7</v>
      </c>
      <c r="CC19" s="180"/>
      <c r="CD19" s="180"/>
      <c r="CE19" s="180"/>
      <c r="CF19" s="180"/>
      <c r="CG19" s="180"/>
      <c r="CH19" s="192">
        <f t="shared" si="59"/>
        <v>4015277.2732061055</v>
      </c>
      <c r="CI19" s="192"/>
      <c r="CJ19" s="192"/>
      <c r="CK19" s="192"/>
      <c r="CL19" s="192"/>
      <c r="CM19" s="192"/>
      <c r="CN19" s="22">
        <f t="shared" si="37"/>
        <v>352486078.0476563</v>
      </c>
      <c r="CO19" s="8">
        <f t="shared" si="60"/>
        <v>2.8369914793196441E-9</v>
      </c>
      <c r="CP19"/>
      <c r="CQ19"/>
      <c r="CR19"/>
      <c r="CS19" s="4"/>
      <c r="CT19" s="8"/>
      <c r="CU19" s="11">
        <f t="shared" si="14"/>
        <v>3.1033019442557644E+28</v>
      </c>
      <c r="CV19" s="11">
        <f t="shared" si="15"/>
        <v>1.0620311979487752E-11</v>
      </c>
      <c r="CY19"/>
      <c r="CZ19" s="4"/>
      <c r="DA19" s="4"/>
      <c r="DB19" s="4"/>
    </row>
    <row r="20" spans="1:108" x14ac:dyDescent="0.25">
      <c r="A20" s="4" t="s">
        <v>45</v>
      </c>
      <c r="B20" s="31"/>
      <c r="C20" s="31"/>
      <c r="D20" s="31"/>
      <c r="E20" s="11">
        <v>2</v>
      </c>
      <c r="F20" s="25">
        <v>15.2</v>
      </c>
      <c r="G20" s="25">
        <v>15.2</v>
      </c>
      <c r="H20" s="22">
        <f t="shared" si="48"/>
        <v>2.5423852879999997E-26</v>
      </c>
      <c r="I20" s="22">
        <f t="shared" si="49"/>
        <v>1.3846266111999999E-29</v>
      </c>
      <c r="J20" s="24">
        <f t="shared" si="50"/>
        <v>1836.152264758668</v>
      </c>
      <c r="K20" s="24">
        <f t="shared" si="51"/>
        <v>1</v>
      </c>
      <c r="L20" s="26">
        <f t="shared" si="52"/>
        <v>2.5410006613887998E-26</v>
      </c>
      <c r="M20" s="4">
        <v>32.358600000000003</v>
      </c>
      <c r="N20" s="11">
        <f>0.116*EXP(26800/(8.3144598*P20))/1000</f>
        <v>3.9071251973790879E-3</v>
      </c>
      <c r="O20" s="27">
        <f t="shared" si="53"/>
        <v>1.0911074740861974E-3</v>
      </c>
      <c r="P20" s="4">
        <v>916.5</v>
      </c>
      <c r="Q20" s="4">
        <v>1.5885583505580338E-5</v>
      </c>
      <c r="R20" s="4">
        <v>2.7773488865206569E-4</v>
      </c>
      <c r="V20" s="22">
        <f>0.6*(T8+U8)+0.4*(T9+U9)</f>
        <v>2.1940000000000001E-10</v>
      </c>
      <c r="X20" s="8">
        <v>2014141.42</v>
      </c>
      <c r="Y20" s="4">
        <v>2298.228366828082</v>
      </c>
      <c r="AC20" s="4">
        <v>2</v>
      </c>
      <c r="AD20" s="4">
        <v>2</v>
      </c>
      <c r="AE20" s="11">
        <f>AC20+AD20</f>
        <v>4</v>
      </c>
      <c r="AH20" s="178"/>
      <c r="AI20" s="178"/>
      <c r="AJ20" s="193"/>
      <c r="AK20" s="193">
        <v>1.373520053703863</v>
      </c>
      <c r="AL20" s="193">
        <v>-5.444974852953727E-4</v>
      </c>
      <c r="AM20" s="200">
        <v>973</v>
      </c>
      <c r="AN20" s="200">
        <f t="shared" ref="AN20:AN22" si="61">AK20+AL20*(1200)</f>
        <v>0.72012307134941578</v>
      </c>
      <c r="AO20" s="200">
        <f t="shared" si="54"/>
        <v>0.84372400051146534</v>
      </c>
      <c r="AP20" s="199">
        <f t="shared" si="55"/>
        <v>0.87448810843065394</v>
      </c>
      <c r="AQ20" s="178" t="s">
        <v>184</v>
      </c>
      <c r="AR20" s="199"/>
      <c r="AS20" s="199">
        <f t="shared" si="4"/>
        <v>0.64595928661301927</v>
      </c>
      <c r="AT20" s="199">
        <f t="shared" si="5"/>
        <v>0.7046599791446102</v>
      </c>
      <c r="AU20" s="199">
        <f t="shared" si="6"/>
        <v>0.7046599791446102</v>
      </c>
      <c r="AV20" s="199">
        <f t="shared" si="23"/>
        <v>0.64595928661301927</v>
      </c>
      <c r="AW20" s="178">
        <v>0.73223097949286997</v>
      </c>
      <c r="AX20" s="178">
        <v>0.73223097949286997</v>
      </c>
      <c r="AY20" s="178"/>
      <c r="AZ20" s="178">
        <v>2.1702517760000003E-10</v>
      </c>
      <c r="BA20" s="178">
        <v>1.9145520037495888E-10</v>
      </c>
      <c r="BB20" s="201">
        <f>AP20/1.74653398950553E-07</f>
        <v>5006991.6399292899</v>
      </c>
      <c r="BC20" s="181">
        <v>0.93676902087574598</v>
      </c>
      <c r="BD20" s="181">
        <v>0.93676902087574598</v>
      </c>
      <c r="BE20" s="181">
        <v>0.93676902087574598</v>
      </c>
      <c r="BF20" s="181">
        <v>0.93676902087574598</v>
      </c>
      <c r="BG20" s="181">
        <v>0.93676902087574598</v>
      </c>
      <c r="BH20" s="181">
        <v>0.93676902087574598</v>
      </c>
      <c r="BI20" s="182">
        <v>3639311303.4173899</v>
      </c>
      <c r="BJ20" s="182"/>
      <c r="BK20" s="182"/>
      <c r="BL20" s="182">
        <v>2.4173581555363199E-10</v>
      </c>
      <c r="BM20" s="182"/>
      <c r="BN20" s="182">
        <v>4.4170000000000001E-11</v>
      </c>
      <c r="BO20" s="189">
        <f>AP20/BI20</f>
        <v>2.4028944916294775E-10</v>
      </c>
      <c r="BP20" s="189"/>
      <c r="BQ20" s="189"/>
      <c r="BR20" s="184">
        <v>3.3782423562883098E-4</v>
      </c>
      <c r="BS20" s="184"/>
      <c r="BT20" s="232">
        <f t="shared" si="56"/>
        <v>2298.228366828082</v>
      </c>
      <c r="BU20" s="183"/>
      <c r="BV20" s="183">
        <v>2298.228366828082</v>
      </c>
      <c r="BW20" s="183"/>
      <c r="BX20" s="191">
        <f t="shared" si="57"/>
        <v>2588.5890241203952</v>
      </c>
      <c r="BY20" s="191"/>
      <c r="BZ20" s="185">
        <v>66.600000000000009</v>
      </c>
      <c r="CA20" s="186">
        <f t="shared" si="58"/>
        <v>4192480.558023226</v>
      </c>
      <c r="CB20" s="180">
        <v>2.0984042115629121E-7</v>
      </c>
      <c r="CC20" s="180"/>
      <c r="CD20" s="180"/>
      <c r="CE20" s="180"/>
      <c r="CF20" s="180"/>
      <c r="CG20" s="180"/>
      <c r="CH20" s="192">
        <f t="shared" si="59"/>
        <v>4167395.8887993586</v>
      </c>
      <c r="CI20" s="192"/>
      <c r="CJ20" s="192"/>
      <c r="CK20" s="192"/>
      <c r="CL20" s="192"/>
      <c r="CM20" s="192"/>
      <c r="CN20" s="22">
        <f t="shared" si="37"/>
        <v>1184747534.927346</v>
      </c>
      <c r="CO20" s="8">
        <f t="shared" si="60"/>
        <v>8.4406168446792717E-10</v>
      </c>
      <c r="CP20"/>
      <c r="CQ20"/>
      <c r="CR20"/>
      <c r="CS20" s="4"/>
      <c r="CT20" s="8"/>
      <c r="CU20" s="11">
        <f t="shared" si="14"/>
        <v>3.7909466768309286E+28</v>
      </c>
      <c r="CV20" s="11">
        <f t="shared" si="15"/>
        <v>1.0729957916880337E-11</v>
      </c>
      <c r="CY20"/>
      <c r="CZ20" s="4"/>
      <c r="DA20" s="4"/>
      <c r="DB20" s="4"/>
    </row>
    <row r="21" spans="1:108" x14ac:dyDescent="0.25">
      <c r="A21" s="4" t="s">
        <v>75</v>
      </c>
      <c r="B21" s="31"/>
      <c r="C21" s="31"/>
      <c r="D21" s="31"/>
      <c r="E21" s="11">
        <v>2</v>
      </c>
      <c r="F21" s="25">
        <v>57.97</v>
      </c>
      <c r="G21" s="25">
        <v>57.23</v>
      </c>
      <c r="H21" s="22">
        <f t="shared" si="48"/>
        <v>9.6961891543000003E-26</v>
      </c>
      <c r="I21" s="22">
        <f t="shared" si="49"/>
        <v>5.2133013788799995E-29</v>
      </c>
      <c r="J21" s="24">
        <f t="shared" si="50"/>
        <v>1883.9431857125064</v>
      </c>
      <c r="K21" s="24">
        <f t="shared" si="51"/>
        <v>1.0129302813209855</v>
      </c>
      <c r="L21" s="26">
        <f t="shared" si="52"/>
        <v>9.6909758529211207E-26</v>
      </c>
      <c r="M21" s="4">
        <v>164.240723</v>
      </c>
      <c r="N21" s="11">
        <f>10^(-1.2675+1704/P21+0/P21^2)/1000</f>
        <v>8.0532167424896099E-3</v>
      </c>
      <c r="O21" s="27">
        <f t="shared" si="53"/>
        <v>1.2755102040816326E-3</v>
      </c>
      <c r="P21" s="4">
        <v>784</v>
      </c>
      <c r="Q21" s="4">
        <v>4.607843109406244E-5</v>
      </c>
      <c r="R21" s="4">
        <v>3.4092675768507421E-4</v>
      </c>
      <c r="V21" s="22">
        <f>0.63*(T6+U6)+0.37*('MFP-rsum'!R22+'MFP-rsum'!S22)</f>
        <v>2.8818000000000003E-10</v>
      </c>
      <c r="X21" s="8">
        <v>2996639.6639999989</v>
      </c>
      <c r="Y21" s="4">
        <v>1451.7494609289899</v>
      </c>
      <c r="AC21" s="4">
        <v>2</v>
      </c>
      <c r="AD21" s="4">
        <v>4</v>
      </c>
      <c r="AE21" s="11">
        <f>AC21+AD21</f>
        <v>6</v>
      </c>
      <c r="AH21" s="178"/>
      <c r="AI21" s="178"/>
      <c r="AJ21" s="193"/>
      <c r="AK21" s="193">
        <v>0.40681841362637555</v>
      </c>
      <c r="AL21" s="193">
        <v>-1.5821741489524006E-4</v>
      </c>
      <c r="AM21" s="200">
        <v>1250</v>
      </c>
      <c r="AN21" s="200">
        <f t="shared" si="61"/>
        <v>0.21695751575208747</v>
      </c>
      <c r="AO21" s="200">
        <f t="shared" si="54"/>
        <v>0.20904664500732548</v>
      </c>
      <c r="AP21" s="199">
        <f t="shared" si="55"/>
        <v>0.28277596034850733</v>
      </c>
      <c r="AQ21" s="178" t="s">
        <v>185</v>
      </c>
      <c r="AR21" s="199">
        <v>0.31391915321698299</v>
      </c>
      <c r="AS21" s="199">
        <f t="shared" si="4"/>
        <v>0.26539205378729858</v>
      </c>
      <c r="AT21" s="199">
        <f t="shared" si="5"/>
        <v>0.30071201279338977</v>
      </c>
      <c r="AU21" s="199">
        <f t="shared" si="6"/>
        <v>0.30071201279338977</v>
      </c>
      <c r="AV21" s="199">
        <f t="shared" si="23"/>
        <v>0.26539205378729858</v>
      </c>
      <c r="AW21" s="178">
        <v>0.29301529878909899</v>
      </c>
      <c r="AX21" s="178">
        <v>0.29301529878909899</v>
      </c>
      <c r="AY21" s="178"/>
      <c r="AZ21" s="178">
        <v>3.0068514500000001E-10</v>
      </c>
      <c r="BA21" s="178">
        <v>2.7233884546184811E-10</v>
      </c>
      <c r="BB21" s="201">
        <f>AP21/1.45914569323326E-07</f>
        <v>1937955.624718433</v>
      </c>
      <c r="BC21" s="181">
        <v>0.30884033107708703</v>
      </c>
      <c r="BD21" s="181">
        <v>0.30884033107708703</v>
      </c>
      <c r="BE21" s="181">
        <v>0.30884033107708703</v>
      </c>
      <c r="BF21" s="181">
        <v>0.30884033107708703</v>
      </c>
      <c r="BG21" s="181">
        <v>0.30884033107708703</v>
      </c>
      <c r="BH21" s="181">
        <v>0.30884033107708703</v>
      </c>
      <c r="BI21" s="182">
        <v>974492101.32778299</v>
      </c>
      <c r="BJ21" s="182"/>
      <c r="BK21" s="182"/>
      <c r="BL21" s="182">
        <v>3.1692440673072701E-10</v>
      </c>
      <c r="BM21" s="182"/>
      <c r="BN21" s="182">
        <v>5.9341049999999997E-11</v>
      </c>
      <c r="BO21" s="189">
        <f>AP21/BI21</f>
        <v>2.9017778590838672E-10</v>
      </c>
      <c r="BP21" s="189"/>
      <c r="BQ21" s="189"/>
      <c r="BR21" s="184">
        <v>2.12141712241654E-4</v>
      </c>
      <c r="BS21" s="184"/>
      <c r="BT21" s="232">
        <f t="shared" si="56"/>
        <v>1451.7494609289899</v>
      </c>
      <c r="BU21" s="183"/>
      <c r="BV21" s="183">
        <v>1451.7494609289899</v>
      </c>
      <c r="BW21" s="183"/>
      <c r="BX21" s="191">
        <f t="shared" si="57"/>
        <v>1332.9578486026016</v>
      </c>
      <c r="BY21" s="191"/>
      <c r="BZ21" s="185">
        <v>99.360600000000005</v>
      </c>
      <c r="CA21" s="186">
        <f t="shared" si="58"/>
        <v>2156336.4385642763</v>
      </c>
      <c r="CB21" s="180">
        <v>1.4322455696325306E-7</v>
      </c>
      <c r="CC21" s="180"/>
      <c r="CD21" s="180"/>
      <c r="CE21" s="180"/>
      <c r="CF21" s="180"/>
      <c r="CG21" s="180"/>
      <c r="CH21" s="192">
        <f t="shared" si="59"/>
        <v>1974353.8841670761</v>
      </c>
      <c r="CI21" s="192"/>
      <c r="CJ21" s="192"/>
      <c r="CK21" s="192"/>
      <c r="CL21" s="192"/>
      <c r="CM21" s="192"/>
      <c r="CN21" s="22">
        <f t="shared" si="37"/>
        <v>540202773.11765659</v>
      </c>
      <c r="CO21" s="8">
        <f t="shared" si="60"/>
        <v>1.8511567318115176E-9</v>
      </c>
      <c r="CP21"/>
      <c r="CQ21"/>
      <c r="CR21"/>
      <c r="CS21" s="4"/>
      <c r="CT21" s="8"/>
      <c r="CU21" s="11">
        <f t="shared" si="14"/>
        <v>1.306932518537073E+28</v>
      </c>
      <c r="CV21" s="11">
        <f t="shared" si="15"/>
        <v>1.6901960063072087E-11</v>
      </c>
      <c r="CY21"/>
      <c r="CZ21" s="4"/>
      <c r="DA21" s="4"/>
      <c r="DB21" s="4"/>
    </row>
    <row r="22" spans="1:108" x14ac:dyDescent="0.25">
      <c r="A22" s="4" t="s">
        <v>76</v>
      </c>
      <c r="B22" s="31"/>
      <c r="C22" s="31"/>
      <c r="D22" s="31"/>
      <c r="E22" s="11">
        <v>2</v>
      </c>
      <c r="F22" s="25">
        <v>55.701999999999998</v>
      </c>
      <c r="G22" s="25">
        <v>55.018000000000001</v>
      </c>
      <c r="H22" s="22">
        <f t="shared" si="48"/>
        <v>9.3168385073799999E-26</v>
      </c>
      <c r="I22" s="22">
        <f t="shared" si="49"/>
        <v>5.0118017694079994E-29</v>
      </c>
      <c r="J22" s="24">
        <f t="shared" si="50"/>
        <v>1882.0912368640552</v>
      </c>
      <c r="K22" s="24">
        <f t="shared" si="51"/>
        <v>1.0124322948853102</v>
      </c>
      <c r="L22" s="26">
        <f t="shared" si="52"/>
        <v>9.3118267056105916E-26</v>
      </c>
      <c r="M22" s="4">
        <v>156.23418179999999</v>
      </c>
      <c r="N22" s="11">
        <f>10^(-1.2179+1557/P22+0/P22^2)/1000</f>
        <v>5.8623181999963962E-3</v>
      </c>
      <c r="O22" s="27">
        <f>P22^-1</f>
        <v>1.2755102040816326E-3</v>
      </c>
      <c r="P22" s="4">
        <v>784</v>
      </c>
      <c r="Q22" s="4">
        <v>4.5172248870240592E-5</v>
      </c>
      <c r="R22" s="4">
        <v>3.4144514086291769E-4</v>
      </c>
      <c r="V22" s="22">
        <f>0.658*(U6+V6)+0.342*('MFP-rsum'!R22+'MFP-rsum'!S22)</f>
        <v>4.0688600000000005E-10</v>
      </c>
      <c r="X22" s="8">
        <v>2899543.8624</v>
      </c>
      <c r="Y22" s="4">
        <v>1470.4555590061771</v>
      </c>
      <c r="AC22" s="4">
        <v>2</v>
      </c>
      <c r="AD22" s="4">
        <v>4</v>
      </c>
      <c r="AE22" s="11">
        <f>AC22+AD22</f>
        <v>6</v>
      </c>
      <c r="AH22" s="178"/>
      <c r="AI22" s="178"/>
      <c r="AJ22" s="193"/>
      <c r="AK22" s="193">
        <v>-0.22568360742780519</v>
      </c>
      <c r="AL22" s="193">
        <v>5.768371746472709E-4</v>
      </c>
      <c r="AM22" s="200">
        <v>1250</v>
      </c>
      <c r="AN22" s="200">
        <f t="shared" si="61"/>
        <v>0.46652100214891984</v>
      </c>
      <c r="AO22" s="200">
        <f t="shared" si="54"/>
        <v>0.4953628608812834</v>
      </c>
      <c r="AP22" s="199">
        <f t="shared" si="55"/>
        <v>0.22655673749565519</v>
      </c>
      <c r="AQ22" s="178" t="s">
        <v>186</v>
      </c>
      <c r="AR22" s="199">
        <v>0.33909843992678401</v>
      </c>
      <c r="AS22" s="199">
        <f t="shared" si="4"/>
        <v>0.28667900791014594</v>
      </c>
      <c r="AT22" s="199">
        <f t="shared" si="5"/>
        <v>0.42874143670882131</v>
      </c>
      <c r="AU22" s="199">
        <f t="shared" si="6"/>
        <v>0.42874143670882131</v>
      </c>
      <c r="AV22" s="199">
        <f t="shared" si="23"/>
        <v>0.28667900791014594</v>
      </c>
      <c r="AW22" s="178">
        <v>0.316517898560285</v>
      </c>
      <c r="AX22" s="178">
        <v>0.316517898560285</v>
      </c>
      <c r="AY22" s="178"/>
      <c r="AZ22" s="178">
        <v>3.0068514500000001E-10</v>
      </c>
      <c r="BA22" s="178">
        <v>2.7233884546184811E-10</v>
      </c>
      <c r="BB22" s="201">
        <f>AP22/1.47819962437806E-07</f>
        <v>1532653.1935155715</v>
      </c>
      <c r="BC22" s="181">
        <v>0.32145693534244602</v>
      </c>
      <c r="BD22" s="181">
        <v>0.32145693534244602</v>
      </c>
      <c r="BE22" s="181">
        <v>0.32145693534244602</v>
      </c>
      <c r="BF22" s="181">
        <v>0.32145693534244602</v>
      </c>
      <c r="BG22" s="181">
        <v>0.32145693534244602</v>
      </c>
      <c r="BH22" s="181">
        <v>0.32145693534244602</v>
      </c>
      <c r="BI22" s="182">
        <v>1014301607.94012</v>
      </c>
      <c r="BJ22" s="182"/>
      <c r="BK22" s="182"/>
      <c r="BL22" s="182">
        <v>3.1692440673072701E-10</v>
      </c>
      <c r="BM22" s="182"/>
      <c r="BN22" s="182">
        <v>5.9682537999999999E-11</v>
      </c>
      <c r="BO22" s="189">
        <f>AP22/BI22</f>
        <v>2.2336229748837205E-10</v>
      </c>
      <c r="BP22" s="189"/>
      <c r="BQ22" s="189"/>
      <c r="BR22" s="184">
        <v>2.1796182243284901E-4</v>
      </c>
      <c r="BS22" s="184"/>
      <c r="BT22" s="232">
        <f t="shared" si="56"/>
        <v>1470.4555590061771</v>
      </c>
      <c r="BU22" s="183"/>
      <c r="BV22" s="183">
        <v>1470.4555590061771</v>
      </c>
      <c r="BW22" s="183"/>
      <c r="BX22" s="191">
        <f t="shared" si="57"/>
        <v>1039.4331216672322</v>
      </c>
      <c r="BY22" s="191"/>
      <c r="BZ22" s="185">
        <v>97.109960000000001</v>
      </c>
      <c r="CA22" s="186">
        <f t="shared" si="58"/>
        <v>2149770.3220167966</v>
      </c>
      <c r="CB22" s="180">
        <v>1.4953082757272077E-7</v>
      </c>
      <c r="CC22" s="180"/>
      <c r="CD22" s="180"/>
      <c r="CE22" s="180"/>
      <c r="CF22" s="180"/>
      <c r="CG22" s="180"/>
      <c r="CH22" s="192">
        <f t="shared" si="59"/>
        <v>1515117.258248803</v>
      </c>
      <c r="CI22" s="192"/>
      <c r="CJ22" s="192"/>
      <c r="CK22" s="192"/>
      <c r="CL22" s="192"/>
      <c r="CM22" s="192"/>
      <c r="CN22" s="22">
        <f t="shared" si="37"/>
        <v>727297673.99028981</v>
      </c>
      <c r="CO22" s="8">
        <f t="shared" si="60"/>
        <v>1.3749528367298905E-9</v>
      </c>
      <c r="CP22"/>
      <c r="CQ22"/>
      <c r="CR22"/>
      <c r="CS22" s="4"/>
      <c r="CT22" s="8"/>
      <c r="CU22" s="11">
        <f t="shared" si="14"/>
        <v>1.3331503634673758E+28</v>
      </c>
      <c r="CV22" s="11">
        <f t="shared" si="15"/>
        <v>1.6734937144092352E-11</v>
      </c>
      <c r="CY22"/>
      <c r="CZ22" s="4"/>
      <c r="DA22" s="4"/>
      <c r="DB22" s="4"/>
    </row>
    <row r="23" spans="1:108" x14ac:dyDescent="0.25">
      <c r="A23" s="19" t="s">
        <v>54</v>
      </c>
      <c r="B23" s="31">
        <v>0.01</v>
      </c>
      <c r="C23" s="31"/>
      <c r="D23" s="31"/>
      <c r="E23" s="23">
        <v>1</v>
      </c>
      <c r="F23" s="23">
        <v>10</v>
      </c>
      <c r="G23" s="23">
        <v>10</v>
      </c>
      <c r="H23" s="22">
        <f t="shared" si="48"/>
        <v>1.6726219000000001E-26</v>
      </c>
      <c r="I23" s="22">
        <f t="shared" si="49"/>
        <v>9.1093856E-30</v>
      </c>
      <c r="J23" s="24">
        <f t="shared" si="50"/>
        <v>1836.1522647586683</v>
      </c>
      <c r="K23" s="24">
        <f t="shared" si="51"/>
        <v>1</v>
      </c>
      <c r="L23" s="26">
        <f t="shared" si="52"/>
        <v>1.6717109614400002E-26</v>
      </c>
      <c r="M23" s="9">
        <v>18.015000000000001</v>
      </c>
      <c r="N23" s="21">
        <v>1.7930000000000001E-3</v>
      </c>
      <c r="O23" s="27">
        <f t="shared" si="53"/>
        <v>3.6609921288669233E-3</v>
      </c>
      <c r="P23" s="4">
        <v>273.14999999999998</v>
      </c>
      <c r="Q23" s="18">
        <v>1.802E-5</v>
      </c>
      <c r="R23" s="18">
        <v>5.1E-5</v>
      </c>
      <c r="V23" s="22">
        <v>3.1000000000000002E-10</v>
      </c>
      <c r="W23" s="22"/>
      <c r="X23" s="8">
        <v>999840</v>
      </c>
      <c r="Y23" s="4">
        <v>1403</v>
      </c>
      <c r="Z23" s="4">
        <v>0</v>
      </c>
      <c r="AA23" s="18">
        <v>999840</v>
      </c>
      <c r="AB23" s="4">
        <v>0</v>
      </c>
      <c r="AH23" s="188"/>
      <c r="AI23" s="188"/>
      <c r="AJ23" s="194"/>
      <c r="AK23" s="194">
        <v>0.60089999999999999</v>
      </c>
      <c r="AL23" s="194"/>
      <c r="AM23" s="233">
        <v>295</v>
      </c>
      <c r="AN23" s="233"/>
      <c r="AO23" s="200">
        <f t="shared" si="54"/>
        <v>0.60089999999999999</v>
      </c>
      <c r="AP23" s="199">
        <f t="shared" si="55"/>
        <v>0.60089999999999999</v>
      </c>
      <c r="AQ23" s="188" t="s">
        <v>187</v>
      </c>
      <c r="AR23" s="244"/>
      <c r="AS23" s="199">
        <f t="shared" si="4"/>
        <v>0</v>
      </c>
      <c r="AT23" s="199">
        <f t="shared" si="5"/>
        <v>0.60645622271550126</v>
      </c>
      <c r="AU23" s="199">
        <f t="shared" si="6"/>
        <v>0.60645622271550126</v>
      </c>
      <c r="AV23" s="188"/>
      <c r="AW23" s="188"/>
      <c r="AX23" s="188"/>
      <c r="AY23" s="188"/>
      <c r="AZ23" s="188"/>
      <c r="BA23" s="188"/>
      <c r="BB23" s="201">
        <v>4218973.6676481161</v>
      </c>
      <c r="BC23" s="181">
        <f>$BI$23*BL23</f>
        <v>0.55623382223307438</v>
      </c>
      <c r="BD23" s="181">
        <v>0.55623382223307438</v>
      </c>
      <c r="BE23" s="181">
        <v>0.55623382223307438</v>
      </c>
      <c r="BF23" s="181">
        <v>0.55623382223307438</v>
      </c>
      <c r="BG23" s="181">
        <v>0.55623382223307438</v>
      </c>
      <c r="BH23" s="181">
        <v>0.55623382223307438</v>
      </c>
      <c r="BI23" s="182">
        <f>1/3*CA23*Y23</f>
        <v>1956310395.8564556</v>
      </c>
      <c r="BJ23" s="182"/>
      <c r="BK23" s="182"/>
      <c r="BL23" s="182">
        <v>2.8432800000000002E-10</v>
      </c>
      <c r="BM23" s="182"/>
      <c r="BN23" s="182">
        <f>V23</f>
        <v>3.1000000000000002E-10</v>
      </c>
      <c r="BO23" s="190">
        <f>AP23/(1/3*CA23*Y23)</f>
        <v>3.0715984604116529E-10</v>
      </c>
      <c r="BP23" s="190"/>
      <c r="BQ23" s="190"/>
      <c r="BR23" s="184">
        <f>BC23/BT23</f>
        <v>3.9646031520532745E-4</v>
      </c>
      <c r="BS23" s="184"/>
      <c r="BT23" s="232">
        <f t="shared" si="56"/>
        <v>1403</v>
      </c>
      <c r="BU23" s="183"/>
      <c r="BV23" s="183">
        <v>1403</v>
      </c>
      <c r="BW23" s="183"/>
      <c r="BX23" s="191">
        <f t="shared" si="57"/>
        <v>1515.6624180374595</v>
      </c>
      <c r="BY23" s="191"/>
      <c r="BZ23" s="185">
        <v>75.38</v>
      </c>
      <c r="CA23" s="186">
        <f t="shared" si="58"/>
        <v>4183129.8557158709</v>
      </c>
      <c r="CB23" s="180">
        <v>1.32970728E-7</v>
      </c>
      <c r="CC23" s="180"/>
      <c r="CD23" s="180"/>
      <c r="CE23" s="180"/>
      <c r="CF23" s="180"/>
      <c r="CG23" s="180"/>
      <c r="CH23" s="192">
        <f t="shared" si="59"/>
        <v>4519039.7092508962</v>
      </c>
      <c r="CI23" s="192"/>
      <c r="CJ23" s="192"/>
      <c r="CK23" s="192"/>
      <c r="CL23" s="192"/>
      <c r="CM23" s="192"/>
      <c r="CN23" s="22">
        <f t="shared" si="37"/>
        <v>782362253.20691574</v>
      </c>
      <c r="CO23" s="8">
        <f t="shared" si="60"/>
        <v>1.2781802750592626E-9</v>
      </c>
      <c r="CP23"/>
      <c r="CQ23"/>
      <c r="CR23"/>
      <c r="CS23" s="4"/>
      <c r="CT23" s="8"/>
      <c r="CU23" s="11">
        <f t="shared" si="14"/>
        <v>3.341920088790233E+28</v>
      </c>
      <c r="CV23" s="11">
        <f t="shared" si="15"/>
        <v>6.2389024308471206E-12</v>
      </c>
      <c r="CY23"/>
      <c r="CZ23" s="4"/>
      <c r="DA23" s="4"/>
      <c r="DB23" s="4"/>
    </row>
    <row r="24" spans="1:108" x14ac:dyDescent="0.25">
      <c r="O24" s="4"/>
      <c r="P24" s="4"/>
      <c r="AO24" s="108"/>
      <c r="AP24" s="108"/>
      <c r="AQ24" s="108"/>
      <c r="AR24" s="108"/>
      <c r="AS24" s="108"/>
      <c r="AT24" s="108"/>
      <c r="AU24" s="108"/>
      <c r="AV24" s="108"/>
      <c r="AW24" s="108"/>
      <c r="AX24" s="108"/>
      <c r="AY24" s="108"/>
      <c r="AZ24" s="108"/>
      <c r="BA24" s="108"/>
      <c r="BB24" s="108"/>
      <c r="BC24" s="108"/>
      <c r="BD24" s="108"/>
      <c r="BE24" s="108"/>
      <c r="BF24" s="108"/>
      <c r="BG24" s="108"/>
      <c r="BH24" s="108"/>
      <c r="BI24" s="108"/>
      <c r="BJ24" s="108"/>
      <c r="BK24" s="108"/>
      <c r="BL24" s="108"/>
      <c r="BM24" s="108"/>
      <c r="BN24" s="108"/>
      <c r="BO24" s="108"/>
      <c r="BP24" s="108"/>
      <c r="BQ24" s="108"/>
      <c r="BR24" s="108"/>
      <c r="BS24" s="108"/>
      <c r="BT24" s="108"/>
      <c r="BU24" s="108"/>
      <c r="BV24" s="108"/>
      <c r="BW24" s="108"/>
      <c r="BX24" s="108"/>
      <c r="BY24" s="131"/>
      <c r="BZ24" s="131"/>
      <c r="CA24" s="108"/>
      <c r="CB24" s="108"/>
      <c r="CF24" s="131"/>
      <c r="CG24" s="131"/>
      <c r="CH24" s="131"/>
      <c r="CI24" s="131"/>
      <c r="CJ24" s="131"/>
      <c r="CK24" s="131"/>
      <c r="CL24" s="131"/>
      <c r="CP24" s="108"/>
      <c r="CQ24" s="108"/>
      <c r="CR24" s="108"/>
      <c r="CZ24" s="146"/>
    </row>
    <row r="25" spans="1:108" x14ac:dyDescent="0.25">
      <c r="O25" s="4"/>
      <c r="P25" s="4"/>
      <c r="CO25" s="58">
        <f>1/3*BT6*0.0000000004</f>
        <v>2.3249066666666664E-7</v>
      </c>
      <c r="CP25" s="58">
        <f>1/3*BU6*0.0000000004</f>
        <v>2.9757866666666668E-7</v>
      </c>
      <c r="CS25" s="58">
        <f>$AP6/($CP25)</f>
        <v>1567652.6991182163</v>
      </c>
      <c r="CT25" s="58">
        <f>$AP6/($CO25)</f>
        <v>2006532.1618645624</v>
      </c>
    </row>
    <row r="26" spans="1:108" x14ac:dyDescent="0.25">
      <c r="O26" s="4"/>
      <c r="P26" s="4"/>
      <c r="BS26" s="57">
        <v>0</v>
      </c>
      <c r="CO26" s="58">
        <f>1/3*BT5*0.000000000375</f>
        <v>2.5529968125E-7</v>
      </c>
      <c r="CP26" s="58">
        <f>1/3*BU5*0.000000000375</f>
        <v>3.4639984062500002E-7</v>
      </c>
      <c r="CS26" s="58">
        <f>$AP5/($CP26)</f>
        <v>1768476.5642348512</v>
      </c>
      <c r="CT26" s="58">
        <f>$AP5/($CO26)</f>
        <v>2399532.9606389785</v>
      </c>
    </row>
    <row r="27" spans="1:108" x14ac:dyDescent="0.25">
      <c r="L27" s="23" t="s">
        <v>21</v>
      </c>
      <c r="M27" s="23">
        <v>5.6672851556149997</v>
      </c>
      <c r="O27" s="4"/>
      <c r="P27" s="4"/>
      <c r="BS27" s="57">
        <v>250</v>
      </c>
      <c r="CO27" s="58">
        <f>1/3*BT7*0.00000000045</f>
        <v>2.3957759999999995E-7</v>
      </c>
      <c r="CP27" s="58">
        <f>1/3*BU7*0.00000000045</f>
        <v>2.9678879999999993E-7</v>
      </c>
      <c r="CS27" s="58">
        <f>$AP7/($CP27)</f>
        <v>1196305.2514111048</v>
      </c>
      <c r="CT27" s="58">
        <f>$AP7/($CO27)</f>
        <v>1481983.2905914413</v>
      </c>
    </row>
    <row r="28" spans="1:108" x14ac:dyDescent="0.25">
      <c r="L28" s="23" t="s">
        <v>22</v>
      </c>
      <c r="M28" s="23">
        <v>3.6125286079999999</v>
      </c>
      <c r="O28" s="4"/>
      <c r="P28" s="4"/>
      <c r="CO28" s="58">
        <f>1/3*BT8*0.00000000028</f>
        <v>2.3779466666666668E-7</v>
      </c>
      <c r="CP28" s="58">
        <f>1/3*BU8*0.00000000028</f>
        <v>2.8223066666666669E-7</v>
      </c>
      <c r="CS28" s="58">
        <f>$AP8/($CP28)</f>
        <v>4716886.4238707814</v>
      </c>
      <c r="CT28" s="58">
        <f>$AP8/($CO28)</f>
        <v>5598317.3157794401</v>
      </c>
    </row>
    <row r="29" spans="1:108" x14ac:dyDescent="0.25">
      <c r="L29" s="23" t="s">
        <v>23</v>
      </c>
      <c r="M29" s="23">
        <v>2.1603079999999997</v>
      </c>
      <c r="O29" s="4"/>
      <c r="P29" s="4"/>
      <c r="BY29" s="100"/>
      <c r="BZ29" s="100"/>
      <c r="CF29" s="100"/>
      <c r="CO29" s="58">
        <f>1/3*BT9*0.00000000034</f>
        <v>2.3635666666666666E-7</v>
      </c>
      <c r="CP29" s="58">
        <f>1/3*BU9*0.00000000034</f>
        <v>2.7231166666666664E-7</v>
      </c>
      <c r="CS29" s="58">
        <f>$AP9/($CP29)</f>
        <v>3040266.3614608264</v>
      </c>
      <c r="CT29" s="58">
        <f>$AP9/($CO29)</f>
        <v>3502757.1325821145</v>
      </c>
    </row>
    <row r="30" spans="1:108" s="18" customFormat="1" x14ac:dyDescent="0.25">
      <c r="A30" s="19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11"/>
      <c r="N30" s="20"/>
      <c r="O30" s="4"/>
      <c r="P30" s="4"/>
      <c r="S30"/>
      <c r="V30" s="13"/>
      <c r="W30" s="13"/>
      <c r="X30" s="8"/>
      <c r="Y30" s="4"/>
      <c r="Z30" s="4"/>
      <c r="AA30" s="4"/>
      <c r="AB30" s="4"/>
      <c r="AC30" s="4"/>
      <c r="AD30" s="4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57"/>
      <c r="BF30" s="57"/>
      <c r="BG30" s="57"/>
      <c r="BH30" s="57"/>
      <c r="BI30" s="57"/>
      <c r="BJ30" s="57"/>
      <c r="BK30" s="57"/>
      <c r="BL30" s="57"/>
      <c r="BM30" s="57"/>
      <c r="BN30" s="57"/>
      <c r="BO30" s="57"/>
      <c r="BP30" s="57"/>
      <c r="BQ30" s="57"/>
      <c r="BR30" s="57"/>
      <c r="BS30" s="57"/>
      <c r="BT30" s="57"/>
      <c r="BU30" s="57"/>
      <c r="BV30" s="57"/>
      <c r="BW30" s="57"/>
      <c r="BX30" s="57"/>
      <c r="BY30" s="57"/>
      <c r="BZ30" s="57"/>
      <c r="CA30" s="57"/>
      <c r="CB30" s="57"/>
      <c r="CC30" s="11"/>
      <c r="CD30" s="11"/>
      <c r="CF30" s="57"/>
      <c r="CG30" s="58"/>
      <c r="CH30" s="58"/>
      <c r="CI30" s="58"/>
      <c r="CJ30" s="58"/>
      <c r="CK30" s="58"/>
      <c r="CL30" s="58"/>
      <c r="CM30" s="57"/>
      <c r="CN30" s="57"/>
      <c r="CO30" s="58">
        <f>1/3*BT10*0.000000000375</f>
        <v>2.2705000000000001E-7</v>
      </c>
      <c r="CP30" s="58">
        <f>1/3*BU10*0.000000000375</f>
        <v>2.6102499999999997E-7</v>
      </c>
      <c r="CQ30" s="57"/>
      <c r="CR30" s="57"/>
      <c r="CS30" s="58">
        <f>$AP10/($CP30)</f>
        <v>2183698.8794176802</v>
      </c>
      <c r="CT30" s="58">
        <f>$AP10/($CO30)</f>
        <v>2510460.2510460247</v>
      </c>
      <c r="CU30" s="59"/>
      <c r="CY30" s="59"/>
      <c r="DB30"/>
      <c r="DC30" s="4"/>
      <c r="DD30" s="4"/>
    </row>
    <row r="31" spans="1:108" s="18" customFormat="1" x14ac:dyDescent="0.25">
      <c r="A31" s="19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9"/>
      <c r="N31" s="20"/>
      <c r="O31" s="4"/>
      <c r="P31" s="4"/>
      <c r="S31"/>
      <c r="V31" s="13"/>
      <c r="W31" s="13"/>
      <c r="X31" s="8"/>
      <c r="Y31" s="4"/>
      <c r="Z31" s="4"/>
      <c r="AA31" s="4"/>
      <c r="AB31" s="4"/>
      <c r="AC31" s="4"/>
      <c r="AD31" s="4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57"/>
      <c r="BF31" s="57"/>
      <c r="BG31" s="57"/>
      <c r="BH31" s="57"/>
      <c r="BI31" s="57"/>
      <c r="BJ31" s="57"/>
      <c r="BK31" s="57"/>
      <c r="BL31" s="57"/>
      <c r="BM31" s="57"/>
      <c r="BN31" s="57"/>
      <c r="BO31" s="57"/>
      <c r="BP31" s="57"/>
      <c r="BQ31" s="57"/>
      <c r="BR31" s="57"/>
      <c r="BS31" s="57"/>
      <c r="BT31" s="57"/>
      <c r="BU31" s="57"/>
      <c r="BV31" s="57"/>
      <c r="BW31" s="57"/>
      <c r="BX31" s="57"/>
      <c r="BY31" s="57"/>
      <c r="BZ31" s="57"/>
      <c r="CA31" s="57"/>
      <c r="CB31" s="57"/>
      <c r="CC31" s="11"/>
      <c r="CD31" s="11"/>
      <c r="CF31" s="57"/>
      <c r="CG31" s="153">
        <v>3200</v>
      </c>
      <c r="CH31" s="58"/>
      <c r="CI31" s="197"/>
      <c r="CJ31" s="197"/>
      <c r="CK31" s="197"/>
      <c r="CL31" s="153"/>
      <c r="CM31" s="57"/>
      <c r="CN31" s="57"/>
      <c r="CO31" s="57"/>
      <c r="CP31" s="57"/>
      <c r="CQ31" s="57"/>
      <c r="CR31" s="57"/>
      <c r="CS31" s="59"/>
      <c r="CT31" s="57"/>
      <c r="CU31" s="59"/>
      <c r="CY31" s="59"/>
      <c r="DB31"/>
      <c r="DC31" s="4"/>
      <c r="DD31" s="4"/>
    </row>
    <row r="32" spans="1:108" s="18" customFormat="1" x14ac:dyDescent="0.25">
      <c r="A32" s="19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9"/>
      <c r="N32" s="20"/>
      <c r="O32" s="4"/>
      <c r="P32" s="4"/>
      <c r="S32"/>
      <c r="V32" s="13"/>
      <c r="W32" s="13"/>
      <c r="X32" s="8"/>
      <c r="Y32" s="4"/>
      <c r="Z32" s="4"/>
      <c r="AA32" s="4"/>
      <c r="AB32" s="4"/>
      <c r="AC32" s="4"/>
      <c r="AD32" s="4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57"/>
      <c r="BF32" s="57"/>
      <c r="BG32" s="57"/>
      <c r="BH32" s="57"/>
      <c r="BI32" s="57"/>
      <c r="BJ32" s="57"/>
      <c r="BK32" s="57"/>
      <c r="BL32" s="57"/>
      <c r="BM32" s="57"/>
      <c r="BN32" s="57"/>
      <c r="BO32" s="57"/>
      <c r="BP32" s="57"/>
      <c r="BQ32" s="57"/>
      <c r="BR32" s="57"/>
      <c r="BS32" s="57"/>
      <c r="BT32" s="57"/>
      <c r="BU32" s="57"/>
      <c r="BV32" s="57"/>
      <c r="BW32" s="57"/>
      <c r="BX32" s="57"/>
      <c r="BY32" s="57"/>
      <c r="BZ32" s="57"/>
      <c r="CA32" s="57"/>
      <c r="CB32" s="57"/>
      <c r="CC32" s="11"/>
      <c r="CD32" s="11"/>
      <c r="CF32" s="57"/>
      <c r="CG32" s="153">
        <v>4770</v>
      </c>
      <c r="CH32" s="58"/>
      <c r="CI32" s="197"/>
      <c r="CJ32" s="197"/>
      <c r="CK32" s="197"/>
      <c r="CL32" s="153"/>
      <c r="CM32" s="57"/>
      <c r="CN32" s="57"/>
      <c r="CO32" s="57"/>
      <c r="CP32" s="57"/>
      <c r="CQ32" s="57"/>
      <c r="CR32" s="57"/>
      <c r="CS32" s="57"/>
      <c r="CT32" s="57"/>
      <c r="CU32" s="59"/>
      <c r="CY32" s="59"/>
      <c r="CZ32" s="59"/>
      <c r="DA32" s="57"/>
      <c r="DB32"/>
      <c r="DC32" s="4"/>
      <c r="DD32" s="4"/>
    </row>
    <row r="33" spans="1:108" s="18" customFormat="1" x14ac:dyDescent="0.25">
      <c r="A33" s="19"/>
      <c r="B33" s="23" t="s">
        <v>126</v>
      </c>
      <c r="C33" s="23" t="s">
        <v>127</v>
      </c>
      <c r="D33" s="23"/>
      <c r="E33" s="23" t="s">
        <v>128</v>
      </c>
      <c r="F33" s="23" t="s">
        <v>129</v>
      </c>
      <c r="G33" s="23" t="s">
        <v>132</v>
      </c>
      <c r="H33" s="23" t="s">
        <v>127</v>
      </c>
      <c r="I33" s="23" t="s">
        <v>128</v>
      </c>
      <c r="J33" s="23" t="s">
        <v>129</v>
      </c>
      <c r="K33" s="23" t="s">
        <v>133</v>
      </c>
      <c r="L33" s="23" t="s">
        <v>127</v>
      </c>
      <c r="M33" s="23" t="s">
        <v>128</v>
      </c>
      <c r="N33" s="23" t="s">
        <v>129</v>
      </c>
      <c r="O33" s="23" t="s">
        <v>133</v>
      </c>
      <c r="P33" s="23" t="s">
        <v>127</v>
      </c>
      <c r="Q33" s="23" t="s">
        <v>128</v>
      </c>
      <c r="R33" s="23" t="s">
        <v>129</v>
      </c>
      <c r="S33"/>
      <c r="V33" s="13"/>
      <c r="W33" s="13"/>
      <c r="X33" s="8"/>
      <c r="Y33" s="4"/>
      <c r="Z33" s="4"/>
      <c r="AA33" s="4"/>
      <c r="AB33" s="4"/>
      <c r="AC33" s="4"/>
      <c r="AD33" s="4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57"/>
      <c r="BF33" s="57"/>
      <c r="BG33" s="57"/>
      <c r="BH33" s="57"/>
      <c r="BI33" s="57"/>
      <c r="BJ33" s="57"/>
      <c r="BK33" s="57"/>
      <c r="BL33" s="57"/>
      <c r="BM33" s="57"/>
      <c r="BN33" s="57"/>
      <c r="BO33" s="57"/>
      <c r="BP33" s="57"/>
      <c r="BQ33" s="57"/>
      <c r="BR33" s="57"/>
      <c r="BS33" s="57"/>
      <c r="BT33" s="57"/>
      <c r="BU33" s="57"/>
      <c r="BV33" s="57"/>
      <c r="BW33" s="57"/>
      <c r="BX33" s="57"/>
      <c r="BY33" s="57"/>
      <c r="BZ33" s="57"/>
      <c r="CA33" s="57"/>
      <c r="CB33" s="57"/>
      <c r="CC33" s="11"/>
      <c r="CD33" s="11"/>
      <c r="CF33" s="57"/>
      <c r="CG33" s="153">
        <v>2030</v>
      </c>
      <c r="CH33" s="58"/>
      <c r="CI33" s="197"/>
      <c r="CJ33" s="197"/>
      <c r="CK33" s="197"/>
      <c r="CL33" s="153"/>
      <c r="CM33" s="57"/>
      <c r="CN33" s="57"/>
      <c r="CO33" s="57"/>
      <c r="CP33" s="57"/>
      <c r="CQ33" s="57"/>
      <c r="CR33" s="57"/>
      <c r="CS33" s="57"/>
      <c r="CT33" s="57"/>
      <c r="CU33" s="59"/>
      <c r="CY33" s="59"/>
      <c r="CZ33" s="59"/>
      <c r="DA33" s="57"/>
      <c r="DB33"/>
      <c r="DC33" s="4"/>
      <c r="DD33" s="4"/>
    </row>
    <row r="34" spans="1:108" s="18" customFormat="1" x14ac:dyDescent="0.25">
      <c r="A34" s="19"/>
      <c r="B34" s="23" t="s">
        <v>130</v>
      </c>
      <c r="C34" s="23">
        <v>453.7</v>
      </c>
      <c r="D34" s="23"/>
      <c r="E34" s="28">
        <v>24.8</v>
      </c>
      <c r="F34" s="171">
        <f>1/(E34*10^-8)</f>
        <v>4032258.064516129</v>
      </c>
      <c r="G34" s="23" t="s">
        <v>130</v>
      </c>
      <c r="H34" s="23">
        <v>371</v>
      </c>
      <c r="I34" s="28">
        <v>9.43</v>
      </c>
      <c r="J34" s="171">
        <f>1/(I34*10^-8)</f>
        <v>10604453.870625662</v>
      </c>
      <c r="K34" s="23" t="s">
        <v>130</v>
      </c>
      <c r="L34" s="23">
        <v>336.35</v>
      </c>
      <c r="M34" s="28">
        <v>13.95</v>
      </c>
      <c r="N34" s="171">
        <f>1/(M34*10^-8)</f>
        <v>7168458.7813620074</v>
      </c>
      <c r="O34" s="23" t="s">
        <v>130</v>
      </c>
      <c r="P34" s="23">
        <v>312.64</v>
      </c>
      <c r="Q34" s="28">
        <v>22.52</v>
      </c>
      <c r="R34" s="171">
        <f>1/(Q34*10^-8)</f>
        <v>4440497.3357015988</v>
      </c>
      <c r="S34"/>
      <c r="V34" s="13"/>
      <c r="W34" s="13"/>
      <c r="X34" s="8"/>
      <c r="Y34" s="4"/>
      <c r="Z34" s="4"/>
      <c r="AA34" s="4"/>
      <c r="AB34" s="4"/>
      <c r="AC34" s="4"/>
      <c r="AD34" s="4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/>
      <c r="BG34" s="57"/>
      <c r="BH34" s="57"/>
      <c r="BI34" s="57"/>
      <c r="BJ34" s="57"/>
      <c r="BK34" s="57"/>
      <c r="BL34" s="57"/>
      <c r="BM34" s="57"/>
      <c r="BN34" s="57"/>
      <c r="BO34" s="57"/>
      <c r="BP34" s="57"/>
      <c r="BQ34" s="57"/>
      <c r="BR34" s="57"/>
      <c r="BS34" s="57"/>
      <c r="BT34" s="57"/>
      <c r="BU34" s="57"/>
      <c r="BV34" s="57"/>
      <c r="BW34" s="57"/>
      <c r="BX34" s="57"/>
      <c r="BY34" s="57"/>
      <c r="BZ34" s="57"/>
      <c r="CA34" s="57"/>
      <c r="CB34" s="57"/>
      <c r="CC34" s="11"/>
      <c r="CD34" s="11"/>
      <c r="CF34" s="57"/>
      <c r="CG34" s="58"/>
      <c r="CH34" s="58"/>
      <c r="CI34" s="58"/>
      <c r="CJ34" s="58"/>
      <c r="CK34" s="58"/>
      <c r="CL34" s="58"/>
      <c r="CM34" s="57"/>
      <c r="CN34" s="57"/>
      <c r="CO34" s="57"/>
      <c r="CP34" s="57"/>
      <c r="CQ34" s="57"/>
      <c r="CR34" s="57"/>
      <c r="CS34" s="57"/>
      <c r="CT34" s="57"/>
      <c r="CU34" s="59"/>
      <c r="CY34" s="59"/>
      <c r="CZ34" s="59"/>
      <c r="DA34" s="57"/>
      <c r="DB34"/>
      <c r="DC34" s="4"/>
      <c r="DD34" s="4"/>
    </row>
    <row r="35" spans="1:108" s="18" customFormat="1" x14ac:dyDescent="0.25">
      <c r="A35" s="19"/>
      <c r="B35" s="172">
        <f>SLOPE(F34:F52,C34:C52)</f>
        <v>-1491.2997612252611</v>
      </c>
      <c r="C35" s="23">
        <v>500</v>
      </c>
      <c r="D35" s="23"/>
      <c r="E35" s="28">
        <v>26.33</v>
      </c>
      <c r="F35" s="171">
        <f t="shared" ref="F35:F52" si="62">1/(E35*10^-8)</f>
        <v>3797949.1074819602</v>
      </c>
      <c r="G35" s="172">
        <f>SLOPE(J34:J52,H34:H52)</f>
        <v>-5101.4401271895649</v>
      </c>
      <c r="H35" s="23">
        <v>400</v>
      </c>
      <c r="I35" s="28">
        <v>10.5</v>
      </c>
      <c r="J35" s="171">
        <f t="shared" ref="J35:J51" si="63">1/(I35*10^-8)</f>
        <v>9523809.5238095243</v>
      </c>
      <c r="K35" s="172">
        <f>SLOPE(N34:N52,L34:L52)</f>
        <v>-3671.4796302497452</v>
      </c>
      <c r="L35" s="23">
        <v>350</v>
      </c>
      <c r="M35" s="28">
        <v>14.64</v>
      </c>
      <c r="N35" s="171">
        <f t="shared" ref="N35:N52" si="64">1/(M35*10^-8)</f>
        <v>6830601.0928961746</v>
      </c>
      <c r="O35" s="172">
        <f>SLOPE(R34:R52,P34:P52)</f>
        <v>-2184.3569093429992</v>
      </c>
      <c r="P35" s="23">
        <v>350</v>
      </c>
      <c r="Q35" s="28">
        <v>25.42</v>
      </c>
      <c r="R35" s="171">
        <f t="shared" ref="R35:R52" si="65">1/(Q35*10^-8)</f>
        <v>3933910.3068450033</v>
      </c>
      <c r="S35"/>
      <c r="V35" s="13"/>
      <c r="W35" s="13"/>
      <c r="X35" s="8"/>
      <c r="Y35" s="4"/>
      <c r="Z35" s="4"/>
      <c r="AA35" s="4"/>
      <c r="AB35" s="4"/>
      <c r="AC35" s="4"/>
      <c r="AD35" s="4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57"/>
      <c r="BF35" s="57"/>
      <c r="BG35" s="57"/>
      <c r="BH35" s="57"/>
      <c r="BI35" s="57"/>
      <c r="BJ35" s="57"/>
      <c r="BK35" s="57"/>
      <c r="BL35" s="57"/>
      <c r="BM35" s="57"/>
      <c r="BN35" s="57"/>
      <c r="BO35" s="57"/>
      <c r="BP35" s="57"/>
      <c r="BQ35" s="57"/>
      <c r="BR35" s="57"/>
      <c r="BS35" s="57"/>
      <c r="BT35" s="57"/>
      <c r="BU35" s="57"/>
      <c r="BV35" s="57"/>
      <c r="BW35" s="57"/>
      <c r="BX35" s="57"/>
      <c r="BY35" s="58"/>
      <c r="BZ35" s="58"/>
      <c r="CA35" s="57"/>
      <c r="CB35" s="57"/>
      <c r="CC35" s="11"/>
      <c r="CD35" s="11"/>
      <c r="CF35" s="58"/>
      <c r="CG35" s="58"/>
      <c r="CH35" s="58"/>
      <c r="CI35" s="58"/>
      <c r="CJ35" s="58"/>
      <c r="CK35" s="58"/>
      <c r="CL35" s="58"/>
      <c r="CM35" s="57"/>
      <c r="CN35" s="57"/>
      <c r="CO35" s="57"/>
      <c r="CP35" s="57"/>
      <c r="CQ35" s="57"/>
      <c r="CR35" s="57"/>
      <c r="CS35" s="57"/>
      <c r="CT35" s="57"/>
      <c r="CU35" s="59"/>
      <c r="CY35" s="59"/>
      <c r="CZ35" s="59"/>
      <c r="DA35" s="57"/>
      <c r="DB35"/>
      <c r="DC35" s="4"/>
      <c r="DD35" s="4"/>
    </row>
    <row r="36" spans="1:108" s="18" customFormat="1" x14ac:dyDescent="0.25">
      <c r="A36" s="19"/>
      <c r="B36" s="23" t="s">
        <v>131</v>
      </c>
      <c r="C36" s="23">
        <v>600</v>
      </c>
      <c r="D36" s="23"/>
      <c r="E36" s="28">
        <v>29.34</v>
      </c>
      <c r="F36" s="171">
        <f t="shared" si="62"/>
        <v>3408316.2917518741</v>
      </c>
      <c r="G36" s="23" t="s">
        <v>131</v>
      </c>
      <c r="H36" s="23">
        <v>500</v>
      </c>
      <c r="I36" s="28">
        <v>14.36</v>
      </c>
      <c r="J36" s="171">
        <f t="shared" si="63"/>
        <v>6963788.3008356551</v>
      </c>
      <c r="K36" s="23" t="s">
        <v>131</v>
      </c>
      <c r="L36" s="23">
        <v>400</v>
      </c>
      <c r="M36" s="28">
        <v>17.18</v>
      </c>
      <c r="N36" s="171">
        <f t="shared" si="64"/>
        <v>5820721.7694994183</v>
      </c>
      <c r="O36" s="23" t="s">
        <v>131</v>
      </c>
      <c r="P36" s="23">
        <v>400</v>
      </c>
      <c r="Q36" s="28">
        <v>29.51</v>
      </c>
      <c r="R36" s="171">
        <f t="shared" si="65"/>
        <v>3388681.8027787185</v>
      </c>
      <c r="S36"/>
      <c r="V36" s="13"/>
      <c r="W36" s="13"/>
      <c r="X36" s="8"/>
      <c r="Y36" s="4"/>
      <c r="Z36" s="4"/>
      <c r="AA36" s="4"/>
      <c r="AB36" s="4"/>
      <c r="AC36" s="4"/>
      <c r="AD36" s="4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57"/>
      <c r="BG36" s="57"/>
      <c r="BH36" s="57"/>
      <c r="BI36" s="57"/>
      <c r="BJ36" s="57"/>
      <c r="BK36" s="57"/>
      <c r="BL36" s="57"/>
      <c r="BM36" s="57"/>
      <c r="BN36" s="57"/>
      <c r="BO36" s="57"/>
      <c r="BP36" s="57"/>
      <c r="BQ36" s="57"/>
      <c r="BR36" s="57"/>
      <c r="BS36" s="57"/>
      <c r="BT36" s="57"/>
      <c r="BU36" s="57"/>
      <c r="BV36" s="57"/>
      <c r="BW36" s="57"/>
      <c r="BX36" s="57"/>
      <c r="BY36" s="58"/>
      <c r="BZ36" s="58"/>
      <c r="CA36" s="57"/>
      <c r="CB36" s="57"/>
      <c r="CC36" s="11"/>
      <c r="CD36" s="11"/>
      <c r="CF36" s="58"/>
      <c r="CG36" s="58"/>
      <c r="CH36" s="58"/>
      <c r="CI36" s="58"/>
      <c r="CJ36" s="58"/>
      <c r="CK36" s="58"/>
      <c r="CL36" s="58"/>
      <c r="CM36" s="57"/>
      <c r="CN36" s="57"/>
      <c r="CO36" s="57"/>
      <c r="CP36" s="57"/>
      <c r="CQ36" s="57"/>
      <c r="CR36" s="57"/>
      <c r="CS36" s="57"/>
      <c r="CT36" s="57"/>
      <c r="CU36" s="59"/>
      <c r="CY36" s="59"/>
      <c r="CZ36" s="59"/>
      <c r="DA36" s="57"/>
      <c r="DB36"/>
      <c r="DC36" s="4"/>
      <c r="DD36" s="4"/>
    </row>
    <row r="37" spans="1:108" s="18" customFormat="1" x14ac:dyDescent="0.25">
      <c r="A37" s="19"/>
      <c r="B37" s="22">
        <f>INTERCEPT(F34:F52,C34:C52)</f>
        <v>4221516.3817144008</v>
      </c>
      <c r="C37" s="23">
        <v>700</v>
      </c>
      <c r="D37" s="23"/>
      <c r="E37" s="28">
        <v>32.1</v>
      </c>
      <c r="F37" s="171">
        <f t="shared" si="62"/>
        <v>3115264.7975077881</v>
      </c>
      <c r="G37" s="22">
        <f>INTERCEPT(J34:J52,H34:H52)</f>
        <v>9067740.7134940401</v>
      </c>
      <c r="H37" s="23">
        <v>600</v>
      </c>
      <c r="I37" s="28">
        <v>18.559999999999999</v>
      </c>
      <c r="J37" s="171">
        <f t="shared" si="63"/>
        <v>5387931.0344827585</v>
      </c>
      <c r="K37" s="22">
        <f>INTERCEPT(N34:N52,L34:L52)</f>
        <v>6274083.7728864588</v>
      </c>
      <c r="L37" s="23">
        <v>500</v>
      </c>
      <c r="M37" s="28">
        <v>22.91</v>
      </c>
      <c r="N37" s="171">
        <f t="shared" si="64"/>
        <v>4364906.1545176776</v>
      </c>
      <c r="O37" s="22">
        <f>INTERCEPT(R34:R52,P34:P52)</f>
        <v>3798018.3619082011</v>
      </c>
      <c r="P37" s="23">
        <v>500</v>
      </c>
      <c r="Q37" s="28">
        <v>38.270000000000003</v>
      </c>
      <c r="R37" s="171">
        <f t="shared" si="65"/>
        <v>2613012.8037627381</v>
      </c>
      <c r="S37"/>
      <c r="V37" s="13"/>
      <c r="W37" s="13"/>
      <c r="X37" s="8"/>
      <c r="Y37" s="4"/>
      <c r="Z37" s="4"/>
      <c r="AA37" s="4"/>
      <c r="AB37" s="4"/>
      <c r="AC37" s="4"/>
      <c r="AD37" s="4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7"/>
      <c r="BE37" s="57"/>
      <c r="BF37" s="57"/>
      <c r="BG37" s="57"/>
      <c r="BH37" s="57"/>
      <c r="BI37" s="57"/>
      <c r="BJ37" s="57"/>
      <c r="BK37" s="57"/>
      <c r="BL37" s="57"/>
      <c r="BM37" s="57"/>
      <c r="BN37" s="57"/>
      <c r="BO37" s="57"/>
      <c r="BP37" s="57"/>
      <c r="BQ37" s="57"/>
      <c r="BR37" s="57"/>
      <c r="BS37" s="57"/>
      <c r="BT37" s="57"/>
      <c r="BU37" s="57"/>
      <c r="BV37" s="57"/>
      <c r="BW37" s="57"/>
      <c r="BX37" s="57"/>
      <c r="BY37" s="58"/>
      <c r="BZ37" s="58"/>
      <c r="CA37" s="57"/>
      <c r="CB37" s="57"/>
      <c r="CC37" s="11"/>
      <c r="CD37" s="11"/>
      <c r="CF37" s="58"/>
      <c r="CG37" s="58"/>
      <c r="CH37" s="58"/>
      <c r="CI37" s="58"/>
      <c r="CJ37" s="58"/>
      <c r="CK37" s="58"/>
      <c r="CL37" s="58"/>
      <c r="CM37" s="57"/>
      <c r="CN37" s="57"/>
      <c r="CO37" s="57"/>
      <c r="CP37" s="57"/>
      <c r="CQ37" s="57"/>
      <c r="CR37" s="57"/>
      <c r="CS37" s="57"/>
      <c r="CT37" s="57"/>
      <c r="CU37" s="59"/>
      <c r="CY37" s="59"/>
      <c r="CZ37" s="59"/>
      <c r="DA37" s="57"/>
      <c r="DB37"/>
      <c r="DC37" s="4"/>
      <c r="DD37" s="4"/>
    </row>
    <row r="38" spans="1:108" x14ac:dyDescent="0.25">
      <c r="C38" s="23">
        <v>800</v>
      </c>
      <c r="E38" s="28">
        <v>34.71</v>
      </c>
      <c r="F38" s="171">
        <f t="shared" si="62"/>
        <v>2881014.1169691728</v>
      </c>
      <c r="H38" s="23">
        <v>700</v>
      </c>
      <c r="I38" s="28">
        <v>23.2</v>
      </c>
      <c r="J38" s="171">
        <f t="shared" si="63"/>
        <v>4310344.8275862075</v>
      </c>
      <c r="L38" s="23">
        <v>600</v>
      </c>
      <c r="M38" s="28">
        <v>29.58</v>
      </c>
      <c r="N38" s="171">
        <f t="shared" si="64"/>
        <v>3380662.6098715351</v>
      </c>
      <c r="O38" s="23"/>
      <c r="P38" s="23">
        <v>600</v>
      </c>
      <c r="Q38" s="28">
        <v>47.61</v>
      </c>
      <c r="R38" s="171">
        <f t="shared" si="65"/>
        <v>2100399.0758244069</v>
      </c>
    </row>
    <row r="39" spans="1:108" x14ac:dyDescent="0.25">
      <c r="C39" s="23">
        <v>900</v>
      </c>
      <c r="E39" s="28">
        <v>37.22</v>
      </c>
      <c r="F39" s="171">
        <f t="shared" si="62"/>
        <v>2686727.5658248253</v>
      </c>
      <c r="H39" s="23">
        <v>800</v>
      </c>
      <c r="I39" s="28">
        <v>28.38</v>
      </c>
      <c r="J39" s="171">
        <f t="shared" si="63"/>
        <v>3523608.1747709657</v>
      </c>
      <c r="L39" s="23">
        <v>700</v>
      </c>
      <c r="M39" s="28">
        <v>37.31</v>
      </c>
      <c r="N39" s="171">
        <f t="shared" si="64"/>
        <v>2680246.582685607</v>
      </c>
      <c r="O39" s="23"/>
      <c r="P39" s="23">
        <v>700</v>
      </c>
      <c r="Q39" s="28">
        <v>57.48</v>
      </c>
      <c r="R39" s="171">
        <f t="shared" si="65"/>
        <v>1739735.5601948504</v>
      </c>
    </row>
    <row r="40" spans="1:108" x14ac:dyDescent="0.25">
      <c r="C40" s="23">
        <v>1000</v>
      </c>
      <c r="E40" s="28">
        <v>39.69</v>
      </c>
      <c r="F40" s="171">
        <f t="shared" si="62"/>
        <v>2519526.3290501386</v>
      </c>
      <c r="H40" s="23">
        <v>900</v>
      </c>
      <c r="I40" s="28">
        <v>34.19</v>
      </c>
      <c r="J40" s="171">
        <f t="shared" si="63"/>
        <v>2924831.8221702254</v>
      </c>
      <c r="L40" s="23">
        <v>800</v>
      </c>
      <c r="M40" s="28">
        <v>46.2</v>
      </c>
      <c r="N40" s="171">
        <f t="shared" si="64"/>
        <v>2164502.1645021643</v>
      </c>
      <c r="O40" s="23"/>
      <c r="P40" s="23">
        <v>800</v>
      </c>
      <c r="Q40" s="28">
        <v>68.5</v>
      </c>
      <c r="R40" s="171">
        <f t="shared" si="65"/>
        <v>1459854.01459854</v>
      </c>
    </row>
    <row r="41" spans="1:108" x14ac:dyDescent="0.25">
      <c r="C41" s="23">
        <v>1100</v>
      </c>
      <c r="E41" s="28">
        <v>42.13</v>
      </c>
      <c r="F41" s="171">
        <f t="shared" si="62"/>
        <v>2373605.5067647756</v>
      </c>
      <c r="H41" s="23">
        <v>1000</v>
      </c>
      <c r="I41" s="28">
        <v>40.729999999999997</v>
      </c>
      <c r="J41" s="171">
        <f t="shared" si="63"/>
        <v>2455192.7326295115</v>
      </c>
      <c r="L41" s="23">
        <v>900</v>
      </c>
      <c r="M41" s="28">
        <v>56.36</v>
      </c>
      <c r="N41" s="171">
        <f t="shared" si="64"/>
        <v>1774308.0198722498</v>
      </c>
      <c r="O41" s="23"/>
      <c r="P41" s="23">
        <v>900</v>
      </c>
      <c r="Q41" s="28">
        <v>81.5</v>
      </c>
      <c r="R41" s="171">
        <f t="shared" si="65"/>
        <v>1226993.8650306747</v>
      </c>
    </row>
    <row r="42" spans="1:108" x14ac:dyDescent="0.25">
      <c r="C42" s="23">
        <v>1200</v>
      </c>
      <c r="E42" s="28">
        <v>44.61</v>
      </c>
      <c r="F42" s="171">
        <f t="shared" si="62"/>
        <v>2241649.8542927597</v>
      </c>
      <c r="H42" s="23">
        <v>1100</v>
      </c>
      <c r="I42" s="28">
        <v>48.12</v>
      </c>
      <c r="J42" s="171">
        <f t="shared" si="63"/>
        <v>2078137.9883624276</v>
      </c>
      <c r="L42" s="23">
        <v>1000</v>
      </c>
      <c r="M42" s="28">
        <v>67.94</v>
      </c>
      <c r="N42" s="171">
        <f t="shared" si="64"/>
        <v>1471886.9590815424</v>
      </c>
      <c r="O42" s="23"/>
      <c r="P42" s="23">
        <v>1000</v>
      </c>
      <c r="Q42" s="28">
        <v>97.26</v>
      </c>
      <c r="R42" s="171">
        <f t="shared" si="65"/>
        <v>1028171.9103434094</v>
      </c>
    </row>
    <row r="43" spans="1:108" x14ac:dyDescent="0.25">
      <c r="C43" s="23">
        <v>1300</v>
      </c>
      <c r="E43" s="28">
        <v>47.41</v>
      </c>
      <c r="F43" s="171">
        <f t="shared" si="62"/>
        <v>2109259.649862898</v>
      </c>
      <c r="H43" s="23">
        <v>1200</v>
      </c>
      <c r="I43" s="28">
        <v>56.45</v>
      </c>
      <c r="J43" s="171">
        <f t="shared" si="63"/>
        <v>1771479.1851195747</v>
      </c>
      <c r="L43" s="23">
        <v>1100</v>
      </c>
      <c r="M43" s="28">
        <v>81.05</v>
      </c>
      <c r="N43" s="171">
        <f t="shared" si="64"/>
        <v>1233806.2924120913</v>
      </c>
      <c r="O43" s="23"/>
      <c r="P43" s="23">
        <v>1100</v>
      </c>
      <c r="Q43" s="28">
        <v>116.7</v>
      </c>
      <c r="R43" s="171">
        <f t="shared" si="65"/>
        <v>856898.02913453302</v>
      </c>
    </row>
    <row r="44" spans="1:108" x14ac:dyDescent="0.25">
      <c r="C44" s="23">
        <v>1400</v>
      </c>
      <c r="E44" s="28">
        <v>49.97</v>
      </c>
      <c r="F44" s="171">
        <f t="shared" si="62"/>
        <v>2001200.7204322596</v>
      </c>
      <c r="H44" s="23">
        <v>1300</v>
      </c>
      <c r="I44" s="28">
        <v>65.849999999999994</v>
      </c>
      <c r="J44" s="171">
        <f t="shared" si="63"/>
        <v>1518602.8853454823</v>
      </c>
      <c r="L44" s="23">
        <v>1200</v>
      </c>
      <c r="M44" s="28">
        <v>96.04</v>
      </c>
      <c r="N44" s="171">
        <f t="shared" si="64"/>
        <v>1041232.8196584755</v>
      </c>
      <c r="O44" s="23"/>
      <c r="P44" s="23">
        <v>1200</v>
      </c>
      <c r="Q44" s="28">
        <v>140.80000000000001</v>
      </c>
      <c r="R44" s="171">
        <f t="shared" si="65"/>
        <v>710227.27272727271</v>
      </c>
    </row>
    <row r="45" spans="1:108" x14ac:dyDescent="0.25">
      <c r="C45" s="23">
        <v>1500</v>
      </c>
      <c r="E45" s="28">
        <v>53</v>
      </c>
      <c r="F45" s="171">
        <f t="shared" si="62"/>
        <v>1886792.4528301887</v>
      </c>
      <c r="H45" s="23">
        <v>1400</v>
      </c>
      <c r="I45" s="28">
        <v>76.44</v>
      </c>
      <c r="J45" s="171">
        <f t="shared" si="63"/>
        <v>1308215.5939298796</v>
      </c>
      <c r="L45" s="23">
        <v>1300</v>
      </c>
      <c r="M45" s="28">
        <v>114</v>
      </c>
      <c r="N45" s="171">
        <f t="shared" si="64"/>
        <v>877192.98245614022</v>
      </c>
      <c r="O45" s="23"/>
      <c r="P45" s="23">
        <v>1300</v>
      </c>
      <c r="Q45" s="28">
        <v>170.3</v>
      </c>
      <c r="R45" s="171">
        <f t="shared" si="65"/>
        <v>587199.06048150314</v>
      </c>
    </row>
    <row r="46" spans="1:108" x14ac:dyDescent="0.25">
      <c r="C46" s="23">
        <v>1600</v>
      </c>
      <c r="E46" s="28">
        <v>56.34</v>
      </c>
      <c r="F46" s="171">
        <f t="shared" si="62"/>
        <v>1774937.8771742987</v>
      </c>
      <c r="H46" s="23">
        <v>1500</v>
      </c>
      <c r="I46" s="28">
        <v>88.37</v>
      </c>
      <c r="J46" s="171">
        <f t="shared" si="63"/>
        <v>1131605.7485572025</v>
      </c>
      <c r="L46" s="23">
        <v>1400</v>
      </c>
      <c r="M46" s="28">
        <v>136.30000000000001</v>
      </c>
      <c r="N46" s="171">
        <f t="shared" si="64"/>
        <v>733675.71533382242</v>
      </c>
      <c r="O46" s="23"/>
      <c r="P46" s="23">
        <v>1400</v>
      </c>
      <c r="Q46" s="28">
        <v>206.3</v>
      </c>
      <c r="R46" s="171">
        <f t="shared" si="65"/>
        <v>484730.97430925834</v>
      </c>
    </row>
    <row r="47" spans="1:108" x14ac:dyDescent="0.25">
      <c r="C47" s="23">
        <v>1700</v>
      </c>
      <c r="E47" s="28">
        <v>60.03</v>
      </c>
      <c r="F47" s="171">
        <f t="shared" si="62"/>
        <v>1665833.7497917707</v>
      </c>
      <c r="H47" s="23">
        <v>1600</v>
      </c>
      <c r="I47" s="28">
        <v>101.8</v>
      </c>
      <c r="J47" s="171">
        <f t="shared" si="63"/>
        <v>982318.27111984277</v>
      </c>
      <c r="L47" s="23">
        <v>1500</v>
      </c>
      <c r="M47" s="28">
        <v>164.6</v>
      </c>
      <c r="N47" s="171">
        <f t="shared" si="64"/>
        <v>607533.41433778859</v>
      </c>
      <c r="O47" s="23"/>
      <c r="P47" s="23">
        <v>1500</v>
      </c>
      <c r="Q47" s="28">
        <v>249.7</v>
      </c>
      <c r="R47" s="171">
        <f t="shared" si="65"/>
        <v>400480.57669203042</v>
      </c>
    </row>
    <row r="48" spans="1:108" x14ac:dyDescent="0.25">
      <c r="C48" s="23">
        <v>1800</v>
      </c>
      <c r="E48" s="28">
        <v>64.12</v>
      </c>
      <c r="F48" s="171">
        <f t="shared" si="62"/>
        <v>1559575.7953836555</v>
      </c>
      <c r="H48" s="23">
        <v>1700</v>
      </c>
      <c r="I48" s="28">
        <v>117.1</v>
      </c>
      <c r="J48" s="171">
        <f t="shared" si="63"/>
        <v>853970.96498719056</v>
      </c>
      <c r="L48" s="23">
        <v>1600</v>
      </c>
      <c r="M48" s="28">
        <v>201.4</v>
      </c>
      <c r="N48" s="171">
        <f t="shared" si="64"/>
        <v>496524.32969215489</v>
      </c>
      <c r="O48" s="23"/>
      <c r="P48" s="23">
        <v>1600</v>
      </c>
      <c r="Q48" s="28">
        <v>301.8</v>
      </c>
      <c r="R48" s="171">
        <f t="shared" si="65"/>
        <v>331345.2617627568</v>
      </c>
    </row>
    <row r="49" spans="3:45" x14ac:dyDescent="0.25">
      <c r="C49" s="23">
        <v>1900</v>
      </c>
      <c r="E49" s="28">
        <v>68.67</v>
      </c>
      <c r="F49" s="171">
        <f t="shared" si="62"/>
        <v>1456239.9883500801</v>
      </c>
      <c r="H49" s="23">
        <v>1800</v>
      </c>
      <c r="I49" s="28">
        <v>135.1</v>
      </c>
      <c r="J49" s="171">
        <f t="shared" si="63"/>
        <v>740192.45003700955</v>
      </c>
      <c r="L49" s="23">
        <v>1700</v>
      </c>
      <c r="M49" s="28">
        <v>249.7</v>
      </c>
      <c r="N49" s="171">
        <f t="shared" si="64"/>
        <v>400480.57669203042</v>
      </c>
      <c r="O49" s="23"/>
      <c r="P49" s="23">
        <v>1700</v>
      </c>
      <c r="Q49" s="28">
        <v>364.1</v>
      </c>
      <c r="R49" s="171">
        <f t="shared" si="65"/>
        <v>274649.82147761603</v>
      </c>
    </row>
    <row r="50" spans="3:45" x14ac:dyDescent="0.25">
      <c r="C50" s="23">
        <v>2000</v>
      </c>
      <c r="E50" s="28">
        <v>73.73</v>
      </c>
      <c r="F50" s="171">
        <f t="shared" si="62"/>
        <v>1356300.0135630001</v>
      </c>
      <c r="H50" s="23">
        <v>1900</v>
      </c>
      <c r="I50" s="28">
        <v>157.1</v>
      </c>
      <c r="J50" s="171">
        <f t="shared" si="63"/>
        <v>636537.23742838949</v>
      </c>
      <c r="L50" s="23">
        <v>1800</v>
      </c>
      <c r="M50" s="28">
        <v>313.8</v>
      </c>
      <c r="N50" s="171">
        <f t="shared" si="64"/>
        <v>318674.31485022302</v>
      </c>
      <c r="O50" s="23"/>
      <c r="P50" s="23">
        <v>1800</v>
      </c>
      <c r="Q50" s="28">
        <v>438.2</v>
      </c>
      <c r="R50" s="171">
        <f t="shared" si="65"/>
        <v>228206.29849383843</v>
      </c>
    </row>
    <row r="51" spans="3:45" x14ac:dyDescent="0.25">
      <c r="C51" s="23">
        <v>2100</v>
      </c>
      <c r="E51" s="28">
        <v>79.44</v>
      </c>
      <c r="F51" s="171">
        <f t="shared" si="62"/>
        <v>1258811.6817724069</v>
      </c>
      <c r="H51" s="23">
        <v>2000</v>
      </c>
      <c r="I51" s="28">
        <v>184.4</v>
      </c>
      <c r="J51" s="171">
        <f t="shared" si="63"/>
        <v>542299.34924078092</v>
      </c>
      <c r="L51" s="23">
        <v>1900</v>
      </c>
      <c r="M51" s="28">
        <v>399.6</v>
      </c>
      <c r="N51" s="171">
        <f t="shared" si="64"/>
        <v>250250.25025025022</v>
      </c>
      <c r="O51" s="23"/>
      <c r="P51" s="23">
        <v>1900</v>
      </c>
      <c r="Q51" s="28">
        <v>525.9</v>
      </c>
      <c r="R51" s="171">
        <f t="shared" si="65"/>
        <v>190150.21867275148</v>
      </c>
    </row>
    <row r="52" spans="3:45" x14ac:dyDescent="0.25">
      <c r="C52" s="23">
        <v>2200</v>
      </c>
      <c r="E52" s="28">
        <v>85.59</v>
      </c>
      <c r="F52" s="171">
        <f t="shared" si="62"/>
        <v>1168360.7898118938</v>
      </c>
      <c r="J52" s="28"/>
      <c r="L52" s="23">
        <v>2000</v>
      </c>
      <c r="M52" s="7">
        <v>575.29999999999995</v>
      </c>
      <c r="N52" s="171">
        <f t="shared" si="64"/>
        <v>173822.35355466715</v>
      </c>
      <c r="O52" s="23"/>
      <c r="P52" s="23">
        <v>2000</v>
      </c>
      <c r="Q52" s="7">
        <v>629.4</v>
      </c>
      <c r="R52" s="171">
        <f t="shared" si="65"/>
        <v>158881.47442008261</v>
      </c>
    </row>
    <row r="53" spans="3:45" x14ac:dyDescent="0.25">
      <c r="K53" s="9"/>
      <c r="L53" s="20"/>
      <c r="M53" s="18"/>
      <c r="N53" s="18"/>
      <c r="O53" s="9"/>
      <c r="P53" s="20"/>
    </row>
    <row r="54" spans="3:45" x14ac:dyDescent="0.25">
      <c r="K54" s="9"/>
      <c r="L54" s="20"/>
      <c r="M54" s="18"/>
      <c r="N54" s="18"/>
      <c r="O54" s="9"/>
      <c r="P54" s="20"/>
    </row>
    <row r="55" spans="3:45" x14ac:dyDescent="0.25">
      <c r="K55" s="9"/>
      <c r="L55" s="20"/>
      <c r="M55" s="18"/>
      <c r="N55" s="18"/>
      <c r="O55" s="9"/>
      <c r="P55" s="20"/>
    </row>
    <row r="57" spans="3:45" x14ac:dyDescent="0.25">
      <c r="AS57" s="57" t="s">
        <v>194</v>
      </c>
    </row>
    <row r="58" spans="3:45" x14ac:dyDescent="0.25">
      <c r="AS58" s="57" t="s">
        <v>198</v>
      </c>
    </row>
    <row r="59" spans="3:45" x14ac:dyDescent="0.25">
      <c r="AS59" s="57" t="s">
        <v>199</v>
      </c>
    </row>
    <row r="60" spans="3:45" x14ac:dyDescent="0.25">
      <c r="AS60" s="57" t="s">
        <v>195</v>
      </c>
    </row>
    <row r="61" spans="3:45" x14ac:dyDescent="0.25">
      <c r="AS61" s="57" t="s">
        <v>200</v>
      </c>
    </row>
    <row r="62" spans="3:45" x14ac:dyDescent="0.25">
      <c r="AS62" s="57" t="s">
        <v>197</v>
      </c>
    </row>
    <row r="81" spans="54:54" x14ac:dyDescent="0.25">
      <c r="BB81" s="57">
        <v>1081717855.4526601</v>
      </c>
    </row>
  </sheetData>
  <mergeCells count="11">
    <mergeCell ref="CH4:CM4"/>
    <mergeCell ref="CV3:CX3"/>
    <mergeCell ref="CY3:DA3"/>
    <mergeCell ref="BC4:BH4"/>
    <mergeCell ref="BI4:BJ4"/>
    <mergeCell ref="BL4:BM4"/>
    <mergeCell ref="BO4:BP4"/>
    <mergeCell ref="BR4:BS4"/>
    <mergeCell ref="BT4:BV4"/>
    <mergeCell ref="BX4:BY4"/>
    <mergeCell ref="CB4:CG4"/>
  </mergeCells>
  <pageMargins left="0.7" right="0.7" top="0.75" bottom="0.75" header="0.3" footer="0.3"/>
  <pageSetup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EBD85-7530-45FA-8931-E9DC8031BA2D}">
  <dimension ref="B1:C12"/>
  <sheetViews>
    <sheetView workbookViewId="0">
      <selection activeCell="O8" sqref="O8"/>
    </sheetView>
  </sheetViews>
  <sheetFormatPr defaultRowHeight="15" x14ac:dyDescent="0.25"/>
  <sheetData>
    <row r="1" spans="2:3" s="32" customFormat="1" x14ac:dyDescent="0.25">
      <c r="B1" s="32" t="s">
        <v>239</v>
      </c>
    </row>
    <row r="2" spans="2:3" s="32" customFormat="1" x14ac:dyDescent="0.25">
      <c r="B2" s="32" t="s">
        <v>240</v>
      </c>
    </row>
    <row r="3" spans="2:3" x14ac:dyDescent="0.25">
      <c r="B3" t="s">
        <v>238</v>
      </c>
      <c r="C3" t="s">
        <v>237</v>
      </c>
    </row>
    <row r="4" spans="2:3" x14ac:dyDescent="0.25">
      <c r="B4">
        <v>0.70743584570726004</v>
      </c>
      <c r="C4">
        <v>2281.1111111111099</v>
      </c>
    </row>
    <row r="5" spans="2:3" x14ac:dyDescent="0.25">
      <c r="B5">
        <v>1.1158098907511</v>
      </c>
      <c r="C5">
        <v>2786.6666666666601</v>
      </c>
    </row>
    <row r="6" spans="2:3" x14ac:dyDescent="0.25">
      <c r="B6">
        <v>1.50149648884806</v>
      </c>
      <c r="C6">
        <v>3073.3333333333298</v>
      </c>
    </row>
    <row r="7" spans="2:3" x14ac:dyDescent="0.25">
      <c r="B7">
        <v>1.8727456207061</v>
      </c>
      <c r="C7">
        <v>2878.88888888888</v>
      </c>
    </row>
    <row r="8" spans="2:3" x14ac:dyDescent="0.25">
      <c r="B8">
        <v>2.2625572091570403</v>
      </c>
      <c r="C8">
        <v>2812.2222222222199</v>
      </c>
    </row>
    <row r="9" spans="2:3" x14ac:dyDescent="0.25">
      <c r="B9">
        <v>2.6668062638468997</v>
      </c>
      <c r="C9">
        <v>2875.5555555555502</v>
      </c>
    </row>
    <row r="10" spans="2:3" x14ac:dyDescent="0.25">
      <c r="B10">
        <v>3.0442428812358999</v>
      </c>
      <c r="C10">
        <v>2678.88888888888</v>
      </c>
    </row>
    <row r="11" spans="2:3" x14ac:dyDescent="0.25">
      <c r="B11">
        <v>3.5268667526513497</v>
      </c>
      <c r="C11">
        <v>2486.6666666666601</v>
      </c>
    </row>
    <row r="12" spans="2:3" x14ac:dyDescent="0.25">
      <c r="B12">
        <v>3.9146158459253</v>
      </c>
      <c r="C12">
        <v>1993.3333333333301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B2C2B-E621-4B01-B0FE-B510905E1D20}">
  <sheetPr codeName="Sheet9">
    <outlinePr summaryBelow="0"/>
  </sheetPr>
  <dimension ref="A1:DM114"/>
  <sheetViews>
    <sheetView zoomScale="60" zoomScaleNormal="60" workbookViewId="0">
      <pane xSplit="1" topLeftCell="E1" activePane="topRight" state="frozen"/>
      <selection pane="topRight" activeCell="AP18" sqref="AP18"/>
    </sheetView>
  </sheetViews>
  <sheetFormatPr defaultRowHeight="15" x14ac:dyDescent="0.25"/>
  <cols>
    <col min="1" max="1" width="27.42578125" style="19" customWidth="1"/>
    <col min="2" max="2" width="7.85546875" style="23" customWidth="1"/>
    <col min="3" max="3" width="12.140625" style="23" customWidth="1"/>
    <col min="4" max="4" width="1.7109375" style="23" customWidth="1"/>
    <col min="5" max="5" width="7.28515625" style="23" customWidth="1"/>
    <col min="6" max="6" width="8.42578125" style="23" customWidth="1"/>
    <col min="7" max="7" width="9" style="23" customWidth="1"/>
    <col min="8" max="8" width="10.42578125" style="23" customWidth="1"/>
    <col min="9" max="9" width="11.140625" style="23" customWidth="1"/>
    <col min="10" max="10" width="12.7109375" style="23" customWidth="1"/>
    <col min="11" max="11" width="13" style="23" customWidth="1"/>
    <col min="12" max="12" width="10.5703125" style="23" customWidth="1"/>
    <col min="13" max="13" width="12.140625" style="9" customWidth="1"/>
    <col min="14" max="14" width="16" style="20" customWidth="1"/>
    <col min="15" max="15" width="22" style="18" customWidth="1"/>
    <col min="16" max="16" width="14.5703125" style="18" customWidth="1"/>
    <col min="17" max="17" width="13.140625" style="18" customWidth="1"/>
    <col min="18" max="18" width="12" style="18" customWidth="1"/>
    <col min="20" max="20" width="11.5703125" style="18" customWidth="1"/>
    <col min="21" max="21" width="12.5703125" style="18" customWidth="1"/>
    <col min="22" max="23" width="12" style="13" customWidth="1"/>
    <col min="24" max="24" width="12.140625" style="8" customWidth="1"/>
    <col min="25" max="25" width="10.140625" style="4" customWidth="1"/>
    <col min="26" max="26" width="7.5703125" style="4" customWidth="1"/>
    <col min="27" max="27" width="6.28515625" style="4" customWidth="1"/>
    <col min="28" max="28" width="8.42578125" style="4" customWidth="1"/>
    <col min="29" max="29" width="7.85546875" style="4" customWidth="1"/>
    <col min="30" max="30" width="6.140625" style="4" customWidth="1"/>
    <col min="31" max="39" width="8.85546875" style="11" customWidth="1"/>
    <col min="40" max="40" width="13.140625" style="11" customWidth="1"/>
    <col min="41" max="41" width="12.85546875" style="57" customWidth="1"/>
    <col min="42" max="42" width="16" style="57" customWidth="1"/>
    <col min="43" max="45" width="18" style="57" customWidth="1"/>
    <col min="46" max="46" width="14.28515625" style="57" customWidth="1"/>
    <col min="47" max="52" width="18.140625" style="57" customWidth="1"/>
    <col min="53" max="64" width="14.85546875" style="57" customWidth="1"/>
    <col min="65" max="66" width="19" style="57" customWidth="1"/>
    <col min="67" max="72" width="15.5703125" style="57" customWidth="1"/>
    <col min="73" max="73" width="12.85546875" style="57" customWidth="1"/>
    <col min="74" max="74" width="13.7109375" style="57" customWidth="1"/>
    <col min="75" max="75" width="14.42578125" style="57" bestFit="1" customWidth="1"/>
    <col min="76" max="76" width="3.140625" style="57" customWidth="1"/>
    <col min="77" max="78" width="14.42578125" style="57" customWidth="1"/>
    <col min="79" max="79" width="13.42578125" style="58" customWidth="1"/>
    <col min="80" max="80" width="14.140625" style="58" customWidth="1"/>
    <col min="81" max="81" width="15.42578125" style="57" customWidth="1"/>
    <col min="82" max="82" width="14.42578125" style="57" customWidth="1"/>
    <col min="83" max="84" width="14.42578125" style="11" customWidth="1"/>
    <col min="85" max="85" width="13" customWidth="1"/>
    <col min="86" max="86" width="13" style="58" customWidth="1"/>
    <col min="87" max="92" width="11.140625" style="58" customWidth="1"/>
    <col min="93" max="94" width="10.5703125" style="57" customWidth="1"/>
    <col min="95" max="96" width="13" style="57" customWidth="1"/>
    <col min="97" max="97" width="14" style="57" customWidth="1"/>
    <col min="98" max="98" width="0.28515625" style="57" customWidth="1"/>
    <col min="99" max="99" width="13" style="57" customWidth="1"/>
    <col min="100" max="100" width="14.28515625" style="57" customWidth="1"/>
    <col min="101" max="101" width="14.5703125" style="59" customWidth="1"/>
    <col min="104" max="104" width="10.5703125" customWidth="1"/>
    <col min="105" max="106" width="11" style="59" customWidth="1"/>
    <col min="107" max="107" width="14.28515625" style="57" customWidth="1"/>
    <col min="109" max="109" width="11.85546875" style="4" customWidth="1"/>
    <col min="110" max="110" width="11.5703125" style="4" customWidth="1"/>
    <col min="111" max="111" width="10.28515625" style="4" customWidth="1"/>
    <col min="112" max="16384" width="9.140625" style="4"/>
  </cols>
  <sheetData>
    <row r="1" spans="1:117" s="11" customFormat="1" x14ac:dyDescent="0.25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0"/>
      <c r="N1" s="20"/>
      <c r="O1" s="13"/>
      <c r="P1" s="13"/>
      <c r="Q1" s="13"/>
      <c r="R1" s="13"/>
      <c r="S1" s="32"/>
      <c r="T1" s="13"/>
      <c r="U1" s="13"/>
      <c r="V1" s="13"/>
      <c r="W1" s="13"/>
      <c r="X1" s="22"/>
      <c r="AO1" s="91"/>
      <c r="AP1" s="102"/>
      <c r="BJ1" s="91"/>
      <c r="BO1" s="91"/>
      <c r="BP1" s="91"/>
      <c r="BU1" s="91"/>
      <c r="BV1" s="102"/>
      <c r="BW1" s="102"/>
      <c r="CA1" s="174"/>
      <c r="CB1" s="92"/>
      <c r="CH1" s="22"/>
      <c r="CI1" s="22"/>
      <c r="CJ1" s="22"/>
      <c r="CK1" s="22"/>
      <c r="CL1" s="22"/>
      <c r="CM1" s="22"/>
      <c r="CN1" s="22"/>
      <c r="CU1" s="11" t="s">
        <v>158</v>
      </c>
      <c r="CV1" s="22">
        <v>1.6021766E-19</v>
      </c>
      <c r="CW1" s="28"/>
      <c r="DA1" s="28"/>
      <c r="DB1" s="28"/>
      <c r="DD1" s="32"/>
    </row>
    <row r="2" spans="1:117" s="11" customFormat="1" x14ac:dyDescent="0.25">
      <c r="A2" s="23" t="s">
        <v>144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0"/>
      <c r="N2" s="20"/>
      <c r="O2" s="13"/>
      <c r="P2" s="13"/>
      <c r="Q2" s="13"/>
      <c r="R2" s="13"/>
      <c r="S2" s="32"/>
      <c r="T2" s="13"/>
      <c r="U2" s="13"/>
      <c r="V2" s="13"/>
      <c r="W2" s="13"/>
      <c r="X2" s="22"/>
      <c r="AO2" s="175"/>
      <c r="AP2" s="175"/>
      <c r="AQ2" s="175"/>
      <c r="AR2" s="175"/>
      <c r="AS2" s="175"/>
      <c r="AT2" s="175"/>
      <c r="AU2" s="175"/>
      <c r="AV2" s="175"/>
      <c r="AW2" s="175"/>
      <c r="AX2" s="175"/>
      <c r="AY2" s="175"/>
      <c r="AZ2" s="175"/>
      <c r="BA2" s="175" t="s">
        <v>147</v>
      </c>
      <c r="BB2" s="175"/>
      <c r="BC2" s="175"/>
      <c r="BD2" s="175"/>
      <c r="BE2" s="175" t="s">
        <v>146</v>
      </c>
      <c r="BF2" s="175" t="s">
        <v>94</v>
      </c>
      <c r="BG2" s="175" t="s">
        <v>94</v>
      </c>
      <c r="BH2" s="175" t="s">
        <v>147</v>
      </c>
      <c r="BI2" s="176" t="s">
        <v>146</v>
      </c>
      <c r="BJ2" s="175" t="s">
        <v>147</v>
      </c>
      <c r="BK2" s="175" t="s">
        <v>146</v>
      </c>
      <c r="BL2" s="175" t="s">
        <v>94</v>
      </c>
      <c r="BM2" s="195"/>
      <c r="BN2" s="195"/>
      <c r="BO2" s="195"/>
      <c r="BP2" s="175" t="s">
        <v>147</v>
      </c>
      <c r="BQ2" s="175" t="s">
        <v>146</v>
      </c>
      <c r="BR2" s="175" t="s">
        <v>94</v>
      </c>
      <c r="BS2" s="195"/>
      <c r="BT2" s="195"/>
      <c r="BU2" s="175" t="s">
        <v>147</v>
      </c>
      <c r="BV2" s="175" t="s">
        <v>94</v>
      </c>
      <c r="BW2" s="175" t="s">
        <v>146</v>
      </c>
      <c r="BX2" s="175"/>
      <c r="BY2" s="195"/>
      <c r="BZ2" s="195"/>
      <c r="CA2" s="176"/>
      <c r="CB2" s="176"/>
      <c r="CC2" s="175" t="s">
        <v>147</v>
      </c>
      <c r="CD2" s="175" t="s">
        <v>146</v>
      </c>
      <c r="CE2" s="175" t="s">
        <v>94</v>
      </c>
      <c r="CF2" s="175" t="s">
        <v>94</v>
      </c>
      <c r="CG2" s="175" t="s">
        <v>147</v>
      </c>
      <c r="CH2" s="176" t="s">
        <v>146</v>
      </c>
      <c r="CI2" s="176" t="s">
        <v>147</v>
      </c>
      <c r="CJ2" s="176" t="s">
        <v>146</v>
      </c>
      <c r="CK2" s="176" t="s">
        <v>94</v>
      </c>
      <c r="CL2" s="175" t="s">
        <v>94</v>
      </c>
      <c r="CM2" s="175" t="s">
        <v>147</v>
      </c>
      <c r="CN2" s="176" t="s">
        <v>146</v>
      </c>
      <c r="CU2" s="11" t="s">
        <v>159</v>
      </c>
      <c r="CV2" s="22">
        <v>8.8541878170000005E-12</v>
      </c>
      <c r="CW2" s="28"/>
      <c r="DA2" s="28"/>
      <c r="DB2" s="28"/>
      <c r="DD2" s="32"/>
    </row>
    <row r="3" spans="1:117" s="11" customFormat="1" x14ac:dyDescent="0.25">
      <c r="A3" s="23" t="s">
        <v>145</v>
      </c>
      <c r="B3" s="23" t="s">
        <v>123</v>
      </c>
      <c r="C3" s="23" t="s">
        <v>124</v>
      </c>
      <c r="D3" s="23"/>
      <c r="E3" s="23"/>
      <c r="F3" s="23"/>
      <c r="G3" s="23"/>
      <c r="H3" s="23"/>
      <c r="I3" s="23"/>
      <c r="J3" s="23"/>
      <c r="K3" s="23"/>
      <c r="L3" s="23"/>
      <c r="M3" s="20"/>
      <c r="N3" s="20"/>
      <c r="O3" s="13"/>
      <c r="P3" s="13"/>
      <c r="Q3" s="13"/>
      <c r="R3" s="13"/>
      <c r="S3" s="32"/>
      <c r="T3" s="13"/>
      <c r="U3" s="13"/>
      <c r="V3" s="13"/>
      <c r="W3" s="13"/>
      <c r="X3" s="22"/>
      <c r="AH3" s="175"/>
      <c r="AI3" s="175"/>
      <c r="AJ3" s="198"/>
      <c r="AK3" s="11" t="s">
        <v>176</v>
      </c>
      <c r="AL3" s="198"/>
      <c r="AM3" s="198"/>
      <c r="AN3" s="198"/>
      <c r="AO3" s="175"/>
      <c r="AP3" s="175"/>
      <c r="AQ3" s="175"/>
      <c r="AR3" s="175"/>
      <c r="AS3" s="175"/>
      <c r="AT3" s="175"/>
      <c r="AU3" s="175"/>
      <c r="AV3" s="175"/>
      <c r="AW3" s="175"/>
      <c r="AX3" s="175"/>
      <c r="AY3" s="175"/>
      <c r="AZ3" s="175"/>
      <c r="BA3" s="175" t="s">
        <v>94</v>
      </c>
      <c r="BB3" s="175"/>
      <c r="BC3" s="175"/>
      <c r="BD3" s="175"/>
      <c r="BE3" s="175" t="s">
        <v>94</v>
      </c>
      <c r="BF3" s="175" t="s">
        <v>94</v>
      </c>
      <c r="BG3" s="175" t="s">
        <v>146</v>
      </c>
      <c r="BH3" s="175" t="s">
        <v>146</v>
      </c>
      <c r="BI3" s="175" t="s">
        <v>146</v>
      </c>
      <c r="BJ3" s="195"/>
      <c r="BK3" s="195"/>
      <c r="BL3" s="195"/>
      <c r="BM3" s="175" t="s">
        <v>94</v>
      </c>
      <c r="BN3" s="175" t="s">
        <v>146</v>
      </c>
      <c r="BO3" s="175"/>
      <c r="BP3" s="195"/>
      <c r="BQ3" s="195"/>
      <c r="BR3" s="195"/>
      <c r="BS3" s="175" t="s">
        <v>94</v>
      </c>
      <c r="BT3" s="175" t="s">
        <v>146</v>
      </c>
      <c r="BU3" s="196"/>
      <c r="BV3" s="196"/>
      <c r="BW3" s="196"/>
      <c r="BX3" s="196"/>
      <c r="BY3" s="175" t="s">
        <v>94</v>
      </c>
      <c r="BZ3" s="175" t="s">
        <v>146</v>
      </c>
      <c r="CA3" s="175"/>
      <c r="CB3" s="177" t="s">
        <v>109</v>
      </c>
      <c r="CC3" s="175" t="s">
        <v>94</v>
      </c>
      <c r="CD3" s="175" t="s">
        <v>94</v>
      </c>
      <c r="CE3" s="175" t="s">
        <v>94</v>
      </c>
      <c r="CF3" s="175" t="s">
        <v>146</v>
      </c>
      <c r="CG3" s="175" t="s">
        <v>146</v>
      </c>
      <c r="CH3" s="175" t="s">
        <v>146</v>
      </c>
      <c r="CI3" s="175" t="s">
        <v>94</v>
      </c>
      <c r="CJ3" s="175" t="s">
        <v>94</v>
      </c>
      <c r="CK3" s="175" t="s">
        <v>94</v>
      </c>
      <c r="CL3" s="175" t="s">
        <v>146</v>
      </c>
      <c r="CM3" s="175" t="s">
        <v>146</v>
      </c>
      <c r="CN3" s="175" t="s">
        <v>146</v>
      </c>
      <c r="CO3" s="32"/>
      <c r="CP3" s="32"/>
      <c r="CQ3" s="32"/>
      <c r="CR3" s="32"/>
      <c r="CS3" s="32"/>
      <c r="CU3" s="11" t="s">
        <v>233</v>
      </c>
      <c r="CV3" s="22">
        <v>1.3806490000000001E-23</v>
      </c>
      <c r="CX3" s="252" t="s">
        <v>160</v>
      </c>
      <c r="CY3" s="252"/>
      <c r="CZ3" s="252"/>
      <c r="DA3" s="252" t="s">
        <v>152</v>
      </c>
      <c r="DB3" s="252"/>
      <c r="DC3" s="252"/>
      <c r="DD3" s="11" t="s">
        <v>162</v>
      </c>
      <c r="DG3" s="11" t="s">
        <v>165</v>
      </c>
      <c r="DJ3" s="11" t="s">
        <v>162</v>
      </c>
    </row>
    <row r="4" spans="1:117" s="219" customFormat="1" ht="20.25" customHeight="1" x14ac:dyDescent="0.25">
      <c r="A4" s="212" t="s">
        <v>0</v>
      </c>
      <c r="B4" s="213" t="s">
        <v>72</v>
      </c>
      <c r="C4" s="213" t="s">
        <v>125</v>
      </c>
      <c r="D4" s="213" t="s">
        <v>112</v>
      </c>
      <c r="E4" s="212" t="s">
        <v>56</v>
      </c>
      <c r="F4" s="212" t="s">
        <v>57</v>
      </c>
      <c r="G4" s="212" t="s">
        <v>58</v>
      </c>
      <c r="H4" s="214" t="s">
        <v>60</v>
      </c>
      <c r="I4" s="214" t="s">
        <v>61</v>
      </c>
      <c r="J4" s="212" t="s">
        <v>64</v>
      </c>
      <c r="K4" s="212" t="s">
        <v>59</v>
      </c>
      <c r="L4" s="212" t="s">
        <v>62</v>
      </c>
      <c r="M4" s="215" t="s">
        <v>1</v>
      </c>
      <c r="N4" s="215" t="s">
        <v>52</v>
      </c>
      <c r="O4" s="216" t="s">
        <v>74</v>
      </c>
      <c r="P4" s="216" t="s">
        <v>2</v>
      </c>
      <c r="Q4" s="216" t="s">
        <v>3</v>
      </c>
      <c r="R4" s="217" t="s">
        <v>4</v>
      </c>
      <c r="S4" s="213"/>
      <c r="T4" s="216" t="s">
        <v>6</v>
      </c>
      <c r="U4" s="216" t="s">
        <v>7</v>
      </c>
      <c r="V4" s="216" t="s">
        <v>55</v>
      </c>
      <c r="W4" s="216" t="s">
        <v>115</v>
      </c>
      <c r="X4" s="218" t="s">
        <v>8</v>
      </c>
      <c r="Y4" s="219" t="s">
        <v>9</v>
      </c>
      <c r="Z4" s="219" t="s">
        <v>10</v>
      </c>
      <c r="AA4" s="219" t="s">
        <v>11</v>
      </c>
      <c r="AB4" s="219" t="s">
        <v>12</v>
      </c>
      <c r="AC4" s="219" t="s">
        <v>13</v>
      </c>
      <c r="AD4" s="219" t="s">
        <v>14</v>
      </c>
      <c r="AE4" s="219" t="s">
        <v>51</v>
      </c>
      <c r="AF4" s="219" t="s">
        <v>156</v>
      </c>
      <c r="AG4" s="219" t="s">
        <v>157</v>
      </c>
      <c r="AH4" s="220" t="s">
        <v>143</v>
      </c>
      <c r="AI4" s="220" t="s">
        <v>135</v>
      </c>
      <c r="AJ4" s="221" t="s">
        <v>134</v>
      </c>
      <c r="AK4" s="221" t="s">
        <v>175</v>
      </c>
      <c r="AL4" s="221" t="s">
        <v>177</v>
      </c>
      <c r="AM4" s="221" t="s">
        <v>190</v>
      </c>
      <c r="AN4" s="220" t="s">
        <v>193</v>
      </c>
      <c r="AO4" s="220" t="s">
        <v>188</v>
      </c>
      <c r="AP4" s="220" t="s">
        <v>178</v>
      </c>
      <c r="AQ4" s="220" t="s">
        <v>112</v>
      </c>
      <c r="AR4" s="221" t="s">
        <v>189</v>
      </c>
      <c r="AS4" s="221" t="s">
        <v>192</v>
      </c>
      <c r="AT4" s="221" t="s">
        <v>191</v>
      </c>
      <c r="AU4" s="221" t="s">
        <v>168</v>
      </c>
      <c r="AV4" s="221" t="s">
        <v>166</v>
      </c>
      <c r="AW4" s="221" t="s">
        <v>167</v>
      </c>
      <c r="AX4" s="221" t="s">
        <v>172</v>
      </c>
      <c r="AY4" s="221" t="s">
        <v>169</v>
      </c>
      <c r="AZ4" s="221" t="s">
        <v>170</v>
      </c>
      <c r="BA4" s="221" t="s">
        <v>201</v>
      </c>
      <c r="BB4" s="221" t="s">
        <v>202</v>
      </c>
      <c r="BC4" s="221" t="s">
        <v>203</v>
      </c>
      <c r="BD4" s="221"/>
      <c r="BE4" s="263" t="s">
        <v>102</v>
      </c>
      <c r="BF4" s="264"/>
      <c r="BG4" s="264"/>
      <c r="BH4" s="264"/>
      <c r="BI4" s="264"/>
      <c r="BJ4" s="265"/>
      <c r="BK4" s="266" t="s">
        <v>67</v>
      </c>
      <c r="BL4" s="267"/>
      <c r="BM4" s="225"/>
      <c r="BN4" s="266" t="s">
        <v>82</v>
      </c>
      <c r="BO4" s="267"/>
      <c r="BP4" s="222" t="s">
        <v>66</v>
      </c>
      <c r="BQ4" s="259" t="s">
        <v>46</v>
      </c>
      <c r="BR4" s="260"/>
      <c r="BS4" s="226"/>
      <c r="BT4" s="268" t="s">
        <v>103</v>
      </c>
      <c r="BU4" s="269"/>
      <c r="BV4" s="270" t="s">
        <v>63</v>
      </c>
      <c r="BW4" s="271"/>
      <c r="BX4" s="272"/>
      <c r="BY4" s="223" t="s">
        <v>120</v>
      </c>
      <c r="BZ4" s="261" t="s">
        <v>71</v>
      </c>
      <c r="CA4" s="262"/>
      <c r="CB4" s="224" t="s">
        <v>149</v>
      </c>
      <c r="CC4" s="224" t="s">
        <v>148</v>
      </c>
      <c r="CD4" s="253" t="s">
        <v>104</v>
      </c>
      <c r="CE4" s="254"/>
      <c r="CF4" s="254"/>
      <c r="CG4" s="254"/>
      <c r="CH4" s="254"/>
      <c r="CI4" s="255"/>
      <c r="CJ4" s="256" t="s">
        <v>69</v>
      </c>
      <c r="CK4" s="257"/>
      <c r="CL4" s="257"/>
      <c r="CM4" s="257"/>
      <c r="CN4" s="257"/>
      <c r="CO4" s="258"/>
      <c r="CP4" s="219" t="s">
        <v>53</v>
      </c>
      <c r="CR4" s="213" t="s">
        <v>116</v>
      </c>
      <c r="CS4" s="213" t="s">
        <v>117</v>
      </c>
      <c r="CT4" s="219" t="s">
        <v>118</v>
      </c>
      <c r="CV4" s="219" t="s">
        <v>119</v>
      </c>
      <c r="CW4" s="219" t="s">
        <v>151</v>
      </c>
      <c r="CX4" s="219" t="s">
        <v>150</v>
      </c>
      <c r="CY4" s="219" t="s">
        <v>155</v>
      </c>
      <c r="CZ4" s="219" t="s">
        <v>153</v>
      </c>
      <c r="DA4" s="219" t="s">
        <v>154</v>
      </c>
      <c r="DB4" s="219" t="s">
        <v>155</v>
      </c>
      <c r="DC4" s="219" t="s">
        <v>153</v>
      </c>
      <c r="DD4" s="219" t="s">
        <v>154</v>
      </c>
      <c r="DE4" s="228" t="s">
        <v>161</v>
      </c>
      <c r="DF4" s="228" t="s">
        <v>164</v>
      </c>
      <c r="DG4" s="228" t="s">
        <v>163</v>
      </c>
      <c r="DH4" s="219" t="s">
        <v>155</v>
      </c>
      <c r="DI4" s="219" t="s">
        <v>153</v>
      </c>
      <c r="DJ4" s="219" t="s">
        <v>154</v>
      </c>
      <c r="DK4" s="228" t="s">
        <v>161</v>
      </c>
      <c r="DL4" s="228" t="s">
        <v>164</v>
      </c>
      <c r="DM4" s="228" t="s">
        <v>163</v>
      </c>
    </row>
    <row r="5" spans="1:117" s="11" customFormat="1" ht="20.25" customHeight="1" x14ac:dyDescent="0.25">
      <c r="A5" s="2" t="s">
        <v>21</v>
      </c>
      <c r="B5" s="30">
        <v>3300</v>
      </c>
      <c r="C5" s="173">
        <f>$B$35*P5+$B$37</f>
        <v>2912006.0613824991</v>
      </c>
      <c r="D5" s="173" t="s">
        <v>136</v>
      </c>
      <c r="E5" s="2">
        <v>1</v>
      </c>
      <c r="F5" s="2">
        <v>20</v>
      </c>
      <c r="G5" s="2">
        <v>20</v>
      </c>
      <c r="H5" s="22">
        <v>3.3452438000000001E-26</v>
      </c>
      <c r="I5" s="22">
        <v>1.82187712E-29</v>
      </c>
      <c r="J5" s="24">
        <v>1836.1522647586683</v>
      </c>
      <c r="K5" s="24">
        <v>1</v>
      </c>
      <c r="L5" s="26">
        <v>3.3434219228800004E-26</v>
      </c>
      <c r="M5" s="3">
        <v>42.393999999999998</v>
      </c>
      <c r="N5" s="11">
        <v>1.56097889805155E-3</v>
      </c>
      <c r="O5" s="27">
        <v>1.1388224575788635E-3</v>
      </c>
      <c r="P5" s="3">
        <v>878.1</v>
      </c>
      <c r="Q5" s="5">
        <v>2.828152101400934E-5</v>
      </c>
      <c r="R5" s="5">
        <v>2.8800000000000001E-4</v>
      </c>
      <c r="S5" s="32"/>
      <c r="T5" s="6">
        <v>7.5999999999999996E-11</v>
      </c>
      <c r="U5" s="6">
        <v>1.81E-10</v>
      </c>
      <c r="V5" s="6">
        <v>2.5699999999999999E-10</v>
      </c>
      <c r="W5" s="6">
        <f>U5-T5</f>
        <v>1.05E-10</v>
      </c>
      <c r="X5" s="6">
        <v>1499000</v>
      </c>
      <c r="Y5" s="11">
        <v>2787.9043499999998</v>
      </c>
      <c r="Z5" s="11">
        <v>-0.84899999999999998</v>
      </c>
      <c r="AA5" s="11">
        <v>1.8842000000000001</v>
      </c>
      <c r="AB5" s="11">
        <v>-4.328E-4</v>
      </c>
      <c r="AC5" s="11">
        <v>1</v>
      </c>
      <c r="AD5" s="11">
        <v>1</v>
      </c>
      <c r="AE5" s="11">
        <v>2</v>
      </c>
      <c r="AF5" s="11">
        <v>1</v>
      </c>
      <c r="AG5" s="11">
        <v>-1</v>
      </c>
      <c r="AH5" s="199">
        <f>56.4</f>
        <v>56.4</v>
      </c>
      <c r="AI5" s="199">
        <f t="shared" ref="AI5:AI11" si="0">0.0000000244*P5*C5</f>
        <v>62.391593548999325</v>
      </c>
      <c r="AJ5" s="200">
        <f t="shared" ref="AJ5:AJ10" si="1">0.0000000244*P5*B5</f>
        <v>7.0704612E-2</v>
      </c>
      <c r="AK5" s="200">
        <v>0.62809999999999999</v>
      </c>
      <c r="AL5" s="200">
        <v>-3.1E-4</v>
      </c>
      <c r="AM5" s="200">
        <v>878</v>
      </c>
      <c r="AN5" s="200">
        <f>AK5+AL5*(1200-P5)</f>
        <v>0.52831099999999998</v>
      </c>
      <c r="AO5" s="200">
        <f t="shared" ref="AO5:AO17" si="2">AK5+AL5*(AM5-P5)</f>
        <v>0.62813099999999999</v>
      </c>
      <c r="AP5" s="199">
        <f t="shared" ref="AP5:AP17" si="3">AK5+AL5*(P5+50-P5)</f>
        <v>0.61260000000000003</v>
      </c>
      <c r="AQ5" s="199" t="s">
        <v>179</v>
      </c>
      <c r="AR5" s="199">
        <f t="shared" ref="AR5:AR23" si="4">AU5/BV5*(Y5+Z5*AM5)</f>
        <v>0.37981325092084156</v>
      </c>
      <c r="AS5" s="199">
        <f t="shared" ref="AS5:AS23" si="5">1/3*CC5*(Y5+Z5*AO5)*V5</f>
        <v>0.54897284030784166</v>
      </c>
      <c r="AT5" s="199">
        <f t="shared" ref="AT5:AT23" si="6">1/3*CC5*(Y5+Z5*P5)*V5</f>
        <v>0.40225025742942672</v>
      </c>
      <c r="AU5" s="199">
        <f>AW5/AY5*AZ5</f>
        <v>0.37979746319812113</v>
      </c>
      <c r="AV5" s="199">
        <v>0.78670723632944894</v>
      </c>
      <c r="AW5" s="199">
        <v>0.467412663978306</v>
      </c>
      <c r="AX5" s="199" t="e">
        <f>AW5/AY5*#REF!*10^-10</f>
        <v>#REF!</v>
      </c>
      <c r="AY5" s="199">
        <v>2.927136541E-10</v>
      </c>
      <c r="AZ5" s="199">
        <v>2.3784529568456903E-10</v>
      </c>
      <c r="BA5" s="201">
        <f>AP5/(1/3*CC5*AY5)</f>
        <v>2730.933113092186</v>
      </c>
      <c r="BB5" s="234">
        <f>AP5/(1/3*BV5*AY5)</f>
        <v>3074078.87413482</v>
      </c>
      <c r="BC5" s="234">
        <f>AP5/(1/3*CC5*BV5)</f>
        <v>3.9139365877875649E-10</v>
      </c>
      <c r="BD5" s="201"/>
      <c r="BE5" s="201">
        <v>0.48162168927176202</v>
      </c>
      <c r="BF5" s="201">
        <f t="shared" ref="BF5:BF10" si="7">BE5/BV5*BX5</f>
        <v>0.82534176315739483</v>
      </c>
      <c r="BG5" s="201">
        <f>BE5/BV5*BW5</f>
        <v>0.65348172621457845</v>
      </c>
      <c r="BH5" s="201">
        <f>BE5/(BV5*BN5)*BW5*BO5</f>
        <v>0.76015224669760251</v>
      </c>
      <c r="BI5" s="201">
        <f t="shared" ref="BI5:BI10" si="8">BE5/BN5*BO5</f>
        <v>0.56023878629164503</v>
      </c>
      <c r="BJ5" s="201">
        <f>BE5/(BN5*BV5)*BO5*BX5</f>
        <v>0.9600657071035601</v>
      </c>
      <c r="BK5" s="202">
        <v>1596825626.1070199</v>
      </c>
      <c r="BL5" s="202">
        <f>BK5/BV5*BX5</f>
        <v>2736435893.6966796</v>
      </c>
      <c r="BM5" s="202">
        <f>BK5/BV5*BW5</f>
        <v>2166630759.9018497</v>
      </c>
      <c r="BN5" s="202">
        <v>3.0056447474785299E-10</v>
      </c>
      <c r="BO5" s="202">
        <v>3.4962685503166299E-10</v>
      </c>
      <c r="BP5" s="202">
        <v>6.4249999999999998E-11</v>
      </c>
      <c r="BQ5" s="203">
        <f>$AP$5/BK5</f>
        <v>3.8363612781784311E-10</v>
      </c>
      <c r="BR5" s="203">
        <f>$AP$5/BL5</f>
        <v>2.2386784262372482E-10</v>
      </c>
      <c r="BS5" s="203">
        <f>$AP$5/BM5</f>
        <v>2.8274314725770407E-10</v>
      </c>
      <c r="BT5" s="204">
        <v>2.30802105895922E-4</v>
      </c>
      <c r="BU5" s="204">
        <f>BT5/BN5*BO5</f>
        <v>2.6847688665392576E-4</v>
      </c>
      <c r="BV5" s="231">
        <f>Y5+Z5*P5</f>
        <v>2042.3974499999999</v>
      </c>
      <c r="BW5" s="205">
        <f>AVERAGE(BV5,BX5)</f>
        <v>2771.1987250000002</v>
      </c>
      <c r="BX5" s="229">
        <v>3500</v>
      </c>
      <c r="BY5" s="205"/>
      <c r="BZ5" s="206">
        <f t="shared" ref="BZ5:CA10" si="9">$AP5/BT5</f>
        <v>2654.2218825171644</v>
      </c>
      <c r="CA5" s="206">
        <f t="shared" si="9"/>
        <v>2281.7606671283352</v>
      </c>
      <c r="CB5" s="207">
        <v>65.02</v>
      </c>
      <c r="CC5" s="208">
        <f t="shared" ref="CC5:CC10" si="10">CB5/Q5</f>
        <v>2299027.692598009</v>
      </c>
      <c r="CD5" s="209">
        <v>2.0876175485837878E-7</v>
      </c>
      <c r="CE5" s="208">
        <f t="shared" ref="CE5:CE10" si="11">1/3*BX5*BN5</f>
        <v>3.5065855387249511E-7</v>
      </c>
      <c r="CF5" s="208">
        <f>1/3*BW5*BN5</f>
        <v>2.7764129640051501E-7</v>
      </c>
      <c r="CG5" s="208">
        <f>1/3*BW5*BO5</f>
        <v>3.229618316298348E-7</v>
      </c>
      <c r="CH5" s="208">
        <f>1/3*BV5*BO5</f>
        <v>2.3802566572272937E-7</v>
      </c>
      <c r="CI5" s="208">
        <f>1/3*BX5*BO5</f>
        <v>4.0789799753694009E-7</v>
      </c>
      <c r="CJ5" s="210">
        <f t="shared" ref="CJ5:CO10" si="12">$AP5/(CD5)</f>
        <v>2934445.5377642317</v>
      </c>
      <c r="CK5" s="211">
        <f t="shared" si="12"/>
        <v>1746998.5923193845</v>
      </c>
      <c r="CL5" s="211">
        <f t="shared" si="12"/>
        <v>2206444.098706001</v>
      </c>
      <c r="CM5" s="211">
        <f t="shared" si="12"/>
        <v>1896818.5711249504</v>
      </c>
      <c r="CN5" s="210">
        <f t="shared" si="12"/>
        <v>2573672.0371726789</v>
      </c>
      <c r="CO5" s="210">
        <f t="shared" si="12"/>
        <v>1501846.05881651</v>
      </c>
      <c r="CP5" s="22">
        <f>1/CQ5</f>
        <v>1961303757.1305401</v>
      </c>
      <c r="CQ5" s="22">
        <v>5.0986492855295244E-10</v>
      </c>
      <c r="CR5" s="11">
        <v>6.94</v>
      </c>
      <c r="CS5" s="32">
        <v>35.450000000000003</v>
      </c>
      <c r="CT5" s="25">
        <f t="shared" ref="CT5:CT10" si="13">SUM(CR5:CS5)</f>
        <v>42.39</v>
      </c>
      <c r="CV5" s="11">
        <f>CR5/CT5</f>
        <v>0.16371785798537392</v>
      </c>
      <c r="CW5" s="11">
        <f t="shared" ref="CW5:CW23" si="14">(6.02214E+23)/Q5</f>
        <v>2.129355064395905E+28</v>
      </c>
      <c r="CX5" s="11">
        <f t="shared" ref="CX5:CX23" si="15">SQRT(($CV$2*1.380649E-23*P5)/(CW5*($CV$1)^2))</f>
        <v>1.4013724262922254E-11</v>
      </c>
      <c r="CY5" s="172">
        <v>2.3784529568456903E-10</v>
      </c>
      <c r="CZ5" s="172">
        <v>3.4962685503166304E-10</v>
      </c>
      <c r="DA5" s="172">
        <v>3.60054333539078E-10</v>
      </c>
      <c r="DB5" s="22">
        <f>($AF5*$AG5*$CV$1^2)/(4*PI()*$CV$2*CY5)*EXP(-CY5/$CX5)</f>
        <v>-4.128443168837259E-26</v>
      </c>
      <c r="DC5" s="22">
        <f t="shared" ref="DC5:DC15" si="16">($AF5*$AF5*$CV$1^2)/(4*PI()*$CV$2*CZ5)*EXP(-CZ5/$CX5)</f>
        <v>9.6447827044716653E-30</v>
      </c>
      <c r="DD5" s="22">
        <f t="shared" ref="DD5:DD15" si="17">($AG5*$AG5*$CV$1^2)/(4*PI()*$CV$2*DA5)*EXP(-DA5/$CX5)</f>
        <v>4.4501516280506884E-30</v>
      </c>
      <c r="DE5" s="25">
        <f>DC5/DD5</f>
        <v>2.167293052146269</v>
      </c>
      <c r="DF5" s="22">
        <f>DC5/DB5</f>
        <v>-2.3361791140237583E-4</v>
      </c>
      <c r="DG5" s="22">
        <f>DD5/DB5</f>
        <v>-1.0779248850127773E-4</v>
      </c>
      <c r="DH5" s="172">
        <f t="shared" ref="DH5:DH15" si="18">($AF5*$AG5*$CV$1^2)/(4*PI()*$CV$2*CY5^2)</f>
        <v>-4.0782424698179419E-9</v>
      </c>
      <c r="DI5" s="172">
        <f t="shared" ref="DI5:DI15" si="19">($AF5*$AF5*$CV$1^2)/(4*PI()*$CV$2*CZ5^2)</f>
        <v>1.8873507047910052E-9</v>
      </c>
      <c r="DJ5" s="172">
        <f t="shared" ref="DJ5:DJ15" si="20">($AG5*$AG5*$CV$1^2)/(4*PI()*$CV$2*DA5^2)</f>
        <v>1.7796151332691201E-9</v>
      </c>
      <c r="DK5" s="25">
        <f>DI5/DJ5</f>
        <v>1.0605386914888597</v>
      </c>
      <c r="DL5" s="25">
        <f>DI5/DH5</f>
        <v>-0.46278530978940519</v>
      </c>
      <c r="DM5" s="25">
        <f>DJ5/DH5</f>
        <v>-0.43636815281082697</v>
      </c>
    </row>
    <row r="6" spans="1:117" ht="20.25" customHeight="1" x14ac:dyDescent="0.25">
      <c r="A6" s="2" t="s">
        <v>22</v>
      </c>
      <c r="B6" s="30">
        <v>2000</v>
      </c>
      <c r="C6" s="173">
        <f>$G$35*P5+$G$37</f>
        <v>4588166.1378088826</v>
      </c>
      <c r="D6" s="173" t="s">
        <v>137</v>
      </c>
      <c r="E6" s="2">
        <v>1</v>
      </c>
      <c r="F6" s="2">
        <v>28</v>
      </c>
      <c r="G6" s="2">
        <v>28</v>
      </c>
      <c r="H6" s="22">
        <f>F6*1.6726219E-27</f>
        <v>4.6833413199999998E-26</v>
      </c>
      <c r="I6" s="22">
        <f>G6*9.1093856E-31</f>
        <v>2.5506279679999997E-29</v>
      </c>
      <c r="J6" s="24">
        <f>((H6*F6)/(I6*G6))</f>
        <v>1836.1522647586683</v>
      </c>
      <c r="K6" s="24">
        <f>F6/G6</f>
        <v>1</v>
      </c>
      <c r="L6" s="26">
        <f>(H6)-(I6)</f>
        <v>4.680790692032E-26</v>
      </c>
      <c r="M6" s="3">
        <v>58.44</v>
      </c>
      <c r="N6" s="11">
        <f>0.0893*EXP(22000/(8.3144598*P6))/1000</f>
        <v>1.0321390978018604E-3</v>
      </c>
      <c r="O6" s="27">
        <f>P6^-1</f>
        <v>9.2494103500901812E-4</v>
      </c>
      <c r="P6" s="3">
        <v>1081.1500000000001</v>
      </c>
      <c r="Q6" s="5">
        <v>3.765E-5</v>
      </c>
      <c r="R6" s="5">
        <v>3.5E-4</v>
      </c>
      <c r="T6" s="6">
        <v>1.02E-10</v>
      </c>
      <c r="U6" s="6">
        <v>1.81E-10</v>
      </c>
      <c r="V6" s="6">
        <f>U6+T6</f>
        <v>2.8300000000000001E-10</v>
      </c>
      <c r="W6" s="6">
        <f>U6-T6</f>
        <v>7.8999999999999999E-11</v>
      </c>
      <c r="X6" s="6">
        <v>1560000</v>
      </c>
      <c r="Y6" s="4">
        <v>2732.9322499999998</v>
      </c>
      <c r="Z6" s="4">
        <v>-0.91500000000000004</v>
      </c>
      <c r="AA6" s="4">
        <v>2.1393</v>
      </c>
      <c r="AB6" s="4">
        <v>-5.4299999999999997E-4</v>
      </c>
      <c r="AC6" s="4">
        <v>1</v>
      </c>
      <c r="AD6" s="4">
        <v>1</v>
      </c>
      <c r="AE6" s="11">
        <f>AC6+AD6</f>
        <v>2</v>
      </c>
      <c r="AF6" s="11">
        <v>1</v>
      </c>
      <c r="AG6" s="11">
        <v>-1</v>
      </c>
      <c r="AH6" s="178">
        <v>55.3</v>
      </c>
      <c r="AI6" s="178">
        <f t="shared" si="0"/>
        <v>121.0360980053666</v>
      </c>
      <c r="AJ6" s="193">
        <f t="shared" si="1"/>
        <v>5.2760120000000008E-2</v>
      </c>
      <c r="AK6" s="193">
        <v>0.47549999999999998</v>
      </c>
      <c r="AL6" s="193">
        <v>-1.8000000000000001E-4</v>
      </c>
      <c r="AM6" s="200">
        <v>1074.1500000000001</v>
      </c>
      <c r="AN6" s="200">
        <f t="shared" ref="AN6:AN18" si="21">AK6+AL6*(1200-P6)</f>
        <v>0.45410699999999998</v>
      </c>
      <c r="AO6" s="200">
        <f t="shared" si="2"/>
        <v>0.47675999999999996</v>
      </c>
      <c r="AP6" s="199">
        <f t="shared" si="3"/>
        <v>0.46649999999999997</v>
      </c>
      <c r="AQ6" s="178" t="s">
        <v>179</v>
      </c>
      <c r="AR6" s="199">
        <f t="shared" si="4"/>
        <v>0.29291648004868404</v>
      </c>
      <c r="AS6" s="199">
        <f t="shared" si="5"/>
        <v>0.47664358944502805</v>
      </c>
      <c r="AT6" s="199">
        <f t="shared" si="6"/>
        <v>0.30415923375652942</v>
      </c>
      <c r="AU6" s="199">
        <f t="shared" ref="AU6:AU22" si="22">AW6/AY6*AZ6</f>
        <v>0.29184445780135787</v>
      </c>
      <c r="AV6" s="178">
        <v>0.53084165353214496</v>
      </c>
      <c r="AW6" s="178">
        <v>0.346144472817148</v>
      </c>
      <c r="AX6" s="199" t="e">
        <f>AW6/AY6*#REF!*10^-10</f>
        <v>#REF!</v>
      </c>
      <c r="AY6" s="178">
        <v>3.1580623349999998E-10</v>
      </c>
      <c r="AZ6" s="178">
        <v>2.66265407146292E-10</v>
      </c>
      <c r="BA6" s="201">
        <f t="shared" ref="BA6:BA22" si="23">AP6/(1/3*CC6*AY6)</f>
        <v>2396.5316359622593</v>
      </c>
      <c r="BB6" s="234">
        <f t="shared" ref="BB6:BB22" si="24">AP6/(1/3*BV6*AY6)</f>
        <v>2541472.5220926492</v>
      </c>
      <c r="BC6" s="234">
        <f t="shared" ref="BC6:BC23" si="25">AP6/(1/3*CC6*BV6)</f>
        <v>4.3404731912784125E-10</v>
      </c>
      <c r="BD6" s="201"/>
      <c r="BE6" s="181">
        <v>0.36608849367903401</v>
      </c>
      <c r="BF6" s="181">
        <f t="shared" si="7"/>
        <v>0.57106848894692408</v>
      </c>
      <c r="BG6" s="201">
        <f t="shared" ref="BG6:BG10" si="26">BE6/BV6*BW6</f>
        <v>0.46857849131297907</v>
      </c>
      <c r="BH6" s="201">
        <f t="shared" ref="BH6:BH14" si="27">BE6/(BV6*BN6)*BW6*BO6</f>
        <v>0.55353738599907809</v>
      </c>
      <c r="BI6" s="201">
        <f t="shared" si="8"/>
        <v>0.43246472382378331</v>
      </c>
      <c r="BJ6" s="201">
        <f t="shared" ref="BJ6:BJ14" si="28">BE6/(BN6*BV6)*BO6*BX6</f>
        <v>0.67461004817437287</v>
      </c>
      <c r="BK6" s="182">
        <v>1096065992.68455</v>
      </c>
      <c r="BL6" s="202">
        <f t="shared" ref="BL6:BL14" si="29">BK6/BV6*BX6</f>
        <v>1709774442.616751</v>
      </c>
      <c r="BM6" s="202">
        <f t="shared" ref="BM6:BM14" si="30">BK6/BV6*BW6</f>
        <v>1402920217.6506505</v>
      </c>
      <c r="BN6" s="182">
        <v>3.3400223720324102E-10</v>
      </c>
      <c r="BO6" s="182">
        <v>3.94560844611702E-10</v>
      </c>
      <c r="BP6" s="182">
        <v>7.0750000000000001E-11</v>
      </c>
      <c r="BQ6" s="189">
        <f>AP6/BK6</f>
        <v>4.2561305898873879E-10</v>
      </c>
      <c r="BR6" s="203">
        <f t="shared" ref="BR6:BS10" si="31">$AP$5/BL6</f>
        <v>3.5829287462177575E-10</v>
      </c>
      <c r="BS6" s="203">
        <f t="shared" si="31"/>
        <v>4.3666061141086727E-10</v>
      </c>
      <c r="BT6" s="184">
        <v>2.0640716413749399E-4</v>
      </c>
      <c r="BU6" s="204">
        <f t="shared" ref="BU6:BU14" si="32">BT6/BN6*BO6</f>
        <v>2.4383125603568732E-4</v>
      </c>
      <c r="BV6" s="232">
        <f>Y6+Z6*P6</f>
        <v>1743.6799999999998</v>
      </c>
      <c r="BW6" s="205">
        <f t="shared" ref="BW6:BW14" si="33">AVERAGE(BV6,BX6)</f>
        <v>2231.84</v>
      </c>
      <c r="BX6" s="230">
        <v>2720</v>
      </c>
      <c r="BY6" s="183" t="s">
        <v>122</v>
      </c>
      <c r="BZ6" s="191">
        <f t="shared" si="9"/>
        <v>2260.0959707447478</v>
      </c>
      <c r="CA6" s="206">
        <f t="shared" si="9"/>
        <v>1913.2083703482324</v>
      </c>
      <c r="CB6" s="185">
        <v>69.62</v>
      </c>
      <c r="CC6" s="186">
        <f t="shared" si="10"/>
        <v>1849136.7861885792</v>
      </c>
      <c r="CD6" s="186">
        <v>1.9797804922458501E-7</v>
      </c>
      <c r="CE6" s="186">
        <f t="shared" si="11"/>
        <v>3.0282869506427185E-7</v>
      </c>
      <c r="CF6" s="208">
        <f t="shared" ref="CF6:CF14" si="34">1/3*BW6*BN6</f>
        <v>2.4847985102656052E-7</v>
      </c>
      <c r="CG6" s="208">
        <f t="shared" ref="CG6:CG14" si="35">1/3*BW6*BO6</f>
        <v>2.9353222514606033E-7</v>
      </c>
      <c r="CH6" s="208">
        <f t="shared" ref="CH6:CH15" si="36">1/3*BV6*BO6</f>
        <v>2.2932928451084414E-7</v>
      </c>
      <c r="CI6" s="208">
        <f t="shared" ref="CI6:CI14" si="37">1/3*BX6*BO6</f>
        <v>3.5773516578127647E-7</v>
      </c>
      <c r="CJ6" s="210">
        <f t="shared" si="12"/>
        <v>2356321.8337948439</v>
      </c>
      <c r="CK6" s="210">
        <f t="shared" si="12"/>
        <v>1540474.8876290959</v>
      </c>
      <c r="CL6" s="211">
        <f t="shared" si="12"/>
        <v>1877415.8068459837</v>
      </c>
      <c r="CM6" s="211">
        <f t="shared" si="12"/>
        <v>1589263.3245561766</v>
      </c>
      <c r="CN6" s="210">
        <f t="shared" si="12"/>
        <v>2034192.8899095349</v>
      </c>
      <c r="CO6" s="210">
        <f t="shared" si="12"/>
        <v>1304037.3008373005</v>
      </c>
      <c r="CP6" s="22">
        <f t="shared" ref="CP6:CP23" si="38">1/CQ6</f>
        <v>2635440131.8514771</v>
      </c>
      <c r="CQ6" s="8">
        <f>N6/(X6/1000*(Y6+Z6*P6))</f>
        <v>3.7944326183477726E-10</v>
      </c>
      <c r="CR6" s="11">
        <v>22.99</v>
      </c>
      <c r="CS6" s="32">
        <v>35.450000000000003</v>
      </c>
      <c r="CT6" s="25">
        <f t="shared" si="13"/>
        <v>58.44</v>
      </c>
      <c r="CU6" s="4"/>
      <c r="CV6" s="11">
        <f>CR6/CT6</f>
        <v>0.39339493497604378</v>
      </c>
      <c r="CW6" s="11">
        <f t="shared" si="14"/>
        <v>1.5995059760956174E+28</v>
      </c>
      <c r="CX6" s="11">
        <f t="shared" si="15"/>
        <v>1.7941372563134259E-11</v>
      </c>
      <c r="CY6" s="227">
        <v>2.66265407146292E-10</v>
      </c>
      <c r="CZ6" s="227">
        <v>3.9456084468176301E-10</v>
      </c>
      <c r="DA6" s="227">
        <v>3.9212537593987905E-10</v>
      </c>
      <c r="DB6" s="22">
        <f t="shared" ref="DB6:DB15" si="39">($AF6*$AG6*$CV$1^2)/(4*PI()*$CV$2*CY6)*EXP(-CY6/$CX6)</f>
        <v>-3.1077323728082518E-25</v>
      </c>
      <c r="DC6" s="22">
        <f t="shared" si="16"/>
        <v>1.6446929945472806E-28</v>
      </c>
      <c r="DD6" s="22">
        <f t="shared" si="17"/>
        <v>1.895516626133582E-28</v>
      </c>
      <c r="DE6" s="25">
        <f t="shared" ref="DE6:DE15" si="40">DC6/DD6</f>
        <v>0.86767531968425726</v>
      </c>
      <c r="DF6" s="22">
        <f t="shared" ref="DF6:DF15" si="41">DC6/DB6</f>
        <v>-5.2922607137534188E-4</v>
      </c>
      <c r="DG6" s="22">
        <f t="shared" ref="DG6:DG15" si="42">DD6/DB6</f>
        <v>-6.0993560536898143E-4</v>
      </c>
      <c r="DH6" s="172">
        <f t="shared" si="18"/>
        <v>-3.2541133806154346E-9</v>
      </c>
      <c r="DI6" s="172">
        <f t="shared" si="19"/>
        <v>1.4819522334191937E-9</v>
      </c>
      <c r="DJ6" s="172">
        <f t="shared" si="20"/>
        <v>1.5004180455457541E-9</v>
      </c>
      <c r="DK6" s="25">
        <f t="shared" ref="DK6:DK15" si="43">DI6/DJ6</f>
        <v>0.98769288853771164</v>
      </c>
      <c r="DL6" s="25">
        <f t="shared" ref="DL6:DL15" si="44">DI6/DH6</f>
        <v>-0.45540891176290832</v>
      </c>
      <c r="DM6" s="25">
        <f t="shared" ref="DM6:DM15" si="45">DJ6/DH6</f>
        <v>-0.46108351801251229</v>
      </c>
    </row>
    <row r="7" spans="1:117" s="11" customFormat="1" ht="20.25" customHeight="1" x14ac:dyDescent="0.25">
      <c r="A7" s="2" t="s">
        <v>23</v>
      </c>
      <c r="B7" s="30">
        <v>1300</v>
      </c>
      <c r="C7" s="173">
        <f>$K$35*P7+$K$37</f>
        <v>2436836.8373309374</v>
      </c>
      <c r="D7" s="173" t="s">
        <v>138</v>
      </c>
      <c r="E7" s="2">
        <v>1</v>
      </c>
      <c r="F7" s="2">
        <v>36</v>
      </c>
      <c r="G7" s="2">
        <v>36</v>
      </c>
      <c r="H7" s="22">
        <v>6.0214388399999996E-26</v>
      </c>
      <c r="I7" s="22">
        <v>3.2793788159999999E-29</v>
      </c>
      <c r="J7" s="24">
        <v>1836.1522647586683</v>
      </c>
      <c r="K7" s="24">
        <v>1</v>
      </c>
      <c r="L7" s="26">
        <v>6.0181594611840001E-26</v>
      </c>
      <c r="M7" s="3">
        <v>74.551299999999998</v>
      </c>
      <c r="N7" s="11">
        <v>1.1078669041234444E-3</v>
      </c>
      <c r="O7" s="27">
        <v>9.5680045926422035E-4</v>
      </c>
      <c r="P7" s="3">
        <v>1045.1500000000001</v>
      </c>
      <c r="Q7" s="5">
        <v>4.884E-5</v>
      </c>
      <c r="R7" s="5">
        <v>3.8200000000000002E-4</v>
      </c>
      <c r="S7" s="32"/>
      <c r="T7" s="6">
        <v>1.3799999999999999E-10</v>
      </c>
      <c r="U7" s="6">
        <v>1.81E-10</v>
      </c>
      <c r="V7" s="6">
        <v>3.1899999999999998E-10</v>
      </c>
      <c r="W7" s="6">
        <f t="shared" ref="W7:W17" si="46">U7-T7</f>
        <v>4.3000000000000007E-11</v>
      </c>
      <c r="X7" s="6">
        <v>1530000</v>
      </c>
      <c r="Y7" s="11">
        <v>2514.8256999999999</v>
      </c>
      <c r="Z7" s="11">
        <v>-0.878</v>
      </c>
      <c r="AA7" s="11">
        <v>2.1358999999999999</v>
      </c>
      <c r="AB7" s="11">
        <v>-5.8310000000000002E-4</v>
      </c>
      <c r="AC7" s="11">
        <v>1</v>
      </c>
      <c r="AD7" s="11">
        <v>1</v>
      </c>
      <c r="AE7" s="11">
        <v>2</v>
      </c>
      <c r="AF7" s="11">
        <v>1</v>
      </c>
      <c r="AG7" s="11">
        <v>-1</v>
      </c>
      <c r="AH7" s="178">
        <v>29.4</v>
      </c>
      <c r="AI7" s="178">
        <f t="shared" si="0"/>
        <v>62.143384501088875</v>
      </c>
      <c r="AJ7" s="193">
        <f t="shared" si="1"/>
        <v>3.3152158000000001E-2</v>
      </c>
      <c r="AK7" s="193">
        <v>0.35930000000000001</v>
      </c>
      <c r="AL7" s="193">
        <v>-8.5000000000000006E-5</v>
      </c>
      <c r="AM7" s="200">
        <v>1043</v>
      </c>
      <c r="AN7" s="200">
        <f t="shared" si="21"/>
        <v>0.34613775000000002</v>
      </c>
      <c r="AO7" s="200">
        <f t="shared" si="2"/>
        <v>0.35948275000000002</v>
      </c>
      <c r="AP7" s="199">
        <f t="shared" si="3"/>
        <v>0.35505000000000003</v>
      </c>
      <c r="AQ7" s="178" t="s">
        <v>179</v>
      </c>
      <c r="AR7" s="199">
        <f t="shared" si="4"/>
        <v>0.24562626056139727</v>
      </c>
      <c r="AS7" s="199">
        <f t="shared" si="5"/>
        <v>0.40292569836757913</v>
      </c>
      <c r="AT7" s="199">
        <f t="shared" si="6"/>
        <v>0.25593314786786775</v>
      </c>
      <c r="AU7" s="199">
        <f t="shared" si="22"/>
        <v>0.24533629939701559</v>
      </c>
      <c r="AV7" s="178">
        <v>0.41602860665791702</v>
      </c>
      <c r="AW7" s="178">
        <v>0.28781059971565698</v>
      </c>
      <c r="AX7" s="199" t="e">
        <f>AW7/AY7*#REF!*10^-10</f>
        <v>#REF!</v>
      </c>
      <c r="AY7" s="178">
        <v>3.5060205590000002E-10</v>
      </c>
      <c r="AZ7" s="178">
        <v>2.9886116439238405E-10</v>
      </c>
      <c r="BA7" s="201">
        <f t="shared" si="23"/>
        <v>2016.0168340277282</v>
      </c>
      <c r="BB7" s="234">
        <f t="shared" si="24"/>
        <v>1902135.1117129845</v>
      </c>
      <c r="BC7" s="234">
        <f t="shared" si="25"/>
        <v>4.4254115163884105E-10</v>
      </c>
      <c r="BD7" s="201"/>
      <c r="BE7" s="181">
        <v>0.296937775746827</v>
      </c>
      <c r="BF7" s="181">
        <f t="shared" si="7"/>
        <v>0.43875542878122487</v>
      </c>
      <c r="BG7" s="201">
        <f t="shared" si="26"/>
        <v>0.36784660226402593</v>
      </c>
      <c r="BH7" s="201">
        <f t="shared" si="27"/>
        <v>0.45527649679112014</v>
      </c>
      <c r="BI7" s="201">
        <f t="shared" si="8"/>
        <v>0.36751403839236602</v>
      </c>
      <c r="BJ7" s="201">
        <f t="shared" si="28"/>
        <v>0.54303895518987422</v>
      </c>
      <c r="BK7" s="182">
        <v>820903913.34655297</v>
      </c>
      <c r="BL7" s="202">
        <f t="shared" si="29"/>
        <v>1212968096.0351877</v>
      </c>
      <c r="BM7" s="202">
        <f t="shared" si="30"/>
        <v>1016936004.6908704</v>
      </c>
      <c r="BN7" s="182">
        <v>3.6182029353950698E-10</v>
      </c>
      <c r="BO7" s="182">
        <v>4.4781785313967899E-10</v>
      </c>
      <c r="BP7" s="182">
        <v>7.9749999999999996E-11</v>
      </c>
      <c r="BQ7" s="189">
        <f>AP7/BK7</f>
        <v>4.3251103354176857E-10</v>
      </c>
      <c r="BR7" s="203">
        <f t="shared" si="31"/>
        <v>5.0504213754870988E-10</v>
      </c>
      <c r="BS7" s="203">
        <f t="shared" si="31"/>
        <v>6.0239778823272075E-10</v>
      </c>
      <c r="BT7" s="184">
        <v>1.8192385680367899E-4</v>
      </c>
      <c r="BU7" s="204">
        <f t="shared" si="32"/>
        <v>2.2516357551906739E-4</v>
      </c>
      <c r="BV7" s="232">
        <f>Y7+Z7*P7</f>
        <v>1597.1839999999997</v>
      </c>
      <c r="BW7" s="205">
        <f t="shared" si="33"/>
        <v>1978.5919999999999</v>
      </c>
      <c r="BX7" s="230">
        <v>2360</v>
      </c>
      <c r="BY7" s="183" t="s">
        <v>121</v>
      </c>
      <c r="BZ7" s="191">
        <f t="shared" si="9"/>
        <v>1951.6406821956732</v>
      </c>
      <c r="CA7" s="206">
        <f t="shared" si="9"/>
        <v>1576.8536237777657</v>
      </c>
      <c r="CB7" s="185">
        <v>73.599999999999994</v>
      </c>
      <c r="CC7" s="186">
        <f t="shared" si="10"/>
        <v>1506961.5069615068</v>
      </c>
      <c r="CD7" s="180">
        <v>1.9709839536224268E-7</v>
      </c>
      <c r="CE7" s="186">
        <f t="shared" si="11"/>
        <v>2.8463196425107878E-7</v>
      </c>
      <c r="CF7" s="208">
        <f t="shared" si="34"/>
        <v>2.3863157941164004E-7</v>
      </c>
      <c r="CG7" s="208">
        <f t="shared" si="35"/>
        <v>2.9534960722644786E-7</v>
      </c>
      <c r="CH7" s="208">
        <f t="shared" si="36"/>
        <v>2.3841583664968165E-7</v>
      </c>
      <c r="CI7" s="208">
        <f t="shared" si="37"/>
        <v>3.5228337780321413E-7</v>
      </c>
      <c r="CJ7" s="210">
        <f t="shared" si="12"/>
        <v>1801384.5285115675</v>
      </c>
      <c r="CK7" s="210">
        <f t="shared" si="12"/>
        <v>1247400.3084446422</v>
      </c>
      <c r="CL7" s="211">
        <f t="shared" si="12"/>
        <v>1487858.4002812887</v>
      </c>
      <c r="CM7" s="211">
        <f t="shared" si="12"/>
        <v>1202134.6611366211</v>
      </c>
      <c r="CN7" s="210">
        <f t="shared" si="12"/>
        <v>1489204.765041241</v>
      </c>
      <c r="CO7" s="210">
        <f t="shared" si="12"/>
        <v>1007853.3997659445</v>
      </c>
      <c r="CP7" s="22">
        <f t="shared" si="38"/>
        <v>2205762723.7573934</v>
      </c>
      <c r="CQ7" s="22">
        <v>4.5335791979318428E-10</v>
      </c>
      <c r="CR7" s="4">
        <v>39.1</v>
      </c>
      <c r="CS7" s="32">
        <v>35.450000000000003</v>
      </c>
      <c r="CT7" s="25">
        <f t="shared" si="13"/>
        <v>74.550000000000011</v>
      </c>
      <c r="CV7" s="11">
        <f t="shared" ref="CV7:CV15" si="47">CR7/CT7</f>
        <v>0.52448021462105965</v>
      </c>
      <c r="CW7" s="11">
        <f t="shared" si="14"/>
        <v>1.2330343980343979E+28</v>
      </c>
      <c r="CX7" s="11">
        <f t="shared" si="15"/>
        <v>2.0091267600162987E-11</v>
      </c>
      <c r="CY7" s="172">
        <v>2.9886116439238405E-10</v>
      </c>
      <c r="CZ7" s="172">
        <v>4.4781785313967904E-10</v>
      </c>
      <c r="DA7" s="172">
        <v>4.5057108186773498E-10</v>
      </c>
      <c r="DB7" s="22">
        <f t="shared" si="39"/>
        <v>-2.6753791875773571E-25</v>
      </c>
      <c r="DC7" s="22">
        <f t="shared" si="16"/>
        <v>1.0762011978874663E-28</v>
      </c>
      <c r="DD7" s="22">
        <f t="shared" si="17"/>
        <v>9.326475265360987E-29</v>
      </c>
      <c r="DE7" s="25">
        <f t="shared" si="40"/>
        <v>1.1539206048018307</v>
      </c>
      <c r="DF7" s="22">
        <f t="shared" si="41"/>
        <v>-4.0226118334351008E-4</v>
      </c>
      <c r="DG7" s="22">
        <f t="shared" si="42"/>
        <v>-3.4860386552555992E-4</v>
      </c>
      <c r="DH7" s="172">
        <f t="shared" si="18"/>
        <v>-2.5829928653206969E-9</v>
      </c>
      <c r="DI7" s="172">
        <f t="shared" si="19"/>
        <v>1.1504277996851191E-9</v>
      </c>
      <c r="DJ7" s="172">
        <f t="shared" si="20"/>
        <v>1.1364113047341505E-9</v>
      </c>
      <c r="DK7" s="25">
        <f t="shared" si="43"/>
        <v>1.0123339981682491</v>
      </c>
      <c r="DL7" s="25">
        <f t="shared" si="44"/>
        <v>-0.44538558937997114</v>
      </c>
      <c r="DM7" s="25">
        <f t="shared" si="45"/>
        <v>-0.43995913422434363</v>
      </c>
    </row>
    <row r="8" spans="1:117" s="11" customFormat="1" ht="20.25" customHeight="1" x14ac:dyDescent="0.25">
      <c r="A8" s="2" t="s">
        <v>16</v>
      </c>
      <c r="B8" s="30">
        <v>150</v>
      </c>
      <c r="C8" s="173">
        <f>$B$35*P8+$B$37</f>
        <v>2554019.5537003749</v>
      </c>
      <c r="D8" s="173" t="s">
        <v>139</v>
      </c>
      <c r="E8" s="2">
        <v>1</v>
      </c>
      <c r="F8" s="2">
        <v>12</v>
      </c>
      <c r="G8" s="2">
        <v>12</v>
      </c>
      <c r="H8" s="22">
        <v>2.0071462799999999E-26</v>
      </c>
      <c r="I8" s="22">
        <v>1.0931262719999999E-29</v>
      </c>
      <c r="J8" s="24">
        <v>1836.1522647586683</v>
      </c>
      <c r="K8" s="24">
        <v>1</v>
      </c>
      <c r="L8" s="26">
        <v>2.0060531537279999E-26</v>
      </c>
      <c r="M8" s="3">
        <v>25.939</v>
      </c>
      <c r="N8" s="11">
        <v>2.0988673196732184E-3</v>
      </c>
      <c r="O8" s="27">
        <v>8.9433439162902998E-4</v>
      </c>
      <c r="P8" s="3">
        <v>1118.1500000000001</v>
      </c>
      <c r="Q8" s="5">
        <v>1.42E-5</v>
      </c>
      <c r="R8" s="5">
        <v>2.6800000000000001E-4</v>
      </c>
      <c r="S8" s="32"/>
      <c r="T8" s="6">
        <v>7.5999999999999996E-11</v>
      </c>
      <c r="U8" s="6">
        <v>1.3300000000000001E-10</v>
      </c>
      <c r="V8" s="6">
        <v>2.09E-10</v>
      </c>
      <c r="W8" s="6">
        <f t="shared" si="46"/>
        <v>5.700000000000001E-11</v>
      </c>
      <c r="X8" s="6">
        <v>1810000</v>
      </c>
      <c r="Y8" s="11">
        <v>2547.8000000000002</v>
      </c>
      <c r="Z8" s="11">
        <v>0</v>
      </c>
      <c r="AA8" s="11">
        <v>2.3580999999999999</v>
      </c>
      <c r="AB8" s="11">
        <v>-4.9019999999999999E-4</v>
      </c>
      <c r="AC8" s="11">
        <v>1</v>
      </c>
      <c r="AD8" s="11">
        <v>1</v>
      </c>
      <c r="AE8" s="11">
        <v>2</v>
      </c>
      <c r="AF8" s="11">
        <v>1</v>
      </c>
      <c r="AG8" s="11">
        <v>-1</v>
      </c>
      <c r="AH8" s="178">
        <v>62.5</v>
      </c>
      <c r="AI8" s="178">
        <f t="shared" si="0"/>
        <v>69.680957920869815</v>
      </c>
      <c r="AJ8" s="193">
        <f t="shared" si="1"/>
        <v>4.0924290000000007E-3</v>
      </c>
      <c r="AK8" s="193">
        <v>1.35</v>
      </c>
      <c r="AL8" s="193">
        <v>-3.7500000000000001E-4</v>
      </c>
      <c r="AM8" s="200">
        <v>1121</v>
      </c>
      <c r="AN8" s="200">
        <f t="shared" si="21"/>
        <v>1.3193062500000001</v>
      </c>
      <c r="AO8" s="200">
        <f t="shared" si="2"/>
        <v>1.3489312500000001</v>
      </c>
      <c r="AP8" s="199">
        <f t="shared" si="3"/>
        <v>1.33125</v>
      </c>
      <c r="AQ8" s="178" t="s">
        <v>180</v>
      </c>
      <c r="AR8" s="199">
        <f t="shared" si="4"/>
        <v>0.72198244099516784</v>
      </c>
      <c r="AS8" s="199">
        <f t="shared" si="5"/>
        <v>0.80248523098591562</v>
      </c>
      <c r="AT8" s="199">
        <f t="shared" si="6"/>
        <v>0.80248523098591562</v>
      </c>
      <c r="AU8" s="199">
        <f t="shared" si="22"/>
        <v>0.72198244099516784</v>
      </c>
      <c r="AV8" s="178">
        <v>1.22987712739888</v>
      </c>
      <c r="AW8" s="178">
        <v>0.90368250947301099</v>
      </c>
      <c r="AX8" s="199" t="e">
        <f>AW8/AY8*#REF!*10^-10</f>
        <v>#REF!</v>
      </c>
      <c r="AY8" s="178">
        <v>2.3551445219999998E-10</v>
      </c>
      <c r="AZ8" s="178">
        <v>1.8816044053807599E-10</v>
      </c>
      <c r="BA8" s="201">
        <f t="shared" si="23"/>
        <v>3750.7371436729086</v>
      </c>
      <c r="BB8" s="234">
        <f t="shared" si="24"/>
        <v>6655765.0020011952</v>
      </c>
      <c r="BC8" s="234">
        <f t="shared" si="25"/>
        <v>3.4671198827942447E-10</v>
      </c>
      <c r="BD8" s="201"/>
      <c r="BE8" s="181">
        <v>0.90535258306336996</v>
      </c>
      <c r="BF8" s="181">
        <f t="shared" si="7"/>
        <v>1.2437138082745092</v>
      </c>
      <c r="BG8" s="201">
        <f t="shared" si="26"/>
        <v>1.0745331956689395</v>
      </c>
      <c r="BH8" s="201">
        <f t="shared" si="27"/>
        <v>1.2835318766111998</v>
      </c>
      <c r="BI8" s="201">
        <f t="shared" si="8"/>
        <v>1.0814453239955075</v>
      </c>
      <c r="BJ8" s="201">
        <f t="shared" si="28"/>
        <v>1.4856184292268921</v>
      </c>
      <c r="BK8" s="182">
        <v>3837057560.7207298</v>
      </c>
      <c r="BL8" s="202">
        <f t="shared" si="29"/>
        <v>5271097206.4222279</v>
      </c>
      <c r="BM8" s="202">
        <f t="shared" si="30"/>
        <v>4554077383.5714788</v>
      </c>
      <c r="BN8" s="182">
        <v>2.3591537099888599E-10</v>
      </c>
      <c r="BO8" s="182">
        <v>2.8180134413727398E-10</v>
      </c>
      <c r="BP8" s="182">
        <v>5.2250000000000001E-11</v>
      </c>
      <c r="BQ8" s="190">
        <f>AP8/BK8</f>
        <v>3.4694553806744197E-10</v>
      </c>
      <c r="BR8" s="203">
        <f t="shared" si="31"/>
        <v>1.1621868768680972E-10</v>
      </c>
      <c r="BS8" s="203">
        <f t="shared" si="31"/>
        <v>1.3451681831536558E-10</v>
      </c>
      <c r="BT8" s="184">
        <v>3.5199164586657898E-4</v>
      </c>
      <c r="BU8" s="204">
        <f t="shared" si="32"/>
        <v>4.204546677493163E-4</v>
      </c>
      <c r="BV8" s="232">
        <f>Y8+Z8*P8</f>
        <v>2547.8000000000002</v>
      </c>
      <c r="BW8" s="205">
        <f t="shared" si="33"/>
        <v>3023.9</v>
      </c>
      <c r="BX8" s="230">
        <v>3500</v>
      </c>
      <c r="BY8" s="183"/>
      <c r="BZ8" s="191">
        <f t="shared" si="9"/>
        <v>3782.0499879267163</v>
      </c>
      <c r="CA8" s="206">
        <f t="shared" si="9"/>
        <v>3166.2152952805809</v>
      </c>
      <c r="CB8" s="185">
        <v>64.2</v>
      </c>
      <c r="CC8" s="186">
        <f t="shared" si="10"/>
        <v>4521126.760563381</v>
      </c>
      <c r="CD8" s="180">
        <v>2.002201897716116E-7</v>
      </c>
      <c r="CE8" s="186">
        <f t="shared" si="11"/>
        <v>2.752345994987003E-7</v>
      </c>
      <c r="CF8" s="208">
        <f t="shared" si="34"/>
        <v>2.3779483012117713E-7</v>
      </c>
      <c r="CG8" s="208">
        <f t="shared" si="35"/>
        <v>2.8404636151223427E-7</v>
      </c>
      <c r="CH8" s="208">
        <f t="shared" si="36"/>
        <v>2.3932448819764887E-7</v>
      </c>
      <c r="CI8" s="208">
        <f t="shared" si="37"/>
        <v>3.2876823482681962E-7</v>
      </c>
      <c r="CJ8" s="210">
        <f t="shared" si="12"/>
        <v>6648929.8682542378</v>
      </c>
      <c r="CK8" s="210">
        <f t="shared" si="12"/>
        <v>4836782.8842183277</v>
      </c>
      <c r="CL8" s="211">
        <f t="shared" si="12"/>
        <v>5598313.4676292688</v>
      </c>
      <c r="CM8" s="211">
        <f t="shared" si="12"/>
        <v>4686734.9150770986</v>
      </c>
      <c r="CN8" s="210">
        <f t="shared" si="12"/>
        <v>5562531.4819458509</v>
      </c>
      <c r="CO8" s="210">
        <f t="shared" si="12"/>
        <v>4049205.0599147542</v>
      </c>
      <c r="CP8" s="22">
        <f t="shared" si="38"/>
        <v>2197146030.5161104</v>
      </c>
      <c r="CQ8" s="22">
        <v>4.5513588360128237E-10</v>
      </c>
      <c r="CR8" s="11">
        <v>6.94</v>
      </c>
      <c r="CS8" s="32">
        <v>19</v>
      </c>
      <c r="CT8" s="25">
        <f t="shared" si="13"/>
        <v>25.94</v>
      </c>
      <c r="CV8" s="11">
        <f t="shared" si="47"/>
        <v>0.26754047802621433</v>
      </c>
      <c r="CW8" s="11">
        <f t="shared" si="14"/>
        <v>4.2409436619718312E+28</v>
      </c>
      <c r="CX8" s="11">
        <f t="shared" si="15"/>
        <v>1.1205323631899612E-11</v>
      </c>
      <c r="CY8" s="172">
        <v>1.8816044053807599E-10</v>
      </c>
      <c r="CZ8" s="172">
        <v>2.8180134413727398E-10</v>
      </c>
      <c r="DA8" s="172">
        <v>2.82245753745491E-10</v>
      </c>
      <c r="DB8" s="22">
        <f t="shared" si="39"/>
        <v>-6.2493647254461605E-26</v>
      </c>
      <c r="DC8" s="22">
        <f t="shared" si="16"/>
        <v>9.7971356258202976E-30</v>
      </c>
      <c r="DD8" s="22">
        <f t="shared" si="17"/>
        <v>9.4013537312610875E-30</v>
      </c>
      <c r="DE8" s="25">
        <f t="shared" si="40"/>
        <v>1.0420983941113893</v>
      </c>
      <c r="DF8" s="22">
        <f t="shared" si="41"/>
        <v>-1.5677010474246007E-4</v>
      </c>
      <c r="DG8" s="22">
        <f t="shared" si="42"/>
        <v>-1.504369507028556E-4</v>
      </c>
      <c r="DH8" s="172">
        <f t="shared" si="18"/>
        <v>-6.5163669525834072E-9</v>
      </c>
      <c r="DI8" s="172">
        <f t="shared" si="19"/>
        <v>2.9052001262871297E-9</v>
      </c>
      <c r="DJ8" s="172">
        <f t="shared" si="20"/>
        <v>2.896058572276397E-9</v>
      </c>
      <c r="DK8" s="25">
        <f t="shared" si="43"/>
        <v>1.003156550112019</v>
      </c>
      <c r="DL8" s="25">
        <f t="shared" si="44"/>
        <v>-0.4458312657078598</v>
      </c>
      <c r="DM8" s="25">
        <f t="shared" si="45"/>
        <v>-0.44442840517571797</v>
      </c>
    </row>
    <row r="9" spans="1:117" ht="20.25" customHeight="1" x14ac:dyDescent="0.25">
      <c r="A9" s="2" t="s">
        <v>17</v>
      </c>
      <c r="B9" s="29">
        <v>300</v>
      </c>
      <c r="C9" s="173">
        <f>$G$35*P8+$G$37</f>
        <v>3363565.435277028</v>
      </c>
      <c r="D9" s="173" t="s">
        <v>140</v>
      </c>
      <c r="E9" s="2">
        <v>1</v>
      </c>
      <c r="F9" s="2">
        <v>20</v>
      </c>
      <c r="G9" s="2">
        <v>20</v>
      </c>
      <c r="H9" s="22">
        <f>F9*1.6726219E-27</f>
        <v>3.3452438000000001E-26</v>
      </c>
      <c r="I9" s="22">
        <f>G9*9.1093856E-31</f>
        <v>1.82187712E-29</v>
      </c>
      <c r="J9" s="24">
        <f>((H9*F9)/(I9*G9))</f>
        <v>1836.1522647586683</v>
      </c>
      <c r="K9" s="24">
        <f>F9/G9</f>
        <v>1</v>
      </c>
      <c r="L9" s="26">
        <f>(H9)-(I9)</f>
        <v>3.3434219228800004E-26</v>
      </c>
      <c r="M9" s="3">
        <v>41.988</v>
      </c>
      <c r="N9" s="11">
        <f>0.12*EXP(26500/(8.3144598*P9))/1000</f>
        <v>1.4814456494713717E-3</v>
      </c>
      <c r="O9" s="27">
        <f>P9^-1</f>
        <v>7.885502503647044E-4</v>
      </c>
      <c r="P9" s="3">
        <v>1268.1500000000001</v>
      </c>
      <c r="Q9" s="5">
        <v>2.16E-5</v>
      </c>
      <c r="R9" s="5">
        <v>2.8800000000000001E-4</v>
      </c>
      <c r="T9" s="6">
        <v>1.02E-10</v>
      </c>
      <c r="U9" s="6">
        <v>1.3300000000000001E-10</v>
      </c>
      <c r="V9" s="6">
        <f>U9+T9</f>
        <v>2.3500000000000002E-10</v>
      </c>
      <c r="W9" s="6">
        <f t="shared" si="46"/>
        <v>3.1000000000000009E-11</v>
      </c>
      <c r="X9" s="6">
        <v>1950000</v>
      </c>
      <c r="Y9" s="7">
        <v>2085.5</v>
      </c>
      <c r="Z9" s="4">
        <v>0</v>
      </c>
      <c r="AA9" s="8">
        <v>2.7549999999999999</v>
      </c>
      <c r="AB9" s="4">
        <v>-6.3599999999999996E-4</v>
      </c>
      <c r="AC9" s="4">
        <v>1</v>
      </c>
      <c r="AD9" s="4">
        <v>1</v>
      </c>
      <c r="AE9" s="11">
        <f>AC9+AD9</f>
        <v>2</v>
      </c>
      <c r="AF9" s="11">
        <v>1</v>
      </c>
      <c r="AG9" s="11">
        <v>-1</v>
      </c>
      <c r="AH9" s="178">
        <v>47.6</v>
      </c>
      <c r="AI9" s="178">
        <f t="shared" si="0"/>
        <v>104.07833436461614</v>
      </c>
      <c r="AJ9" s="193">
        <f t="shared" si="1"/>
        <v>9.2828580000000015E-3</v>
      </c>
      <c r="AK9" s="193">
        <v>0.84099999999999997</v>
      </c>
      <c r="AL9" s="193">
        <v>-2.6200000000000003E-4</v>
      </c>
      <c r="AM9" s="200">
        <v>1266.1500000000001</v>
      </c>
      <c r="AN9" s="200">
        <f t="shared" si="21"/>
        <v>0.85885529999999999</v>
      </c>
      <c r="AO9" s="200">
        <f t="shared" si="2"/>
        <v>0.84152399999999994</v>
      </c>
      <c r="AP9" s="199">
        <f t="shared" si="3"/>
        <v>0.82789999999999997</v>
      </c>
      <c r="AQ9" s="178" t="s">
        <v>180</v>
      </c>
      <c r="AR9" s="199">
        <f t="shared" si="4"/>
        <v>0.49067523585877765</v>
      </c>
      <c r="AS9" s="199">
        <f t="shared" si="5"/>
        <v>0.53093354166666662</v>
      </c>
      <c r="AT9" s="199">
        <f t="shared" si="6"/>
        <v>0.53093354166666662</v>
      </c>
      <c r="AU9" s="199">
        <f>AW9/AY9*AZ9</f>
        <v>0.49067523585877765</v>
      </c>
      <c r="AV9" s="178">
        <v>0.78264084714836502</v>
      </c>
      <c r="AW9" s="178">
        <v>0.59812175800891498</v>
      </c>
      <c r="AX9" s="199" t="e">
        <f>AW9/AY9*#REF!*10^-10</f>
        <v>#REF!</v>
      </c>
      <c r="AY9" s="178">
        <v>2.6496648079999998E-10</v>
      </c>
      <c r="AZ9" s="178">
        <v>2.1736793340206901E-10</v>
      </c>
      <c r="BA9" s="201">
        <f t="shared" si="23"/>
        <v>2884.1964549932036</v>
      </c>
      <c r="BB9" s="234">
        <f t="shared" si="24"/>
        <v>4494672.010898063</v>
      </c>
      <c r="BC9" s="234">
        <f t="shared" si="25"/>
        <v>3.6644228463935967E-10</v>
      </c>
      <c r="BD9" s="201"/>
      <c r="BE9" s="181">
        <v>0.61286742806674199</v>
      </c>
      <c r="BF9" s="181">
        <f t="shared" si="7"/>
        <v>0.79932841253490206</v>
      </c>
      <c r="BG9" s="201">
        <f t="shared" si="26"/>
        <v>0.70609792030082197</v>
      </c>
      <c r="BH9" s="201">
        <f t="shared" si="27"/>
        <v>0.84980152002576392</v>
      </c>
      <c r="BI9" s="201">
        <f t="shared" si="8"/>
        <v>0.73759694933460851</v>
      </c>
      <c r="BJ9" s="201">
        <f t="shared" si="28"/>
        <v>0.96200609071691934</v>
      </c>
      <c r="BK9" s="179">
        <v>2260641605.9165201</v>
      </c>
      <c r="BL9" s="202">
        <f t="shared" si="29"/>
        <v>2948427316.275682</v>
      </c>
      <c r="BM9" s="202">
        <f t="shared" si="30"/>
        <v>2604534461.0961008</v>
      </c>
      <c r="BN9" s="182">
        <v>2.7110331264484899E-10</v>
      </c>
      <c r="BO9" s="182">
        <v>3.2627770249126501E-10</v>
      </c>
      <c r="BP9" s="182">
        <v>5.8750000000000004E-11</v>
      </c>
      <c r="BQ9" s="190">
        <f>AP9/BK9</f>
        <v>3.662234640967553E-10</v>
      </c>
      <c r="BR9" s="203">
        <f t="shared" si="31"/>
        <v>2.0777178281396749E-10</v>
      </c>
      <c r="BS9" s="203">
        <f t="shared" si="31"/>
        <v>2.3520518125231158E-10</v>
      </c>
      <c r="BT9" s="184">
        <v>2.9457755653783602E-4</v>
      </c>
      <c r="BU9" s="204">
        <f t="shared" si="32"/>
        <v>3.5452937632882164E-4</v>
      </c>
      <c r="BV9" s="232">
        <f>Y9+Z9*P9</f>
        <v>2085.5</v>
      </c>
      <c r="BW9" s="205">
        <f t="shared" si="33"/>
        <v>2402.75</v>
      </c>
      <c r="BX9" s="230">
        <v>2720</v>
      </c>
      <c r="BY9" s="183" t="s">
        <v>122</v>
      </c>
      <c r="BZ9" s="191">
        <f t="shared" si="9"/>
        <v>2810.4652972558115</v>
      </c>
      <c r="CA9" s="206">
        <f t="shared" si="9"/>
        <v>2335.2084630418126</v>
      </c>
      <c r="CB9" s="187">
        <v>70.2</v>
      </c>
      <c r="CC9" s="186">
        <f t="shared" si="10"/>
        <v>3250000</v>
      </c>
      <c r="CD9" s="186">
        <v>1.8800978584811899E-7</v>
      </c>
      <c r="CE9" s="186">
        <f t="shared" si="11"/>
        <v>2.458003367979964E-7</v>
      </c>
      <c r="CF9" s="208">
        <f t="shared" si="34"/>
        <v>2.1713116148580361E-7</v>
      </c>
      <c r="CG9" s="208">
        <f t="shared" si="35"/>
        <v>2.6132124988696234E-7</v>
      </c>
      <c r="CH9" s="208">
        <f t="shared" si="36"/>
        <v>2.2681738284851104E-7</v>
      </c>
      <c r="CI9" s="208">
        <f t="shared" si="37"/>
        <v>2.9582511692541361E-7</v>
      </c>
      <c r="CJ9" s="210">
        <f t="shared" si="12"/>
        <v>4403494.191886411</v>
      </c>
      <c r="CK9" s="210">
        <f t="shared" si="12"/>
        <v>3368180.9015598893</v>
      </c>
      <c r="CL9" s="211">
        <f t="shared" si="12"/>
        <v>3812902.737381292</v>
      </c>
      <c r="CM9" s="211">
        <f t="shared" si="12"/>
        <v>3168131.1809051814</v>
      </c>
      <c r="CN9" s="210">
        <f t="shared" si="12"/>
        <v>3650072.9776647924</v>
      </c>
      <c r="CO9" s="210">
        <f t="shared" si="12"/>
        <v>2798612.9393087956</v>
      </c>
      <c r="CP9" s="22">
        <f t="shared" si="38"/>
        <v>2745105769.7939444</v>
      </c>
      <c r="CQ9" s="8">
        <f>N9/(X9/1000*(Y9+Z9*P9))</f>
        <v>3.6428468840931505E-10</v>
      </c>
      <c r="CR9" s="11">
        <v>22.99</v>
      </c>
      <c r="CS9" s="32">
        <v>19</v>
      </c>
      <c r="CT9" s="25">
        <f t="shared" si="13"/>
        <v>41.989999999999995</v>
      </c>
      <c r="CU9"/>
      <c r="CV9" s="11">
        <f t="shared" si="47"/>
        <v>0.54751131221719462</v>
      </c>
      <c r="CW9" s="11">
        <f t="shared" si="14"/>
        <v>2.7880277777777775E+28</v>
      </c>
      <c r="CX9" s="11">
        <f t="shared" si="15"/>
        <v>1.4717782705243564E-11</v>
      </c>
      <c r="CY9" s="227">
        <v>2.1736793340206901E-10</v>
      </c>
      <c r="CZ9" s="227">
        <v>3.2627770249126501E-10</v>
      </c>
      <c r="DA9" s="227">
        <v>3.27899528751448E-10</v>
      </c>
      <c r="DB9" s="22">
        <f t="shared" si="39"/>
        <v>-4.0901757414025308E-25</v>
      </c>
      <c r="DC9" s="22">
        <f t="shared" si="16"/>
        <v>1.6658069690736827E-28</v>
      </c>
      <c r="DD9" s="22">
        <f t="shared" si="17"/>
        <v>1.4846161872545163E-28</v>
      </c>
      <c r="DE9" s="25">
        <f t="shared" si="40"/>
        <v>1.1220455383517274</v>
      </c>
      <c r="DF9" s="22">
        <f t="shared" si="41"/>
        <v>-4.0727026768352833E-4</v>
      </c>
      <c r="DG9" s="22">
        <f t="shared" si="42"/>
        <v>-3.6297124649842992E-4</v>
      </c>
      <c r="DH9" s="172">
        <f t="shared" si="18"/>
        <v>-4.882825704355032E-9</v>
      </c>
      <c r="DI9" s="172">
        <f t="shared" si="19"/>
        <v>2.1671420741743169E-9</v>
      </c>
      <c r="DJ9" s="172">
        <f t="shared" si="20"/>
        <v>2.1457572565258799E-9</v>
      </c>
      <c r="DK9" s="25">
        <f t="shared" si="43"/>
        <v>1.0099660935939512</v>
      </c>
      <c r="DL9" s="25">
        <f t="shared" si="44"/>
        <v>-0.44382949656413606</v>
      </c>
      <c r="DM9" s="25">
        <f t="shared" si="45"/>
        <v>-0.43944989775327464</v>
      </c>
    </row>
    <row r="10" spans="1:117" s="11" customFormat="1" ht="20.25" customHeight="1" x14ac:dyDescent="0.25">
      <c r="A10" s="2" t="s">
        <v>18</v>
      </c>
      <c r="B10" s="30">
        <v>210</v>
      </c>
      <c r="C10" s="173">
        <f>$K$35*P10+$K$37</f>
        <v>2128432.5483899587</v>
      </c>
      <c r="D10" s="173" t="s">
        <v>141</v>
      </c>
      <c r="E10" s="2">
        <v>1</v>
      </c>
      <c r="F10" s="2">
        <v>28</v>
      </c>
      <c r="G10" s="2">
        <v>28</v>
      </c>
      <c r="H10" s="22">
        <v>4.6833413199999998E-26</v>
      </c>
      <c r="I10" s="22">
        <v>2.5506279679999997E-29</v>
      </c>
      <c r="J10" s="24">
        <v>1836.1522647586683</v>
      </c>
      <c r="K10" s="24">
        <v>1</v>
      </c>
      <c r="L10" s="26">
        <v>4.680790692032E-26</v>
      </c>
      <c r="M10" s="3">
        <v>58.097000000000001</v>
      </c>
      <c r="N10" s="11">
        <v>1.3500630387524655E-3</v>
      </c>
      <c r="O10" s="27">
        <v>8.856219279989372E-4</v>
      </c>
      <c r="P10" s="3">
        <v>1129.1500000000001</v>
      </c>
      <c r="Q10" s="5">
        <v>3.04E-5</v>
      </c>
      <c r="R10" s="5">
        <v>3.4099999999999999E-4</v>
      </c>
      <c r="S10" s="32"/>
      <c r="T10" s="6">
        <v>1.3799999999999999E-10</v>
      </c>
      <c r="U10" s="6">
        <v>1.3300000000000001E-10</v>
      </c>
      <c r="V10" s="6">
        <v>2.7099999999999999E-10</v>
      </c>
      <c r="W10" s="6">
        <f t="shared" si="46"/>
        <v>-4.9999999999999827E-12</v>
      </c>
      <c r="X10" s="6">
        <v>1910000</v>
      </c>
      <c r="Y10" s="11">
        <v>1816.4</v>
      </c>
      <c r="Z10" s="11">
        <v>0</v>
      </c>
      <c r="AA10" s="11">
        <v>2.6463999999999999</v>
      </c>
      <c r="AB10" s="11">
        <v>-6.5149999999999995E-4</v>
      </c>
      <c r="AC10" s="11">
        <v>1</v>
      </c>
      <c r="AD10" s="11">
        <v>1</v>
      </c>
      <c r="AE10" s="11">
        <v>2</v>
      </c>
      <c r="AF10" s="11">
        <v>1</v>
      </c>
      <c r="AG10" s="11">
        <v>-1</v>
      </c>
      <c r="AH10" s="178">
        <v>28.7</v>
      </c>
      <c r="AI10" s="178">
        <f t="shared" si="0"/>
        <v>58.640998533154338</v>
      </c>
      <c r="AJ10" s="193">
        <f t="shared" si="1"/>
        <v>5.7857646000000007E-3</v>
      </c>
      <c r="AK10" s="193">
        <v>0.58299999999999996</v>
      </c>
      <c r="AL10" s="193">
        <v>-2.5999999999999998E-4</v>
      </c>
      <c r="AM10" s="200">
        <v>1131.1500000000001</v>
      </c>
      <c r="AN10" s="200">
        <f t="shared" si="21"/>
        <v>0.56457899999999994</v>
      </c>
      <c r="AO10" s="200">
        <f t="shared" si="2"/>
        <v>0.58248</v>
      </c>
      <c r="AP10" s="199">
        <f t="shared" si="3"/>
        <v>0.56999999999999995</v>
      </c>
      <c r="AQ10" s="178" t="s">
        <v>181</v>
      </c>
      <c r="AR10" s="199">
        <f t="shared" si="4"/>
        <v>0.33236370799974174</v>
      </c>
      <c r="AS10" s="199">
        <f t="shared" si="5"/>
        <v>0.36108717500000004</v>
      </c>
      <c r="AT10" s="199">
        <f t="shared" si="6"/>
        <v>0.36108717500000004</v>
      </c>
      <c r="AU10" s="199">
        <f t="shared" si="22"/>
        <v>0.33236370799974174</v>
      </c>
      <c r="AV10" s="178">
        <v>0.51980918395456199</v>
      </c>
      <c r="AW10" s="178">
        <v>0.40376310518547798</v>
      </c>
      <c r="AX10" s="199" t="e">
        <f>AW10/AY10*#REF!*10^-10</f>
        <v>#REF!</v>
      </c>
      <c r="AY10" s="178">
        <v>3.0052360800000003E-10</v>
      </c>
      <c r="AZ10" s="178">
        <v>2.4738055412580903E-10</v>
      </c>
      <c r="BA10" s="201">
        <f t="shared" si="23"/>
        <v>2585.62168847778</v>
      </c>
      <c r="BB10" s="234">
        <f t="shared" si="24"/>
        <v>3132607.7854830599</v>
      </c>
      <c r="BC10" s="234">
        <f t="shared" si="25"/>
        <v>4.277914329136723E-10</v>
      </c>
      <c r="BD10" s="201"/>
      <c r="BE10" s="181">
        <v>0.42353288371673797</v>
      </c>
      <c r="BF10" s="181">
        <f t="shared" si="7"/>
        <v>0.55028496232740676</v>
      </c>
      <c r="BG10" s="201">
        <f t="shared" si="26"/>
        <v>0.48690892302207234</v>
      </c>
      <c r="BH10" s="201">
        <f t="shared" si="27"/>
        <v>0.58299891529503312</v>
      </c>
      <c r="BI10" s="201">
        <f t="shared" si="8"/>
        <v>0.50711580774920906</v>
      </c>
      <c r="BJ10" s="201">
        <f t="shared" si="28"/>
        <v>0.65888202284085728</v>
      </c>
      <c r="BK10" s="182">
        <v>1343585957.1456599</v>
      </c>
      <c r="BL10" s="202">
        <f t="shared" si="29"/>
        <v>1745685344.0121984</v>
      </c>
      <c r="BM10" s="202">
        <f t="shared" si="30"/>
        <v>1544635650.5789289</v>
      </c>
      <c r="BN10" s="182">
        <v>3.1522574455637898E-10</v>
      </c>
      <c r="BO10" s="182">
        <v>3.77434584703857E-10</v>
      </c>
      <c r="BP10" s="182">
        <v>6.7749999999999999E-11</v>
      </c>
      <c r="BQ10" s="190">
        <f>AP10/BK10</f>
        <v>4.242378367893328E-10</v>
      </c>
      <c r="BR10" s="203">
        <f t="shared" si="31"/>
        <v>3.5092234812032614E-10</v>
      </c>
      <c r="BS10" s="203">
        <f t="shared" si="31"/>
        <v>3.9659838213004971E-10</v>
      </c>
      <c r="BT10" s="184">
        <v>2.3103748024325401E-4</v>
      </c>
      <c r="BU10" s="204">
        <f t="shared" si="32"/>
        <v>2.7663202296296558E-4</v>
      </c>
      <c r="BV10" s="232">
        <v>1816.4</v>
      </c>
      <c r="BW10" s="205">
        <f t="shared" si="33"/>
        <v>2088.1999999999998</v>
      </c>
      <c r="BX10" s="230">
        <v>2360</v>
      </c>
      <c r="BY10" s="183" t="s">
        <v>121</v>
      </c>
      <c r="BZ10" s="191">
        <f t="shared" si="9"/>
        <v>2467.1321700698095</v>
      </c>
      <c r="CA10" s="206">
        <f t="shared" si="9"/>
        <v>2060.498975840947</v>
      </c>
      <c r="CB10" s="185">
        <v>66.900000000000006</v>
      </c>
      <c r="CC10" s="186">
        <f t="shared" si="10"/>
        <v>2200657.8947368423</v>
      </c>
      <c r="CD10" s="186">
        <v>1.9262165958693599E-7</v>
      </c>
      <c r="CE10" s="186">
        <f t="shared" si="11"/>
        <v>2.4797758571768477E-7</v>
      </c>
      <c r="CF10" s="208">
        <f t="shared" si="34"/>
        <v>2.1941813326087685E-7</v>
      </c>
      <c r="CG10" s="208">
        <f t="shared" si="35"/>
        <v>2.6271963325953138E-7</v>
      </c>
      <c r="CH10" s="208">
        <f t="shared" si="36"/>
        <v>2.2852405988536197E-7</v>
      </c>
      <c r="CI10" s="208">
        <f t="shared" si="37"/>
        <v>2.9691520663370083E-7</v>
      </c>
      <c r="CJ10" s="210">
        <f t="shared" si="12"/>
        <v>2959168.7727243449</v>
      </c>
      <c r="CK10" s="211">
        <f t="shared" si="12"/>
        <v>2298594.8441684092</v>
      </c>
      <c r="CL10" s="211">
        <f t="shared" si="12"/>
        <v>2597779.8258009027</v>
      </c>
      <c r="CM10" s="211">
        <f t="shared" si="12"/>
        <v>2169613.2600676906</v>
      </c>
      <c r="CN10" s="210">
        <f t="shared" si="12"/>
        <v>2494266.906889094</v>
      </c>
      <c r="CO10" s="210">
        <f t="shared" si="12"/>
        <v>1919740.0040988778</v>
      </c>
      <c r="CP10" s="22">
        <f t="shared" si="38"/>
        <v>2569749634.2140079</v>
      </c>
      <c r="CQ10" s="22">
        <v>3.8914296812648964E-10</v>
      </c>
      <c r="CR10" s="4">
        <v>39.1</v>
      </c>
      <c r="CS10" s="32">
        <v>19</v>
      </c>
      <c r="CT10" s="25">
        <f t="shared" si="13"/>
        <v>58.1</v>
      </c>
      <c r="CV10" s="11">
        <f t="shared" si="47"/>
        <v>0.67297762478485368</v>
      </c>
      <c r="CW10" s="11">
        <f t="shared" si="14"/>
        <v>1.980967105263158E+28</v>
      </c>
      <c r="CX10" s="11">
        <f t="shared" si="15"/>
        <v>1.647565955450779E-11</v>
      </c>
      <c r="CY10" s="172">
        <v>2.4699999999999997E-10</v>
      </c>
      <c r="CZ10" s="172">
        <v>3.7699999999999999E-10</v>
      </c>
      <c r="DA10" s="172">
        <v>3.8600000000000001E-10</v>
      </c>
      <c r="DB10" s="22">
        <f t="shared" si="39"/>
        <v>-2.8807379173544848E-25</v>
      </c>
      <c r="DC10" s="22">
        <f t="shared" si="16"/>
        <v>7.0646419513159272E-29</v>
      </c>
      <c r="DD10" s="22">
        <f t="shared" si="17"/>
        <v>3.99582384343453E-29</v>
      </c>
      <c r="DE10" s="25">
        <f t="shared" si="40"/>
        <v>1.768006355666484</v>
      </c>
      <c r="DF10" s="22">
        <f t="shared" si="41"/>
        <v>-2.4523723275054869E-4</v>
      </c>
      <c r="DG10" s="22">
        <f t="shared" si="42"/>
        <v>-1.3870834342001094E-4</v>
      </c>
      <c r="DH10" s="172">
        <f t="shared" si="18"/>
        <v>-3.781536254208038E-9</v>
      </c>
      <c r="DI10" s="172">
        <f t="shared" si="19"/>
        <v>1.6232278094757451E-9</v>
      </c>
      <c r="DJ10" s="172">
        <f t="shared" si="20"/>
        <v>1.5484156979581878E-9</v>
      </c>
      <c r="DK10" s="25">
        <f t="shared" si="43"/>
        <v>1.0483152628949759</v>
      </c>
      <c r="DL10" s="25">
        <f t="shared" si="44"/>
        <v>-0.42925089179548154</v>
      </c>
      <c r="DM10" s="25">
        <f t="shared" si="45"/>
        <v>-0.4094673682514966</v>
      </c>
    </row>
    <row r="11" spans="1:117" s="11" customFormat="1" ht="20.25" customHeight="1" x14ac:dyDescent="0.25">
      <c r="A11" s="2" t="s">
        <v>19</v>
      </c>
      <c r="B11" s="30"/>
      <c r="C11" s="173">
        <f>$O$35*P11+$O$37</f>
        <v>1508484.6673803362</v>
      </c>
      <c r="D11" s="173" t="s">
        <v>142</v>
      </c>
      <c r="E11" s="2">
        <v>1</v>
      </c>
      <c r="F11" s="2">
        <v>46</v>
      </c>
      <c r="G11" s="2">
        <v>46</v>
      </c>
      <c r="H11" s="22">
        <v>7.6940607399999996E-26</v>
      </c>
      <c r="I11" s="22">
        <v>4.1903173759999999E-29</v>
      </c>
      <c r="J11" s="24">
        <v>1836.1522647586683</v>
      </c>
      <c r="K11" s="24">
        <v>1</v>
      </c>
      <c r="L11" s="26">
        <v>7.689870422624E-26</v>
      </c>
      <c r="M11" s="3">
        <v>104.4662</v>
      </c>
      <c r="N11" s="11">
        <v>2.5481160758264749E-3</v>
      </c>
      <c r="O11" s="27">
        <v>9.5406191861851825E-4</v>
      </c>
      <c r="P11" s="3">
        <v>1048.1500000000001</v>
      </c>
      <c r="Q11" s="5">
        <v>3.57E-5</v>
      </c>
      <c r="R11" s="5">
        <v>3.4900000000000003E-4</v>
      </c>
      <c r="S11" s="32"/>
      <c r="T11" s="6">
        <v>1.5199999999999999E-10</v>
      </c>
      <c r="U11" s="6">
        <v>1.3300000000000001E-10</v>
      </c>
      <c r="V11" s="6">
        <v>2.85E-10</v>
      </c>
      <c r="W11" s="6">
        <f t="shared" si="46"/>
        <v>-1.8999999999999986E-11</v>
      </c>
      <c r="X11" s="6">
        <v>2926224.0896358541</v>
      </c>
      <c r="Y11" s="11">
        <v>1760.4</v>
      </c>
      <c r="Z11" s="11">
        <v>0</v>
      </c>
      <c r="AA11" s="11">
        <v>2926224089.6358538</v>
      </c>
      <c r="AB11" s="11">
        <v>0</v>
      </c>
      <c r="AF11" s="11">
        <v>1</v>
      </c>
      <c r="AG11" s="11">
        <v>-1</v>
      </c>
      <c r="AH11" s="178">
        <f>0.0000000244*O11*B11</f>
        <v>0</v>
      </c>
      <c r="AI11" s="178">
        <f t="shared" si="0"/>
        <v>38.579284180398666</v>
      </c>
      <c r="AJ11" s="193"/>
      <c r="AK11" s="193">
        <v>0.50700000000000001</v>
      </c>
      <c r="AL11" s="193">
        <v>-3.4699999999999998E-4</v>
      </c>
      <c r="AM11" s="200">
        <v>1068.1500000000001</v>
      </c>
      <c r="AN11" s="200">
        <f t="shared" si="21"/>
        <v>0.45430805000000002</v>
      </c>
      <c r="AO11" s="200">
        <f t="shared" si="2"/>
        <v>0.50006000000000006</v>
      </c>
      <c r="AP11" s="199">
        <f t="shared" si="3"/>
        <v>0.48965000000000003</v>
      </c>
      <c r="AQ11" s="178" t="s">
        <v>181</v>
      </c>
      <c r="AR11" s="199">
        <f t="shared" si="4"/>
        <v>0</v>
      </c>
      <c r="AS11" s="199">
        <f t="shared" si="5"/>
        <v>0</v>
      </c>
      <c r="AT11" s="199">
        <f t="shared" si="6"/>
        <v>0</v>
      </c>
      <c r="AU11" s="199"/>
      <c r="AV11" s="178"/>
      <c r="AW11" s="178"/>
      <c r="AX11" s="178"/>
      <c r="AY11" s="178">
        <v>3.1433567870000001E-10</v>
      </c>
      <c r="AZ11" s="178">
        <v>2.5893228302185304E-10</v>
      </c>
      <c r="BA11" s="201"/>
      <c r="BB11" s="234">
        <f>AP11/(1/3*BV11*AY11)</f>
        <v>2654617.6354499613</v>
      </c>
      <c r="BC11" s="234" t="e">
        <f t="shared" si="25"/>
        <v>#DIV/0!</v>
      </c>
      <c r="BD11" s="201"/>
      <c r="BE11" s="181"/>
      <c r="BF11" s="181"/>
      <c r="BG11" s="201"/>
      <c r="BH11" s="201"/>
      <c r="BI11" s="201"/>
      <c r="BJ11" s="201"/>
      <c r="BK11" s="182"/>
      <c r="BL11" s="202"/>
      <c r="BM11" s="202"/>
      <c r="BN11" s="182"/>
      <c r="BO11" s="182">
        <v>3.9622631368514602E-10</v>
      </c>
      <c r="BP11" s="182"/>
      <c r="BQ11" s="190"/>
      <c r="BR11" s="203"/>
      <c r="BS11" s="203"/>
      <c r="BT11" s="184"/>
      <c r="BU11" s="204"/>
      <c r="BV11" s="232">
        <v>1760.4</v>
      </c>
      <c r="BW11" s="205">
        <f t="shared" si="33"/>
        <v>1760.4</v>
      </c>
      <c r="BX11" s="230"/>
      <c r="BY11" s="183"/>
      <c r="BZ11" s="191"/>
      <c r="CA11" s="206"/>
      <c r="CB11" s="185">
        <v>69.5</v>
      </c>
      <c r="CC11" s="186"/>
      <c r="CD11" s="180"/>
      <c r="CE11" s="186"/>
      <c r="CF11" s="208"/>
      <c r="CG11" s="208">
        <f>1/3*BW11*BO11</f>
        <v>2.3250560087044368E-7</v>
      </c>
      <c r="CH11" s="208">
        <f>1/3*BV11*BO11</f>
        <v>2.3250560087044368E-7</v>
      </c>
      <c r="CI11" s="208"/>
      <c r="CJ11" s="210"/>
      <c r="CK11" s="211"/>
      <c r="CL11" s="211"/>
      <c r="CM11" s="211"/>
      <c r="CN11" s="210"/>
      <c r="CO11" s="210"/>
      <c r="CP11" s="22">
        <f t="shared" si="38"/>
        <v>2021620967.845485</v>
      </c>
      <c r="CQ11" s="22">
        <v>4.94652566383765E-10</v>
      </c>
      <c r="CR11" s="32"/>
      <c r="CS11" s="32"/>
      <c r="CT11" s="25"/>
      <c r="CW11" s="11">
        <f t="shared" si="14"/>
        <v>1.6868739495798319E+28</v>
      </c>
      <c r="CX11" s="11">
        <f t="shared" si="15"/>
        <v>1.7201884426609329E-11</v>
      </c>
      <c r="CY11" s="172">
        <v>2.5899999999999998E-10</v>
      </c>
      <c r="CZ11" s="172">
        <v>3.9599999999999998E-10</v>
      </c>
      <c r="DA11" s="172">
        <v>4.03E-10</v>
      </c>
      <c r="DB11" s="22">
        <f t="shared" si="39"/>
        <v>-2.5752056023289238E-25</v>
      </c>
      <c r="DC11" s="22">
        <f t="shared" si="16"/>
        <v>5.8558424946394074E-29</v>
      </c>
      <c r="DD11" s="22">
        <f t="shared" si="17"/>
        <v>3.8304617924741604E-29</v>
      </c>
      <c r="DE11" s="25">
        <f t="shared" si="40"/>
        <v>1.5287562732369715</v>
      </c>
      <c r="DF11" s="22">
        <f t="shared" si="41"/>
        <v>-2.2739320267646176E-4</v>
      </c>
      <c r="DG11" s="22">
        <f t="shared" si="42"/>
        <v>-1.4874392122361135E-4</v>
      </c>
      <c r="DH11" s="172">
        <f t="shared" si="18"/>
        <v>-3.4392412953441095E-9</v>
      </c>
      <c r="DI11" s="172">
        <f t="shared" si="19"/>
        <v>1.4712002941854035E-9</v>
      </c>
      <c r="DJ11" s="172">
        <f t="shared" si="20"/>
        <v>1.4205354711437061E-9</v>
      </c>
      <c r="DK11" s="25">
        <f t="shared" si="43"/>
        <v>1.0356660034690341</v>
      </c>
      <c r="DL11" s="25">
        <f t="shared" si="44"/>
        <v>-0.42776885011733501</v>
      </c>
      <c r="DM11" s="25">
        <f t="shared" si="45"/>
        <v>-0.41303745482085341</v>
      </c>
    </row>
    <row r="12" spans="1:117" s="11" customFormat="1" ht="20.25" customHeight="1" x14ac:dyDescent="0.25">
      <c r="A12" s="2" t="s">
        <v>20</v>
      </c>
      <c r="B12" s="30"/>
      <c r="C12" s="30"/>
      <c r="D12" s="30"/>
      <c r="E12" s="2">
        <v>1</v>
      </c>
      <c r="F12" s="2">
        <v>64</v>
      </c>
      <c r="G12" s="2">
        <v>64</v>
      </c>
      <c r="H12" s="22">
        <v>1.070478016E-25</v>
      </c>
      <c r="I12" s="22">
        <v>5.8300067839999996E-29</v>
      </c>
      <c r="J12" s="24">
        <v>1836.1522647586685</v>
      </c>
      <c r="K12" s="24">
        <v>1</v>
      </c>
      <c r="L12" s="26">
        <v>1.0698950153215999E-25</v>
      </c>
      <c r="M12" s="3">
        <v>58.44</v>
      </c>
      <c r="N12" s="11">
        <v>3.4453112314492135E-3</v>
      </c>
      <c r="O12" s="27">
        <v>1.0469559755012302E-3</v>
      </c>
      <c r="P12" s="3">
        <v>955.15</v>
      </c>
      <c r="Q12" s="5">
        <v>4.57E-5</v>
      </c>
      <c r="R12" s="5">
        <v>3.8499999999999998E-4</v>
      </c>
      <c r="S12" s="32"/>
      <c r="T12" s="6">
        <v>1.6699999999999999E-10</v>
      </c>
      <c r="U12" s="6">
        <v>1.3300000000000001E-10</v>
      </c>
      <c r="V12" s="6">
        <v>3E-10</v>
      </c>
      <c r="W12" s="6">
        <f t="shared" si="46"/>
        <v>-3.3999999999999986E-11</v>
      </c>
      <c r="X12" s="6">
        <v>2196977.25</v>
      </c>
      <c r="Y12" s="11">
        <v>2732.9322499999998</v>
      </c>
      <c r="Z12" s="11">
        <v>-0.91500000000000004</v>
      </c>
      <c r="AA12" s="11">
        <v>4.8985000000000003</v>
      </c>
      <c r="AB12" s="11">
        <v>-5.4299999999999997E-4</v>
      </c>
      <c r="AF12" s="11">
        <v>1</v>
      </c>
      <c r="AG12" s="11">
        <v>-1</v>
      </c>
      <c r="AH12" s="178"/>
      <c r="AI12" s="178"/>
      <c r="AJ12" s="193"/>
      <c r="AK12" s="193">
        <v>0.38200000000000001</v>
      </c>
      <c r="AL12" s="193">
        <v>-2.9700000000000001E-4</v>
      </c>
      <c r="AM12" s="200">
        <v>955.15</v>
      </c>
      <c r="AN12" s="200">
        <f t="shared" si="21"/>
        <v>0.30927955000000001</v>
      </c>
      <c r="AO12" s="200">
        <f t="shared" si="2"/>
        <v>0.38200000000000001</v>
      </c>
      <c r="AP12" s="199">
        <f t="shared" si="3"/>
        <v>0.36715000000000003</v>
      </c>
      <c r="AQ12" s="178" t="s">
        <v>181</v>
      </c>
      <c r="AR12" s="199">
        <f t="shared" si="4"/>
        <v>0</v>
      </c>
      <c r="AS12" s="199">
        <f t="shared" si="5"/>
        <v>0</v>
      </c>
      <c r="AT12" s="199">
        <f t="shared" si="6"/>
        <v>0</v>
      </c>
      <c r="AU12" s="199"/>
      <c r="AV12" s="178"/>
      <c r="AW12" s="178"/>
      <c r="AX12" s="178"/>
      <c r="AY12" s="178">
        <v>3.3920043010000001E-10</v>
      </c>
      <c r="AZ12" s="178">
        <v>2.7962928465917803E-10</v>
      </c>
      <c r="BA12" s="201"/>
      <c r="BB12" s="234">
        <f t="shared" si="24"/>
        <v>1746771.155566232</v>
      </c>
      <c r="BC12" s="234" t="e">
        <f t="shared" si="25"/>
        <v>#DIV/0!</v>
      </c>
      <c r="BD12" s="201"/>
      <c r="BE12" s="181"/>
      <c r="BF12" s="181"/>
      <c r="BG12" s="201"/>
      <c r="BH12" s="201"/>
      <c r="BI12" s="201"/>
      <c r="BJ12" s="201"/>
      <c r="BK12" s="182"/>
      <c r="BL12" s="202"/>
      <c r="BM12" s="202"/>
      <c r="BN12" s="182"/>
      <c r="BO12" s="182">
        <v>4.3148798302744901E-10</v>
      </c>
      <c r="BP12" s="182"/>
      <c r="BQ12" s="190"/>
      <c r="BR12" s="203"/>
      <c r="BS12" s="203"/>
      <c r="BT12" s="184"/>
      <c r="BU12" s="204"/>
      <c r="BV12" s="232">
        <v>1858.9699999999998</v>
      </c>
      <c r="BW12" s="205">
        <f t="shared" si="33"/>
        <v>1858.9699999999998</v>
      </c>
      <c r="BX12" s="230"/>
      <c r="BY12" s="183"/>
      <c r="BZ12" s="191"/>
      <c r="CA12" s="206"/>
      <c r="CB12" s="185">
        <v>74.099999999999994</v>
      </c>
      <c r="CC12" s="186"/>
      <c r="CD12" s="180"/>
      <c r="CE12" s="186"/>
      <c r="CF12" s="208"/>
      <c r="CG12" s="208">
        <f t="shared" si="35"/>
        <v>2.6737440526951226E-7</v>
      </c>
      <c r="CH12" s="208">
        <f t="shared" si="36"/>
        <v>2.6737440526951226E-7</v>
      </c>
      <c r="CI12" s="208"/>
      <c r="CJ12" s="210"/>
      <c r="CK12" s="211"/>
      <c r="CL12" s="211"/>
      <c r="CM12" s="211"/>
      <c r="CN12" s="210"/>
      <c r="CO12" s="210"/>
      <c r="CP12" s="22">
        <f t="shared" si="38"/>
        <v>1185412441.4515038</v>
      </c>
      <c r="CQ12" s="22">
        <v>8.4358824408450485E-10</v>
      </c>
      <c r="CR12" s="32"/>
      <c r="CS12" s="32"/>
      <c r="CT12" s="25"/>
      <c r="CW12" s="11">
        <f t="shared" si="14"/>
        <v>1.3177549234135668E+28</v>
      </c>
      <c r="CX12" s="11">
        <f t="shared" si="15"/>
        <v>1.8579075009852375E-11</v>
      </c>
      <c r="CY12" s="172">
        <v>2.8000000000000002E-10</v>
      </c>
      <c r="CZ12" s="172">
        <v>4.3100000000000001E-10</v>
      </c>
      <c r="DA12" s="172">
        <v>4.2E-10</v>
      </c>
      <c r="DB12" s="22">
        <f t="shared" si="39"/>
        <v>-2.3484130330974972E-25</v>
      </c>
      <c r="DC12" s="22">
        <f t="shared" si="16"/>
        <v>4.5056797322619321E-29</v>
      </c>
      <c r="DD12" s="22">
        <f t="shared" si="17"/>
        <v>8.3583084117439271E-29</v>
      </c>
      <c r="DE12" s="25">
        <f t="shared" si="40"/>
        <v>0.53906598205100698</v>
      </c>
      <c r="DF12" s="22">
        <f t="shared" si="41"/>
        <v>-1.918606168830129E-4</v>
      </c>
      <c r="DG12" s="22">
        <f t="shared" si="42"/>
        <v>-3.559130482562316E-4</v>
      </c>
      <c r="DH12" s="172">
        <f t="shared" si="18"/>
        <v>-2.942700833328803E-9</v>
      </c>
      <c r="DI12" s="172">
        <f t="shared" si="19"/>
        <v>1.2419600741435402E-9</v>
      </c>
      <c r="DJ12" s="172">
        <f t="shared" si="20"/>
        <v>1.3078670370350236E-9</v>
      </c>
      <c r="DK12" s="25">
        <f t="shared" si="43"/>
        <v>0.94960729108908759</v>
      </c>
      <c r="DL12" s="25">
        <f t="shared" si="44"/>
        <v>-0.42204768492848344</v>
      </c>
      <c r="DM12" s="25">
        <f t="shared" si="45"/>
        <v>-0.44444444444444448</v>
      </c>
    </row>
    <row r="13" spans="1:117" s="11" customFormat="1" ht="20.25" customHeight="1" x14ac:dyDescent="0.25">
      <c r="A13" s="2" t="s">
        <v>28</v>
      </c>
      <c r="B13" s="30">
        <v>0.8</v>
      </c>
      <c r="C13" s="30"/>
      <c r="D13" s="30"/>
      <c r="E13" s="2">
        <v>1</v>
      </c>
      <c r="F13" s="2">
        <v>29</v>
      </c>
      <c r="G13" s="2">
        <v>28</v>
      </c>
      <c r="H13" s="22">
        <v>4.8506035099999997E-26</v>
      </c>
      <c r="I13" s="22">
        <v>2.5506279679999997E-29</v>
      </c>
      <c r="J13" s="24">
        <v>1969.6480289056633</v>
      </c>
      <c r="K13" s="24">
        <v>1.0357142857142858</v>
      </c>
      <c r="L13" s="26">
        <v>4.8480528820319999E-26</v>
      </c>
      <c r="M13" s="3">
        <v>95.210999999999999</v>
      </c>
      <c r="N13" s="11">
        <v>2.1885964575678765E-3</v>
      </c>
      <c r="O13" s="27">
        <v>1.0131712259371835E-3</v>
      </c>
      <c r="P13" s="3">
        <v>987</v>
      </c>
      <c r="Q13" s="5">
        <v>5.651027632231827E-5</v>
      </c>
      <c r="R13" s="5">
        <v>1.8000000000000001E-4</v>
      </c>
      <c r="S13" s="32"/>
      <c r="T13" s="6">
        <v>7.1999999999999997E-11</v>
      </c>
      <c r="U13" s="6">
        <v>1.81E-10</v>
      </c>
      <c r="V13" s="6">
        <v>2.5300000000000001E-10</v>
      </c>
      <c r="W13" s="6">
        <f t="shared" si="46"/>
        <v>1.09E-10</v>
      </c>
      <c r="X13" s="6">
        <v>1684844</v>
      </c>
      <c r="Y13" s="11">
        <v>2101</v>
      </c>
      <c r="Z13" s="11">
        <v>0</v>
      </c>
      <c r="AA13" s="11">
        <v>1.9691000000000001</v>
      </c>
      <c r="AB13" s="11">
        <v>-2.8800000000000001E-4</v>
      </c>
      <c r="AC13" s="11">
        <v>1</v>
      </c>
      <c r="AD13" s="11">
        <v>2</v>
      </c>
      <c r="AE13" s="11">
        <v>3</v>
      </c>
      <c r="AF13" s="11">
        <v>2</v>
      </c>
      <c r="AG13" s="11">
        <v>-2</v>
      </c>
      <c r="AH13" s="178"/>
      <c r="AI13" s="178"/>
      <c r="AJ13" s="193"/>
      <c r="AK13" s="193">
        <v>0.46200000000000002</v>
      </c>
      <c r="AL13" s="193">
        <v>-1.0399999999999999E-4</v>
      </c>
      <c r="AM13" s="200">
        <v>998</v>
      </c>
      <c r="AN13" s="200">
        <f t="shared" si="21"/>
        <v>0.43984800000000002</v>
      </c>
      <c r="AO13" s="200">
        <f t="shared" si="2"/>
        <v>0.46085600000000004</v>
      </c>
      <c r="AP13" s="199">
        <f t="shared" si="3"/>
        <v>0.45680000000000004</v>
      </c>
      <c r="AQ13" s="178" t="s">
        <v>181</v>
      </c>
      <c r="AR13" s="199">
        <f t="shared" si="4"/>
        <v>0.269940662012365</v>
      </c>
      <c r="AS13" s="199">
        <f t="shared" si="5"/>
        <v>0.28861057804145579</v>
      </c>
      <c r="AT13" s="199">
        <f t="shared" si="6"/>
        <v>0.28861057804145579</v>
      </c>
      <c r="AU13" s="199">
        <f t="shared" si="22"/>
        <v>0.269940662012365</v>
      </c>
      <c r="AV13" s="178">
        <v>0.54002025954196298</v>
      </c>
      <c r="AW13" s="178">
        <v>0.33370075449931302</v>
      </c>
      <c r="AX13" s="199" t="e">
        <f>AW13/AY13*#REF!*10^-10</f>
        <v>#REF!</v>
      </c>
      <c r="AY13" s="178">
        <v>2.9252666850000001E-10</v>
      </c>
      <c r="AZ13" s="178">
        <v>2.36633694969138E-10</v>
      </c>
      <c r="BA13" s="201">
        <f t="shared" si="23"/>
        <v>2876.0402458184271</v>
      </c>
      <c r="BB13" s="234">
        <f t="shared" si="24"/>
        <v>2229748.2534555946</v>
      </c>
      <c r="BC13" s="234">
        <f t="shared" si="25"/>
        <v>4.0043715924854139E-10</v>
      </c>
      <c r="BD13" s="201"/>
      <c r="BE13" s="181">
        <v>0.35221854185797102</v>
      </c>
      <c r="BF13" s="181">
        <f>BE13/BV13*BX13</f>
        <v>0.56998716911808733</v>
      </c>
      <c r="BG13" s="201">
        <f>BE13/BV13*BW13</f>
        <v>0.46110285548802915</v>
      </c>
      <c r="BH13" s="201">
        <f t="shared" si="27"/>
        <v>0.53865932656527438</v>
      </c>
      <c r="BI13" s="201">
        <f>BE13/BN13*BO13</f>
        <v>0.41146091442052046</v>
      </c>
      <c r="BJ13" s="201">
        <f t="shared" si="28"/>
        <v>0.66585773871002829</v>
      </c>
      <c r="BK13" s="182">
        <v>1140753272.89112</v>
      </c>
      <c r="BL13" s="202">
        <f t="shared" si="29"/>
        <v>1846054796.6824405</v>
      </c>
      <c r="BM13" s="202">
        <f t="shared" si="30"/>
        <v>1493404034.7867801</v>
      </c>
      <c r="BN13" s="182">
        <v>3.08759615447175E-10</v>
      </c>
      <c r="BO13" s="182">
        <v>3.60692293590982E-10</v>
      </c>
      <c r="BP13" s="182">
        <v>6.3250000000000001E-11</v>
      </c>
      <c r="BQ13" s="190">
        <f>AP13/BK13</f>
        <v>4.0043715924854475E-10</v>
      </c>
      <c r="BR13" s="203">
        <f>$AP$5/BL13</f>
        <v>3.318428039627579E-10</v>
      </c>
      <c r="BS13" s="203">
        <f>$AP$5/BM13</f>
        <v>4.1020379330062789E-10</v>
      </c>
      <c r="BT13" s="184">
        <v>1.6764328503473099E-4</v>
      </c>
      <c r="BU13" s="204">
        <f t="shared" si="32"/>
        <v>1.9584051138530178E-4</v>
      </c>
      <c r="BV13" s="232">
        <v>2101</v>
      </c>
      <c r="BW13" s="205">
        <f>AVERAGE(BV13,BX13)</f>
        <v>2750.5</v>
      </c>
      <c r="BX13" s="230">
        <v>3400</v>
      </c>
      <c r="BY13" s="183"/>
      <c r="BZ13" s="191">
        <f t="shared" ref="BZ13:CA15" si="48">$AP13/BT13</f>
        <v>2724.8332666910214</v>
      </c>
      <c r="CA13" s="206">
        <f t="shared" si="48"/>
        <v>2332.5102491245016</v>
      </c>
      <c r="CB13" s="185">
        <v>92.048000000000002</v>
      </c>
      <c r="CC13" s="186">
        <f>CB13/Q13</f>
        <v>1628871.8794256966</v>
      </c>
      <c r="CD13" s="186">
        <v>2.16234650684838E-7</v>
      </c>
      <c r="CE13" s="186">
        <f>1/3*BX13*BN13</f>
        <v>3.4992756417346495E-7</v>
      </c>
      <c r="CF13" s="208">
        <f t="shared" si="34"/>
        <v>2.8308110742915158E-7</v>
      </c>
      <c r="CG13" s="208">
        <f t="shared" si="35"/>
        <v>3.3069471784066529E-7</v>
      </c>
      <c r="CH13" s="208">
        <f t="shared" si="36"/>
        <v>2.526048362782177E-7</v>
      </c>
      <c r="CI13" s="208">
        <f t="shared" si="37"/>
        <v>4.0878459940311292E-7</v>
      </c>
      <c r="CJ13" s="210">
        <f t="shared" ref="CJ13:CO14" si="49">$AP13/(CD13)</f>
        <v>2112519.887785173</v>
      </c>
      <c r="CK13" s="211">
        <f t="shared" si="49"/>
        <v>1305413.0247754836</v>
      </c>
      <c r="CL13" s="211">
        <f t="shared" si="49"/>
        <v>1613671.7993952532</v>
      </c>
      <c r="CM13" s="211">
        <f t="shared" si="49"/>
        <v>1381334.4312928959</v>
      </c>
      <c r="CN13" s="211">
        <f t="shared" si="49"/>
        <v>1808358.0929419848</v>
      </c>
      <c r="CO13" s="210">
        <f t="shared" si="49"/>
        <v>1117458.9274326793</v>
      </c>
      <c r="CP13" s="22">
        <f t="shared" si="38"/>
        <v>1617409747.5848701</v>
      </c>
      <c r="CQ13" s="22">
        <v>6.1827251968353004E-10</v>
      </c>
      <c r="CR13" s="11">
        <v>24.31</v>
      </c>
      <c r="CS13" s="32">
        <v>70.900000000000006</v>
      </c>
      <c r="CT13" s="25">
        <f>SUM(CR13:CS13)</f>
        <v>95.210000000000008</v>
      </c>
      <c r="CV13" s="11">
        <f t="shared" si="47"/>
        <v>0.25533032244512127</v>
      </c>
      <c r="CW13" s="11">
        <f t="shared" si="14"/>
        <v>1.0656716604341934E+28</v>
      </c>
      <c r="CX13" s="11">
        <f t="shared" si="15"/>
        <v>2.1001605188213379E-11</v>
      </c>
      <c r="CY13" s="172">
        <v>2.36633694969138E-10</v>
      </c>
      <c r="CZ13" s="172">
        <v>3.60692293590982E-10</v>
      </c>
      <c r="DA13" s="172">
        <v>3.5942460919017999E-10</v>
      </c>
      <c r="DB13" s="22">
        <f t="shared" si="39"/>
        <v>-4.9850741268392759E-23</v>
      </c>
      <c r="DC13" s="22">
        <f t="shared" si="16"/>
        <v>8.8959035300169526E-26</v>
      </c>
      <c r="DD13" s="22">
        <f t="shared" si="17"/>
        <v>9.4827369345365731E-26</v>
      </c>
      <c r="DE13" s="25">
        <f t="shared" si="40"/>
        <v>0.93811560854521381</v>
      </c>
      <c r="DF13" s="22">
        <f t="shared" si="41"/>
        <v>-1.784507773339228E-3</v>
      </c>
      <c r="DG13" s="22">
        <f t="shared" si="42"/>
        <v>-1.9022258632990447E-3</v>
      </c>
      <c r="DH13" s="172">
        <f t="shared" si="18"/>
        <v>-1.648044734180387E-8</v>
      </c>
      <c r="DI13" s="172">
        <f t="shared" si="19"/>
        <v>7.093301817926188E-9</v>
      </c>
      <c r="DJ13" s="172">
        <f t="shared" si="20"/>
        <v>7.1434259622889806E-9</v>
      </c>
      <c r="DK13" s="25">
        <f t="shared" si="43"/>
        <v>0.99298317857182195</v>
      </c>
      <c r="DL13" s="25">
        <f t="shared" si="44"/>
        <v>-0.43040711643387891</v>
      </c>
      <c r="DM13" s="25">
        <f t="shared" si="45"/>
        <v>-0.43344854748991879</v>
      </c>
    </row>
    <row r="14" spans="1:117" s="11" customFormat="1" ht="20.25" customHeight="1" x14ac:dyDescent="0.25">
      <c r="A14" s="2" t="s">
        <v>29</v>
      </c>
      <c r="B14" s="30">
        <v>2.5</v>
      </c>
      <c r="C14" s="30"/>
      <c r="D14" s="30"/>
      <c r="E14" s="2">
        <v>1</v>
      </c>
      <c r="F14" s="2">
        <v>37</v>
      </c>
      <c r="G14" s="2">
        <v>36</v>
      </c>
      <c r="H14" s="22">
        <v>6.1887010299999994E-26</v>
      </c>
      <c r="I14" s="22">
        <v>3.2793788159999999E-29</v>
      </c>
      <c r="J14" s="24">
        <v>1939.5775080668341</v>
      </c>
      <c r="K14" s="24">
        <v>1.0277777777777777</v>
      </c>
      <c r="L14" s="26">
        <v>6.185421651184E-26</v>
      </c>
      <c r="M14" s="3">
        <v>110.98399999999999</v>
      </c>
      <c r="N14" s="11">
        <v>3.3595446651079881E-3</v>
      </c>
      <c r="O14" s="27">
        <v>9.5693779904306223E-4</v>
      </c>
      <c r="P14" s="3">
        <v>1045</v>
      </c>
      <c r="Q14" s="5">
        <v>5.3154147698835956E-5</v>
      </c>
      <c r="R14" s="5">
        <v>2.03E-4</v>
      </c>
      <c r="S14" s="32"/>
      <c r="T14" s="6">
        <v>1E-10</v>
      </c>
      <c r="U14" s="6">
        <v>1.81E-10</v>
      </c>
      <c r="V14" s="6">
        <v>2.8100000000000001E-10</v>
      </c>
      <c r="W14" s="6">
        <f t="shared" si="46"/>
        <v>8.0999999999999992E-11</v>
      </c>
      <c r="X14" s="6">
        <v>2087964.9999999995</v>
      </c>
      <c r="Y14" s="11">
        <v>2065.0300000000002</v>
      </c>
      <c r="Z14" s="11">
        <v>0</v>
      </c>
      <c r="AA14" s="11">
        <v>2.5299999999999998</v>
      </c>
      <c r="AB14" s="11">
        <v>-4.2299999999999998E-4</v>
      </c>
      <c r="AF14" s="11">
        <v>2</v>
      </c>
      <c r="AG14" s="11">
        <v>-2</v>
      </c>
      <c r="AH14" s="178"/>
      <c r="AI14" s="178"/>
      <c r="AJ14" s="193"/>
      <c r="AK14" s="193">
        <v>0.44700000000000001</v>
      </c>
      <c r="AL14" s="193">
        <v>-1.15E-4</v>
      </c>
      <c r="AM14" s="200">
        <v>1093</v>
      </c>
      <c r="AN14" s="200">
        <f t="shared" si="21"/>
        <v>0.42917500000000003</v>
      </c>
      <c r="AO14" s="200">
        <f t="shared" si="2"/>
        <v>0.44147999999999998</v>
      </c>
      <c r="AP14" s="199">
        <f t="shared" si="3"/>
        <v>0.44125000000000003</v>
      </c>
      <c r="AQ14" s="178" t="s">
        <v>181</v>
      </c>
      <c r="AR14" s="199">
        <f t="shared" si="4"/>
        <v>0.37024310108699071</v>
      </c>
      <c r="AS14" s="199">
        <f t="shared" si="5"/>
        <v>0.37311089961278132</v>
      </c>
      <c r="AT14" s="199">
        <f t="shared" si="6"/>
        <v>0.37311089961278132</v>
      </c>
      <c r="AU14" s="199">
        <f t="shared" si="22"/>
        <v>0.37024310108699071</v>
      </c>
      <c r="AV14" s="178">
        <v>0.42656474196147098</v>
      </c>
      <c r="AW14" s="178">
        <v>0.40039499504213499</v>
      </c>
      <c r="AX14" s="199" t="e">
        <f>AW14/AY14*#REF!*10^-10</f>
        <v>#REF!</v>
      </c>
      <c r="AY14" s="178">
        <v>3.0154839680000001E-10</v>
      </c>
      <c r="AZ14" s="178">
        <v>2.7884018267334601E-10</v>
      </c>
      <c r="BA14" s="201">
        <f t="shared" si="23"/>
        <v>2275.7389547392108</v>
      </c>
      <c r="BB14" s="234">
        <f t="shared" si="24"/>
        <v>2125800.8870841102</v>
      </c>
      <c r="BC14" s="234">
        <f t="shared" si="25"/>
        <v>3.3231741589077008E-10</v>
      </c>
      <c r="BD14" s="201"/>
      <c r="BE14" s="181">
        <v>0.44097489408671398</v>
      </c>
      <c r="BF14" s="181">
        <f>BE14/BV14*BX14</f>
        <v>0.46979693611752404</v>
      </c>
      <c r="BG14" s="201">
        <f>BE14/BV14*BW14</f>
        <v>0.45538591510211907</v>
      </c>
      <c r="BH14" s="201">
        <f t="shared" si="27"/>
        <v>0.49477856340506143</v>
      </c>
      <c r="BI14" s="201">
        <f>BE14/BN14*BO14</f>
        <v>0.47912093316499721</v>
      </c>
      <c r="BJ14" s="201">
        <f t="shared" si="28"/>
        <v>0.5104361936451256</v>
      </c>
      <c r="BK14" s="182">
        <v>1327796795.7750199</v>
      </c>
      <c r="BL14" s="202">
        <f t="shared" si="29"/>
        <v>1414581362.3555317</v>
      </c>
      <c r="BM14" s="202">
        <f t="shared" si="30"/>
        <v>1371189079.0652759</v>
      </c>
      <c r="BN14" s="182">
        <v>3.3211022612034601E-10</v>
      </c>
      <c r="BO14" s="182">
        <v>3.6083904908456901E-10</v>
      </c>
      <c r="BP14" s="182">
        <v>7.0250000000000003E-11</v>
      </c>
      <c r="BQ14" s="190">
        <f>AP14/BK14</f>
        <v>3.323174158907707E-10</v>
      </c>
      <c r="BR14" s="203">
        <f>$AP$5/BL14</f>
        <v>4.3306098631181678E-10</v>
      </c>
      <c r="BS14" s="203">
        <f>$AP$5/BM14</f>
        <v>4.4676551859470942E-10</v>
      </c>
      <c r="BT14" s="184">
        <v>2.13544061871601E-4</v>
      </c>
      <c r="BU14" s="204">
        <f t="shared" si="32"/>
        <v>2.3201645165687434E-4</v>
      </c>
      <c r="BV14" s="232">
        <v>2065.0300000000002</v>
      </c>
      <c r="BW14" s="205">
        <f t="shared" si="33"/>
        <v>2132.5150000000003</v>
      </c>
      <c r="BX14" s="230">
        <v>2200</v>
      </c>
      <c r="BY14" s="183"/>
      <c r="BZ14" s="191">
        <f t="shared" si="48"/>
        <v>2066.3182864120718</v>
      </c>
      <c r="CA14" s="206">
        <f t="shared" si="48"/>
        <v>1901.8047937934937</v>
      </c>
      <c r="CB14" s="185">
        <v>102.533</v>
      </c>
      <c r="CC14" s="186">
        <f>CB14/Q14</f>
        <v>1928974.5850302745</v>
      </c>
      <c r="CD14" s="186">
        <v>2.2860586008176599E-7</v>
      </c>
      <c r="CE14" s="186">
        <f>1/3*BX14*BN14</f>
        <v>2.4354749915492038E-7</v>
      </c>
      <c r="CF14" s="208">
        <f t="shared" si="34"/>
        <v>2.3607667961834324E-7</v>
      </c>
      <c r="CG14" s="208">
        <f t="shared" si="35"/>
        <v>2.5649822825285991E-7</v>
      </c>
      <c r="CH14" s="208">
        <f t="shared" si="36"/>
        <v>2.4838115384370252E-7</v>
      </c>
      <c r="CI14" s="208">
        <f t="shared" si="37"/>
        <v>2.6461530266201724E-7</v>
      </c>
      <c r="CJ14" s="210">
        <f t="shared" si="49"/>
        <v>1930177.9921222366</v>
      </c>
      <c r="CK14" s="211">
        <f t="shared" si="49"/>
        <v>1811761.5723055371</v>
      </c>
      <c r="CL14" s="211">
        <f t="shared" si="49"/>
        <v>1869096.0950202839</v>
      </c>
      <c r="CM14" s="211">
        <f t="shared" si="49"/>
        <v>1720284.7871721319</v>
      </c>
      <c r="CN14" s="210">
        <f t="shared" si="49"/>
        <v>1776503.5437336885</v>
      </c>
      <c r="CO14" s="210">
        <f t="shared" si="49"/>
        <v>1667515.0513256271</v>
      </c>
      <c r="CP14" s="22">
        <f t="shared" si="38"/>
        <v>1283421056.6482842</v>
      </c>
      <c r="CQ14" s="22">
        <v>7.7916751857846874E-10</v>
      </c>
      <c r="CR14" s="11">
        <v>40.08</v>
      </c>
      <c r="CS14" s="32">
        <v>70.900000000000006</v>
      </c>
      <c r="CT14" s="25">
        <f>SUM(CR14:CS14)</f>
        <v>110.98</v>
      </c>
      <c r="CV14" s="11">
        <f t="shared" si="47"/>
        <v>0.36114615245990267</v>
      </c>
      <c r="CW14" s="11">
        <f t="shared" si="14"/>
        <v>1.1329576826479489E+28</v>
      </c>
      <c r="CX14" s="11">
        <f t="shared" si="15"/>
        <v>2.0958341989755692E-11</v>
      </c>
      <c r="CY14" s="172">
        <v>2.7884018267334601E-10</v>
      </c>
      <c r="CZ14" s="172">
        <v>3.6083904908456901E-10</v>
      </c>
      <c r="DA14" s="172">
        <v>3.7278880607214401E-10</v>
      </c>
      <c r="DB14" s="22">
        <f t="shared" si="39"/>
        <v>-5.5169302889417085E-24</v>
      </c>
      <c r="DC14" s="22">
        <f t="shared" si="16"/>
        <v>8.5226678653207637E-26</v>
      </c>
      <c r="DD14" s="22">
        <f t="shared" si="17"/>
        <v>4.6645076217670404E-26</v>
      </c>
      <c r="DE14" s="25">
        <f t="shared" si="40"/>
        <v>1.8271312979636956</v>
      </c>
      <c r="DF14" s="22">
        <f t="shared" si="41"/>
        <v>-1.544820655501818E-2</v>
      </c>
      <c r="DG14" s="22">
        <f t="shared" si="42"/>
        <v>-8.454896794901889E-3</v>
      </c>
      <c r="DH14" s="172">
        <f t="shared" si="18"/>
        <v>-1.1868926737062473E-8</v>
      </c>
      <c r="DI14" s="172">
        <f t="shared" si="19"/>
        <v>7.0875332109788254E-9</v>
      </c>
      <c r="DJ14" s="172">
        <f t="shared" si="20"/>
        <v>6.6404336257538526E-9</v>
      </c>
      <c r="DK14" s="25">
        <f t="shared" si="43"/>
        <v>1.0673298778999867</v>
      </c>
      <c r="DL14" s="25">
        <f t="shared" si="44"/>
        <v>-0.59715030415066583</v>
      </c>
      <c r="DM14" s="25">
        <f t="shared" si="45"/>
        <v>-0.55948054721899332</v>
      </c>
    </row>
    <row r="15" spans="1:117" s="11" customFormat="1" ht="20.25" customHeight="1" x14ac:dyDescent="0.25">
      <c r="A15" s="2" t="s">
        <v>30</v>
      </c>
      <c r="B15" s="30"/>
      <c r="C15" s="30"/>
      <c r="D15" s="30"/>
      <c r="E15" s="2">
        <v>1</v>
      </c>
      <c r="F15" s="2">
        <v>55</v>
      </c>
      <c r="G15" s="2">
        <v>54</v>
      </c>
      <c r="H15" s="22">
        <v>9.1994204499999998E-26</v>
      </c>
      <c r="I15" s="22">
        <v>4.9190682239999996E-29</v>
      </c>
      <c r="J15" s="24">
        <v>1904.7875860407996</v>
      </c>
      <c r="K15" s="24">
        <v>1.0185185185185186</v>
      </c>
      <c r="L15" s="26">
        <v>9.1945013817760001E-26</v>
      </c>
      <c r="M15" s="3">
        <v>158.52600000000001</v>
      </c>
      <c r="N15" s="11">
        <v>3.78088190424221E-3</v>
      </c>
      <c r="O15" s="27">
        <v>8.7260034904013963E-4</v>
      </c>
      <c r="P15" s="3">
        <v>1146</v>
      </c>
      <c r="Q15" s="5">
        <v>5.811897000013199E-5</v>
      </c>
      <c r="R15" s="5">
        <v>2.12E-4</v>
      </c>
      <c r="S15" s="32"/>
      <c r="T15" s="6">
        <v>1.1800000000000001E-10</v>
      </c>
      <c r="U15" s="6">
        <v>1.81E-10</v>
      </c>
      <c r="V15" s="6">
        <v>2.99E-10</v>
      </c>
      <c r="W15" s="6">
        <f t="shared" si="46"/>
        <v>6.2999999999999989E-11</v>
      </c>
      <c r="X15" s="6">
        <v>2727612</v>
      </c>
      <c r="Y15" s="11">
        <v>1873.13</v>
      </c>
      <c r="Z15" s="11">
        <v>0</v>
      </c>
      <c r="AA15" s="11">
        <v>3.39</v>
      </c>
      <c r="AB15" s="11">
        <v>-5.7799999999999995E-4</v>
      </c>
      <c r="AC15" s="11">
        <v>1</v>
      </c>
      <c r="AD15" s="11">
        <v>2</v>
      </c>
      <c r="AE15" s="11">
        <v>3</v>
      </c>
      <c r="AF15" s="11">
        <v>2</v>
      </c>
      <c r="AG15" s="11">
        <v>-2</v>
      </c>
      <c r="AH15" s="178"/>
      <c r="AI15" s="178"/>
      <c r="AJ15" s="193"/>
      <c r="AK15" s="193">
        <v>0.38300000000000001</v>
      </c>
      <c r="AL15" s="193">
        <v>-1.1900000000000001E-4</v>
      </c>
      <c r="AM15" s="200">
        <v>1198</v>
      </c>
      <c r="AN15" s="200">
        <f t="shared" si="21"/>
        <v>0.37657400000000002</v>
      </c>
      <c r="AO15" s="200">
        <f t="shared" si="2"/>
        <v>0.37681199999999998</v>
      </c>
      <c r="AP15" s="199">
        <f t="shared" si="3"/>
        <v>0.37705</v>
      </c>
      <c r="AQ15" s="178" t="s">
        <v>181</v>
      </c>
      <c r="AR15" s="199">
        <f t="shared" si="4"/>
        <v>0.32666098973626601</v>
      </c>
      <c r="AS15" s="199">
        <f t="shared" si="5"/>
        <v>0.33599408249358714</v>
      </c>
      <c r="AT15" s="199">
        <f t="shared" si="6"/>
        <v>0.33599408249358714</v>
      </c>
      <c r="AU15" s="199">
        <f t="shared" si="22"/>
        <v>0.32666098973626601</v>
      </c>
      <c r="AV15" s="178"/>
      <c r="AW15" s="178">
        <v>0.36759447686851399</v>
      </c>
      <c r="AX15" s="199" t="e">
        <f>AW15/AY15*#REF!*10^-10</f>
        <v>#REF!</v>
      </c>
      <c r="AY15" s="178">
        <v>3.2712108429999999E-10</v>
      </c>
      <c r="AZ15" s="178">
        <v>2.9069451225530999E-10</v>
      </c>
      <c r="BA15" s="201">
        <f t="shared" si="23"/>
        <v>1921.311964522863</v>
      </c>
      <c r="BB15" s="234">
        <f t="shared" si="24"/>
        <v>1846051.2052025932</v>
      </c>
      <c r="BC15" s="234">
        <f t="shared" si="25"/>
        <v>3.3553552242144542E-10</v>
      </c>
      <c r="BD15" s="201"/>
      <c r="BE15" s="181">
        <v>0.48314180608273199</v>
      </c>
      <c r="BF15" s="181"/>
      <c r="BG15" s="201"/>
      <c r="BH15" s="201"/>
      <c r="BI15" s="201">
        <f>BE15/BN15*BO15</f>
        <v>0.55522074200137805</v>
      </c>
      <c r="BJ15" s="201"/>
      <c r="BK15" s="182">
        <v>1123726028.4066401</v>
      </c>
      <c r="BL15" s="202"/>
      <c r="BM15" s="202"/>
      <c r="BN15" s="182">
        <v>4.2994626258483001E-10</v>
      </c>
      <c r="BO15" s="182">
        <v>4.9408906438577101E-10</v>
      </c>
      <c r="BP15" s="182">
        <v>7.475E-11</v>
      </c>
      <c r="BQ15" s="190">
        <f>AP15/BK15</f>
        <v>3.3553552242144723E-10</v>
      </c>
      <c r="BR15" s="190"/>
      <c r="BS15" s="203"/>
      <c r="BT15" s="184">
        <v>2.57932874964755E-4</v>
      </c>
      <c r="BU15" s="204">
        <f>BT15/BN15*BO15</f>
        <v>2.9641335198377983E-4</v>
      </c>
      <c r="BV15" s="232">
        <v>1873.13</v>
      </c>
      <c r="BW15" s="183"/>
      <c r="BX15" s="183">
        <v>1873.13</v>
      </c>
      <c r="BY15" s="183"/>
      <c r="BZ15" s="191">
        <f t="shared" si="48"/>
        <v>1461.8144354476785</v>
      </c>
      <c r="CA15" s="206">
        <f t="shared" si="48"/>
        <v>1272.0412136516466</v>
      </c>
      <c r="CB15" s="185">
        <v>104.6</v>
      </c>
      <c r="CC15" s="186">
        <f>CB15/Q15</f>
        <v>1799756.6027023955</v>
      </c>
      <c r="CD15" s="186">
        <v>2.68448414278508E-7</v>
      </c>
      <c r="CE15" s="186"/>
      <c r="CF15" s="208"/>
      <c r="CG15" s="208"/>
      <c r="CH15" s="208">
        <f t="shared" si="36"/>
        <v>3.0849768305763975E-7</v>
      </c>
      <c r="CI15" s="208"/>
      <c r="CJ15" s="210">
        <f>$AP15/(CD15)</f>
        <v>1404552.9045622179</v>
      </c>
      <c r="CK15" s="210"/>
      <c r="CL15" s="211"/>
      <c r="CM15" s="211"/>
      <c r="CN15" s="210">
        <f>$AP15/(CH15)</f>
        <v>1222213.3931863336</v>
      </c>
      <c r="CO15" s="210"/>
      <c r="CP15" s="22">
        <f t="shared" si="38"/>
        <v>1351317495.4836404</v>
      </c>
      <c r="CQ15" s="22">
        <v>7.4001853993764589E-10</v>
      </c>
      <c r="CR15" s="11">
        <v>87.62</v>
      </c>
      <c r="CS15" s="32">
        <v>70.900000000000006</v>
      </c>
      <c r="CT15" s="25">
        <f>SUM(CR15:CS15)</f>
        <v>158.52000000000001</v>
      </c>
      <c r="CV15" s="11">
        <f t="shared" si="47"/>
        <v>0.55273782488014134</v>
      </c>
      <c r="CW15" s="11">
        <f t="shared" si="14"/>
        <v>1.0361745915294651E+28</v>
      </c>
      <c r="CX15" s="11">
        <f t="shared" si="15"/>
        <v>2.2949935082211439E-11</v>
      </c>
      <c r="CY15" s="172">
        <v>2.9069451225530999E-10</v>
      </c>
      <c r="CZ15" s="172">
        <v>4.9408906438577101E-10</v>
      </c>
      <c r="DA15" s="172">
        <v>3.7844741538236401E-10</v>
      </c>
      <c r="DB15" s="22">
        <f t="shared" si="39"/>
        <v>-1.0016365935594962E-23</v>
      </c>
      <c r="DC15" s="22">
        <f t="shared" si="16"/>
        <v>8.3443533954109139E-28</v>
      </c>
      <c r="DD15" s="22">
        <f t="shared" si="17"/>
        <v>1.6809086523566032E-25</v>
      </c>
      <c r="DE15" s="25">
        <f t="shared" si="40"/>
        <v>4.9641920658283741E-3</v>
      </c>
      <c r="DF15" s="22">
        <f t="shared" si="41"/>
        <v>-8.3307193937052053E-5</v>
      </c>
      <c r="DG15" s="22">
        <f t="shared" si="42"/>
        <v>-1.6781621829362197E-2</v>
      </c>
      <c r="DH15" s="172">
        <f t="shared" si="18"/>
        <v>-1.0920650285607979E-8</v>
      </c>
      <c r="DI15" s="172">
        <f t="shared" si="19"/>
        <v>3.7801730593014461E-9</v>
      </c>
      <c r="DJ15" s="172">
        <f t="shared" si="20"/>
        <v>6.4433404522461721E-9</v>
      </c>
      <c r="DK15" s="25">
        <f t="shared" si="43"/>
        <v>0.58667908165300564</v>
      </c>
      <c r="DL15" s="25">
        <f t="shared" si="44"/>
        <v>-0.34614908090988233</v>
      </c>
      <c r="DM15" s="25">
        <f t="shared" si="45"/>
        <v>-0.59001435663017898</v>
      </c>
    </row>
    <row r="16" spans="1:117" s="11" customFormat="1" ht="20.25" customHeight="1" x14ac:dyDescent="0.25">
      <c r="A16" s="2" t="s">
        <v>31</v>
      </c>
      <c r="B16" s="30">
        <v>0.3</v>
      </c>
      <c r="C16" s="30"/>
      <c r="D16" s="30"/>
      <c r="E16" s="2">
        <v>1</v>
      </c>
      <c r="F16" s="2">
        <v>26</v>
      </c>
      <c r="G16" s="2">
        <v>25</v>
      </c>
      <c r="H16" s="22">
        <v>4.3488169400000001E-26</v>
      </c>
      <c r="I16" s="22">
        <v>2.2773463999999997E-29</v>
      </c>
      <c r="J16" s="24">
        <v>1985.9822895629759</v>
      </c>
      <c r="K16" s="24">
        <v>1.04</v>
      </c>
      <c r="L16" s="26">
        <v>4.3465395936000002E-26</v>
      </c>
      <c r="M16" s="3">
        <v>84.99</v>
      </c>
      <c r="O16" s="27">
        <v>1.7148246591785991E-3</v>
      </c>
      <c r="P16" s="3">
        <v>583.15</v>
      </c>
      <c r="Q16" s="5">
        <v>4.4669999999999998E-5</v>
      </c>
      <c r="R16" s="5">
        <v>3.7599999999999998E-4</v>
      </c>
      <c r="S16" s="32"/>
      <c r="T16" s="6">
        <v>1.02E-10</v>
      </c>
      <c r="U16" s="6">
        <v>2.31E-10</v>
      </c>
      <c r="V16" s="6">
        <v>3.3299999999999999E-10</v>
      </c>
      <c r="W16" s="6">
        <f t="shared" si="46"/>
        <v>1.2900000000000002E-10</v>
      </c>
      <c r="X16" s="6">
        <v>1886915.5249999999</v>
      </c>
      <c r="Y16" s="11">
        <v>2490.4882499999999</v>
      </c>
      <c r="Z16" s="11">
        <v>-1.155</v>
      </c>
      <c r="AA16" s="11">
        <v>2.3338999999999999</v>
      </c>
      <c r="AB16" s="11">
        <v>-7.6650000000000004E-4</v>
      </c>
      <c r="AC16" s="11">
        <v>2</v>
      </c>
      <c r="AD16" s="11">
        <v>3</v>
      </c>
      <c r="AE16" s="11">
        <v>5</v>
      </c>
      <c r="AF16" s="11">
        <v>3</v>
      </c>
      <c r="AG16" s="11">
        <v>-3</v>
      </c>
      <c r="AH16" s="178"/>
      <c r="AI16" s="178"/>
      <c r="AJ16" s="193"/>
      <c r="AK16" s="193">
        <v>0.51910000000000001</v>
      </c>
      <c r="AL16" s="193">
        <v>-1.37E-4</v>
      </c>
      <c r="AM16" s="200">
        <v>623</v>
      </c>
      <c r="AN16" s="200">
        <f t="shared" si="21"/>
        <v>0.43459154999999999</v>
      </c>
      <c r="AO16" s="200">
        <f t="shared" si="2"/>
        <v>0.51364054999999997</v>
      </c>
      <c r="AP16" s="199">
        <f t="shared" si="3"/>
        <v>0.51224999999999998</v>
      </c>
      <c r="AQ16" s="178" t="s">
        <v>179</v>
      </c>
      <c r="AR16" s="199">
        <f t="shared" si="4"/>
        <v>0.37318886413862051</v>
      </c>
      <c r="AS16" s="199">
        <f t="shared" si="5"/>
        <v>0</v>
      </c>
      <c r="AT16" s="199">
        <f t="shared" si="6"/>
        <v>0</v>
      </c>
      <c r="AU16" s="199">
        <f t="shared" si="22"/>
        <v>0.38288813854392989</v>
      </c>
      <c r="AV16" s="178">
        <v>0.54571904518309799</v>
      </c>
      <c r="AW16" s="178">
        <v>0.54571904518309799</v>
      </c>
      <c r="AX16" s="178"/>
      <c r="AY16" s="178">
        <v>2.9210006750000005E-10</v>
      </c>
      <c r="AZ16" s="178">
        <v>2.0494364655370699E-10</v>
      </c>
      <c r="BA16" s="201"/>
      <c r="BB16" s="234">
        <f t="shared" si="24"/>
        <v>2895533.4619687814</v>
      </c>
      <c r="BC16" s="234" t="e">
        <f t="shared" si="25"/>
        <v>#DIV/0!</v>
      </c>
      <c r="BD16" s="201"/>
      <c r="BE16" s="181"/>
      <c r="BF16" s="181"/>
      <c r="BG16" s="181"/>
      <c r="BH16" s="181"/>
      <c r="BI16" s="181"/>
      <c r="BJ16" s="181"/>
      <c r="BK16" s="182"/>
      <c r="BL16" s="182"/>
      <c r="BM16" s="182"/>
      <c r="BN16" s="182"/>
      <c r="BO16" s="182">
        <v>4.2035554602204399E-10</v>
      </c>
      <c r="BP16" s="182"/>
      <c r="BQ16" s="189"/>
      <c r="BR16" s="189"/>
      <c r="BS16" s="189"/>
      <c r="BT16" s="184"/>
      <c r="BU16" s="204"/>
      <c r="BV16" s="232">
        <v>1816.9499999999998</v>
      </c>
      <c r="BW16" s="183"/>
      <c r="BX16" s="183">
        <v>1816.9499999999998</v>
      </c>
      <c r="BY16" s="183"/>
      <c r="BZ16" s="191"/>
      <c r="CA16" s="191"/>
      <c r="CB16" s="185">
        <v>155.6</v>
      </c>
      <c r="CC16" s="186"/>
      <c r="CD16" s="180"/>
      <c r="CE16" s="186"/>
      <c r="CF16" s="208"/>
      <c r="CG16" s="208"/>
      <c r="CH16" s="208">
        <f>1/3*BV16*BO16</f>
        <v>2.545883364482509E-7</v>
      </c>
      <c r="CI16" s="208"/>
      <c r="CJ16" s="192"/>
      <c r="CK16" s="192"/>
      <c r="CL16" s="192"/>
      <c r="CM16" s="192"/>
      <c r="CN16" s="192"/>
      <c r="CO16" s="192"/>
      <c r="CP16" s="22" t="e">
        <f t="shared" si="38"/>
        <v>#DIV/0!</v>
      </c>
      <c r="CQ16" s="22"/>
      <c r="CR16" s="32"/>
      <c r="CS16" s="32"/>
      <c r="CT16" s="32"/>
      <c r="CV16" s="22"/>
      <c r="CW16" s="11">
        <f t="shared" si="14"/>
        <v>1.3481396910678308E+28</v>
      </c>
      <c r="CX16" s="11">
        <f t="shared" si="15"/>
        <v>1.4352525075244772E-11</v>
      </c>
    </row>
    <row r="17" spans="1:110" s="11" customFormat="1" ht="20.25" customHeight="1" x14ac:dyDescent="0.25">
      <c r="A17" s="2" t="s">
        <v>32</v>
      </c>
      <c r="B17" s="30">
        <v>0.2</v>
      </c>
      <c r="C17" s="30"/>
      <c r="D17" s="30"/>
      <c r="E17" s="2">
        <v>1</v>
      </c>
      <c r="F17" s="2">
        <v>34</v>
      </c>
      <c r="G17" s="2">
        <v>33</v>
      </c>
      <c r="H17" s="22">
        <v>5.6869144599999998E-26</v>
      </c>
      <c r="I17" s="22">
        <v>3.0060972479999997E-29</v>
      </c>
      <c r="J17" s="24">
        <v>1949.1203104325261</v>
      </c>
      <c r="K17" s="24">
        <v>1.0303030303030303</v>
      </c>
      <c r="L17" s="26">
        <v>5.6839083627519992E-26</v>
      </c>
      <c r="M17" s="3">
        <v>101.1</v>
      </c>
      <c r="O17" s="27">
        <v>1.6389412439564042E-3</v>
      </c>
      <c r="P17" s="3">
        <v>610.15</v>
      </c>
      <c r="Q17" s="5">
        <v>5.4060000000000001E-5</v>
      </c>
      <c r="R17" s="5">
        <v>3.8999999999999999E-4</v>
      </c>
      <c r="S17" s="32"/>
      <c r="T17" s="6">
        <v>1.3799999999999999E-10</v>
      </c>
      <c r="U17" s="6">
        <v>2.31E-10</v>
      </c>
      <c r="V17" s="6">
        <v>3.6899999999999997E-10</v>
      </c>
      <c r="W17" s="6">
        <f t="shared" si="46"/>
        <v>9.3000000000000015E-11</v>
      </c>
      <c r="X17" s="6">
        <v>1870200.65</v>
      </c>
      <c r="Y17" s="11">
        <v>2449.9279999999999</v>
      </c>
      <c r="Z17" s="11">
        <v>-1.1200000000000001</v>
      </c>
      <c r="AA17" s="11">
        <v>2.3149999999999999</v>
      </c>
      <c r="AB17" s="11">
        <v>-7.2900000000000005E-4</v>
      </c>
      <c r="AC17" s="11">
        <v>2</v>
      </c>
      <c r="AD17" s="11">
        <v>3</v>
      </c>
      <c r="AE17" s="11">
        <v>5</v>
      </c>
      <c r="AF17" s="11">
        <v>3</v>
      </c>
      <c r="AG17" s="11">
        <v>-3</v>
      </c>
      <c r="AH17" s="178"/>
      <c r="AI17" s="178"/>
      <c r="AJ17" s="193"/>
      <c r="AK17" s="193">
        <v>0.43030000000000002</v>
      </c>
      <c r="AL17" s="193">
        <v>-4.2200000000000001E-4</v>
      </c>
      <c r="AM17" s="200"/>
      <c r="AN17" s="200">
        <f t="shared" si="21"/>
        <v>0.1813833</v>
      </c>
      <c r="AO17" s="200">
        <f t="shared" si="2"/>
        <v>0.68778329999999999</v>
      </c>
      <c r="AP17" s="199">
        <f t="shared" si="3"/>
        <v>0.40920000000000001</v>
      </c>
      <c r="AQ17" s="178" t="s">
        <v>179</v>
      </c>
      <c r="AR17" s="199">
        <f t="shared" si="4"/>
        <v>0</v>
      </c>
      <c r="AS17" s="199">
        <f t="shared" si="5"/>
        <v>0</v>
      </c>
      <c r="AT17" s="199">
        <f t="shared" si="6"/>
        <v>0</v>
      </c>
      <c r="AU17" s="199"/>
      <c r="AV17" s="178"/>
      <c r="AW17" s="178"/>
      <c r="AX17" s="178"/>
      <c r="AY17" s="178"/>
      <c r="AZ17" s="178"/>
      <c r="BA17" s="201"/>
      <c r="BB17" s="234" t="e">
        <f t="shared" si="24"/>
        <v>#DIV/0!</v>
      </c>
      <c r="BC17" s="234" t="e">
        <f t="shared" si="25"/>
        <v>#DIV/0!</v>
      </c>
      <c r="BD17" s="201"/>
      <c r="BE17" s="181"/>
      <c r="BF17" s="181"/>
      <c r="BG17" s="181"/>
      <c r="BH17" s="181"/>
      <c r="BI17" s="181"/>
      <c r="BJ17" s="181"/>
      <c r="BK17" s="182"/>
      <c r="BL17" s="182"/>
      <c r="BM17" s="182"/>
      <c r="BN17" s="182"/>
      <c r="BO17" s="182"/>
      <c r="BP17" s="182"/>
      <c r="BQ17" s="189"/>
      <c r="BR17" s="189"/>
      <c r="BS17" s="189"/>
      <c r="BT17" s="184"/>
      <c r="BU17" s="184"/>
      <c r="BV17" s="232">
        <v>1766.56</v>
      </c>
      <c r="BW17" s="183"/>
      <c r="BX17" s="183">
        <v>1766.56</v>
      </c>
      <c r="BY17" s="183"/>
      <c r="BZ17" s="191"/>
      <c r="CA17" s="191"/>
      <c r="CB17" s="185">
        <v>141</v>
      </c>
      <c r="CC17" s="186"/>
      <c r="CD17" s="180"/>
      <c r="CE17" s="186"/>
      <c r="CF17" s="186"/>
      <c r="CG17" s="186"/>
      <c r="CH17" s="186"/>
      <c r="CI17" s="180"/>
      <c r="CJ17" s="192"/>
      <c r="CK17" s="192"/>
      <c r="CL17" s="192"/>
      <c r="CM17" s="192"/>
      <c r="CN17" s="192"/>
      <c r="CO17" s="192"/>
      <c r="CP17" s="22" t="e">
        <f t="shared" si="38"/>
        <v>#DIV/0!</v>
      </c>
      <c r="CQ17" s="22"/>
      <c r="CR17" s="32"/>
      <c r="CS17" s="32"/>
      <c r="CT17" s="32"/>
      <c r="CV17" s="22"/>
      <c r="CW17" s="11">
        <f t="shared" si="14"/>
        <v>1.1139733629300775E+28</v>
      </c>
      <c r="CX17" s="11">
        <f t="shared" si="15"/>
        <v>1.6150520619007024E-11</v>
      </c>
    </row>
    <row r="18" spans="1:110" x14ac:dyDescent="0.25">
      <c r="A18" s="4" t="s">
        <v>38</v>
      </c>
      <c r="B18" s="31"/>
      <c r="C18" s="31"/>
      <c r="D18" s="31"/>
      <c r="E18" s="11">
        <v>2</v>
      </c>
      <c r="F18" s="25">
        <v>12.34</v>
      </c>
      <c r="G18" s="25">
        <v>11.34</v>
      </c>
      <c r="H18" s="22">
        <f t="shared" ref="H18:H23" si="50">F18*1.6726219E-27</f>
        <v>2.0640154245999999E-26</v>
      </c>
      <c r="I18" s="22">
        <f t="shared" ref="I18:I23" si="51">G18*9.1093856E-31</f>
        <v>1.0330043270399999E-29</v>
      </c>
      <c r="J18" s="24">
        <f t="shared" ref="J18:J23" si="52">((H18*F18)/(I18*G18))</f>
        <v>2174.2671429464549</v>
      </c>
      <c r="K18" s="24">
        <f t="shared" ref="K18:K23" si="53">F18/G18</f>
        <v>1.088183421516755</v>
      </c>
      <c r="L18" s="26">
        <f t="shared" ref="L18:L23" si="54">(H18)-(I18)</f>
        <v>2.06298242027296E-26</v>
      </c>
      <c r="M18" s="4">
        <v>33.103140000000003</v>
      </c>
      <c r="N18" s="11">
        <f>0.116*EXP(31200/(8.3144598*P18))/1000</f>
        <v>1.9398692129051695E-2</v>
      </c>
      <c r="O18" s="27">
        <f t="shared" ref="O18:O23" si="55">P18^-1</f>
        <v>1.364256480218281E-3</v>
      </c>
      <c r="P18" s="4">
        <v>733</v>
      </c>
      <c r="Q18" s="4">
        <v>1.6714173769923689E-5</v>
      </c>
      <c r="R18" s="4">
        <v>1.409526898683356E-4</v>
      </c>
      <c r="V18" s="22">
        <f>(T8+U8)*0.66+('MFP-rsum'!R10+'MFP-rsum'!S10)*0.34</f>
        <v>1.9472000000000003E-10</v>
      </c>
      <c r="X18" s="8">
        <v>1986063.3540000001</v>
      </c>
      <c r="Y18" s="4">
        <v>2547.6863757231322</v>
      </c>
      <c r="AC18" s="4">
        <v>2</v>
      </c>
      <c r="AD18" s="4">
        <v>3</v>
      </c>
      <c r="AE18" s="11">
        <f>AC18+AD18</f>
        <v>5</v>
      </c>
      <c r="AH18" s="178"/>
      <c r="AI18" s="178"/>
      <c r="AJ18" s="178">
        <v>0.98602842355479803</v>
      </c>
      <c r="AK18" s="178">
        <v>1.1000000000000001</v>
      </c>
      <c r="AL18" s="178">
        <v>0</v>
      </c>
      <c r="AM18" s="200">
        <v>973</v>
      </c>
      <c r="AN18" s="200">
        <f t="shared" si="21"/>
        <v>1.1000000000000001</v>
      </c>
      <c r="AO18" s="200">
        <f t="shared" ref="AO18:AO23" si="56">AK18+AL18*AM18</f>
        <v>1.1000000000000001</v>
      </c>
      <c r="AP18" s="199">
        <f t="shared" ref="AP18:AP23" si="57">AK18+AL18*P18</f>
        <v>1.1000000000000001</v>
      </c>
      <c r="AQ18" s="178" t="s">
        <v>182</v>
      </c>
      <c r="AR18" s="199">
        <f t="shared" si="4"/>
        <v>1.0187917505808699</v>
      </c>
      <c r="AS18" s="199">
        <f t="shared" si="5"/>
        <v>0.71488518084414443</v>
      </c>
      <c r="AT18" s="199">
        <f t="shared" si="6"/>
        <v>0.71488518084414443</v>
      </c>
      <c r="AU18" s="199">
        <v>1.0187917505808699</v>
      </c>
      <c r="AV18" s="178">
        <v>1.28305844543897</v>
      </c>
      <c r="AW18" s="178">
        <v>1.28305844543897</v>
      </c>
      <c r="AX18" s="178">
        <v>1.28305844543897</v>
      </c>
      <c r="AY18" s="178">
        <v>2.090905522E-10</v>
      </c>
      <c r="AZ18" s="178">
        <v>1.6602500929042107E-10</v>
      </c>
      <c r="BA18" s="201">
        <f t="shared" si="23"/>
        <v>3650.7198447687724</v>
      </c>
      <c r="BB18" s="234">
        <f t="shared" si="24"/>
        <v>6194889.5220954642</v>
      </c>
      <c r="BC18" s="234">
        <f t="shared" si="25"/>
        <v>2.9961734518972644E-10</v>
      </c>
      <c r="BD18" s="201"/>
      <c r="BE18" s="181">
        <v>1.2641169574941</v>
      </c>
      <c r="BF18" s="181">
        <v>1.2641169574941</v>
      </c>
      <c r="BG18" s="181">
        <v>1.2641169574941</v>
      </c>
      <c r="BH18" s="181">
        <v>1.2641169574941</v>
      </c>
      <c r="BI18" s="181">
        <v>1.2641169574941</v>
      </c>
      <c r="BJ18" s="181">
        <v>1.2641169574941</v>
      </c>
      <c r="BK18" s="182">
        <v>6136375549.3502598</v>
      </c>
      <c r="BL18" s="182"/>
      <c r="BM18" s="182"/>
      <c r="BN18" s="182">
        <v>2.06003844994128E-10</v>
      </c>
      <c r="BO18" s="182"/>
      <c r="BP18" s="182">
        <v>4.2509000000000002E-11</v>
      </c>
      <c r="BQ18" s="189">
        <f>AP18/BK18</f>
        <v>1.7925891125038326E-10</v>
      </c>
      <c r="BR18" s="189"/>
      <c r="BS18" s="189"/>
      <c r="BT18" s="184">
        <v>3.64867161248093E-4</v>
      </c>
      <c r="BU18" s="184"/>
      <c r="BV18" s="232">
        <f t="shared" ref="BV18:BV23" si="58">Y18+Z18*P18</f>
        <v>2547.6863757231322</v>
      </c>
      <c r="BW18" s="183"/>
      <c r="BX18" s="183">
        <v>2547.6863757231322</v>
      </c>
      <c r="BY18" s="183"/>
      <c r="BZ18" s="191">
        <f t="shared" ref="BZ18:BZ23" si="59">$AP18/BT18</f>
        <v>3014.7958403196781</v>
      </c>
      <c r="CA18" s="191"/>
      <c r="CB18" s="185">
        <v>72.25800000000001</v>
      </c>
      <c r="CC18" s="186">
        <f t="shared" ref="CC18:CC23" si="60">CB18/Q18</f>
        <v>4323157.1595853949</v>
      </c>
      <c r="CD18" s="180">
        <v>2.6515208606205915E-7</v>
      </c>
      <c r="CE18" s="180"/>
      <c r="CF18" s="180"/>
      <c r="CG18" s="180"/>
      <c r="CH18" s="180"/>
      <c r="CI18" s="180"/>
      <c r="CJ18" s="192">
        <f t="shared" ref="CJ18:CJ23" si="61">$AP18/(CD18)</f>
        <v>4148562.4961009878</v>
      </c>
      <c r="CK18" s="192"/>
      <c r="CL18" s="192"/>
      <c r="CM18" s="192"/>
      <c r="CN18" s="192"/>
      <c r="CO18" s="192"/>
      <c r="CP18" s="22">
        <f t="shared" si="38"/>
        <v>260835447.80480725</v>
      </c>
      <c r="CQ18" s="8">
        <f t="shared" ref="CQ18:CQ23" si="62">N18/(X18/1000*(Y18+Z18*P18))</f>
        <v>3.8338347353322035E-9</v>
      </c>
      <c r="CR18"/>
      <c r="CS18"/>
      <c r="CT18"/>
      <c r="CU18" s="4"/>
      <c r="CV18" s="8"/>
      <c r="CW18" s="11">
        <f t="shared" si="14"/>
        <v>3.603013874868608E+28</v>
      </c>
      <c r="CX18" s="11">
        <f t="shared" si="15"/>
        <v>9.8429355610459986E-12</v>
      </c>
      <c r="DA18"/>
      <c r="DB18" s="4"/>
      <c r="DC18" s="4"/>
      <c r="DD18" s="4"/>
    </row>
    <row r="19" spans="1:110" x14ac:dyDescent="0.25">
      <c r="A19" s="4" t="s">
        <v>39</v>
      </c>
      <c r="B19" s="31"/>
      <c r="C19" s="31"/>
      <c r="D19" s="31"/>
      <c r="E19" s="11">
        <v>3</v>
      </c>
      <c r="F19" s="25">
        <v>19.64</v>
      </c>
      <c r="G19" s="25">
        <v>19.64</v>
      </c>
      <c r="H19" s="22">
        <f t="shared" si="50"/>
        <v>3.2850294116000003E-26</v>
      </c>
      <c r="I19" s="22">
        <f t="shared" si="51"/>
        <v>1.78908333184E-29</v>
      </c>
      <c r="J19" s="24">
        <f t="shared" si="52"/>
        <v>1836.1522647586683</v>
      </c>
      <c r="K19" s="24">
        <f t="shared" si="53"/>
        <v>1</v>
      </c>
      <c r="L19" s="26">
        <f t="shared" si="54"/>
        <v>3.2832403282681602E-26</v>
      </c>
      <c r="M19" s="4">
        <v>41.290994999999988</v>
      </c>
      <c r="N19" s="11">
        <f>10^(0.213+-1200/P19+1350000/P19^2)/1000</f>
        <v>1.2003439447166342E-2</v>
      </c>
      <c r="O19" s="27">
        <f t="shared" si="55"/>
        <v>1.3605442176870747E-3</v>
      </c>
      <c r="P19" s="4">
        <v>735</v>
      </c>
      <c r="Q19" s="4">
        <v>1.9405588331960499E-5</v>
      </c>
      <c r="R19" s="4">
        <v>3.1252324985815613E-4</v>
      </c>
      <c r="V19" s="22">
        <f>0.465*(T8+U8)+0.115*(T9+U9)+0.42*(T10+U10)</f>
        <v>2.3803E-10</v>
      </c>
      <c r="X19" s="8">
        <v>2102415.4449999998</v>
      </c>
      <c r="Y19" s="4">
        <v>2012.468707779205</v>
      </c>
      <c r="AC19" s="4">
        <v>3</v>
      </c>
      <c r="AD19" s="4">
        <v>3</v>
      </c>
      <c r="AE19" s="11">
        <f>AC19+AD19</f>
        <v>6</v>
      </c>
      <c r="AH19" s="178"/>
      <c r="AI19" s="178"/>
      <c r="AJ19" s="193"/>
      <c r="AK19" s="193">
        <v>1.24</v>
      </c>
      <c r="AL19" s="193">
        <v>-5.3799999999999996E-4</v>
      </c>
      <c r="AM19" s="200">
        <v>873</v>
      </c>
      <c r="AN19" s="200">
        <f>AK19+AL19*(1200)</f>
        <v>0.59440000000000004</v>
      </c>
      <c r="AO19" s="200">
        <f t="shared" si="56"/>
        <v>0.77032600000000007</v>
      </c>
      <c r="AP19" s="199">
        <f t="shared" si="57"/>
        <v>0.84457000000000004</v>
      </c>
      <c r="AQ19" s="178" t="s">
        <v>183</v>
      </c>
      <c r="AR19" s="199">
        <f t="shared" si="4"/>
        <v>0.68591483111751272</v>
      </c>
      <c r="AS19" s="199">
        <f t="shared" si="5"/>
        <v>0.54326858976638281</v>
      </c>
      <c r="AT19" s="199">
        <f t="shared" si="6"/>
        <v>0.54326858976638281</v>
      </c>
      <c r="AU19" s="199">
        <f>AW19/AY19*AZ19</f>
        <v>0.68591483111751272</v>
      </c>
      <c r="AV19" s="178">
        <v>0.85046707066330796</v>
      </c>
      <c r="AW19" s="178">
        <v>0.85046707066330796</v>
      </c>
      <c r="AX19" s="178"/>
      <c r="AY19" s="178">
        <v>2.6189981379999998E-10</v>
      </c>
      <c r="AZ19" s="178">
        <v>2.1122624584656404E-10</v>
      </c>
      <c r="BA19" s="201">
        <f t="shared" si="23"/>
        <v>2843.4572144367976</v>
      </c>
      <c r="BB19" s="234">
        <f t="shared" si="24"/>
        <v>4807204.3020215267</v>
      </c>
      <c r="BC19" s="234">
        <f t="shared" si="25"/>
        <v>3.7004347552367886E-10</v>
      </c>
      <c r="BD19" s="201"/>
      <c r="BE19" s="181">
        <v>0.84284465559077204</v>
      </c>
      <c r="BF19" s="181">
        <v>0.84284465559077204</v>
      </c>
      <c r="BG19" s="181">
        <v>0.84284465559077204</v>
      </c>
      <c r="BH19" s="181">
        <v>0.84284465559077204</v>
      </c>
      <c r="BI19" s="181">
        <v>0.84284465559077204</v>
      </c>
      <c r="BJ19" s="181">
        <v>0.84284465559077204</v>
      </c>
      <c r="BK19" s="182">
        <v>3247299256.6262999</v>
      </c>
      <c r="BL19" s="182"/>
      <c r="BM19" s="182"/>
      <c r="BN19" s="182">
        <v>2.5955250470707202E-10</v>
      </c>
      <c r="BO19" s="182"/>
      <c r="BP19" s="182">
        <v>4.3781312500000001E-11</v>
      </c>
      <c r="BQ19" s="190">
        <f>AP19/BK19</f>
        <v>2.6008382143302827E-10</v>
      </c>
      <c r="BR19" s="189"/>
      <c r="BS19" s="189"/>
      <c r="BT19" s="184">
        <v>3.5726624232913199E-4</v>
      </c>
      <c r="BU19" s="184"/>
      <c r="BV19" s="232">
        <f t="shared" si="58"/>
        <v>2012.468707779205</v>
      </c>
      <c r="BW19" s="183"/>
      <c r="BX19" s="183">
        <v>2012.468707779205</v>
      </c>
      <c r="BY19" s="183"/>
      <c r="BZ19" s="191">
        <f t="shared" si="59"/>
        <v>2363.979295927822</v>
      </c>
      <c r="CA19" s="191"/>
      <c r="CB19" s="185">
        <v>66.024000000000001</v>
      </c>
      <c r="CC19" s="186">
        <f t="shared" si="60"/>
        <v>3402318.9027080508</v>
      </c>
      <c r="CD19" s="180">
        <v>2.1033914784311533E-7</v>
      </c>
      <c r="CE19" s="180"/>
      <c r="CF19" s="180"/>
      <c r="CG19" s="180"/>
      <c r="CH19" s="180"/>
      <c r="CI19" s="180"/>
      <c r="CJ19" s="192">
        <f t="shared" si="61"/>
        <v>4015277.2732061055</v>
      </c>
      <c r="CK19" s="192"/>
      <c r="CL19" s="192"/>
      <c r="CM19" s="192"/>
      <c r="CN19" s="192"/>
      <c r="CO19" s="192"/>
      <c r="CP19" s="22">
        <f t="shared" si="38"/>
        <v>352486078.0476563</v>
      </c>
      <c r="CQ19" s="8">
        <f t="shared" si="62"/>
        <v>2.8369914793196441E-9</v>
      </c>
      <c r="CR19"/>
      <c r="CS19"/>
      <c r="CT19"/>
      <c r="CU19" s="4"/>
      <c r="CV19" s="8"/>
      <c r="CW19" s="11">
        <f t="shared" si="14"/>
        <v>3.1033019442557644E+28</v>
      </c>
      <c r="CX19" s="11">
        <f t="shared" si="15"/>
        <v>1.0620311979487752E-11</v>
      </c>
      <c r="DA19"/>
      <c r="DB19" s="4"/>
      <c r="DC19" s="4" t="s">
        <v>234</v>
      </c>
      <c r="DD19" s="4"/>
    </row>
    <row r="20" spans="1:110" x14ac:dyDescent="0.25">
      <c r="A20" s="4" t="s">
        <v>45</v>
      </c>
      <c r="B20" s="31"/>
      <c r="C20" s="31"/>
      <c r="D20" s="31"/>
      <c r="E20" s="11">
        <v>2</v>
      </c>
      <c r="F20" s="25">
        <v>15.2</v>
      </c>
      <c r="G20" s="25">
        <v>15.2</v>
      </c>
      <c r="H20" s="22">
        <f t="shared" si="50"/>
        <v>2.5423852879999997E-26</v>
      </c>
      <c r="I20" s="22">
        <f t="shared" si="51"/>
        <v>1.3846266111999999E-29</v>
      </c>
      <c r="J20" s="24">
        <f t="shared" si="52"/>
        <v>1836.152264758668</v>
      </c>
      <c r="K20" s="24">
        <f t="shared" si="53"/>
        <v>1</v>
      </c>
      <c r="L20" s="26">
        <f t="shared" si="54"/>
        <v>2.5410006613887998E-26</v>
      </c>
      <c r="M20" s="4">
        <v>32.358600000000003</v>
      </c>
      <c r="N20" s="11">
        <f>0.116*EXP(26800/(8.3144598*P20))/1000</f>
        <v>3.9071251973790879E-3</v>
      </c>
      <c r="O20" s="27">
        <f t="shared" si="55"/>
        <v>1.0911074740861974E-3</v>
      </c>
      <c r="P20" s="4">
        <v>916.5</v>
      </c>
      <c r="Q20" s="4">
        <v>1.5885583505580338E-5</v>
      </c>
      <c r="R20" s="4">
        <v>2.7773488865206569E-4</v>
      </c>
      <c r="V20" s="22">
        <f>0.6*(T8+U8)+0.4*(T9+U9)</f>
        <v>2.1940000000000001E-10</v>
      </c>
      <c r="X20" s="8">
        <v>2014141.42</v>
      </c>
      <c r="Y20" s="4">
        <v>2298.228366828082</v>
      </c>
      <c r="AC20" s="4">
        <v>2</v>
      </c>
      <c r="AD20" s="4">
        <v>2</v>
      </c>
      <c r="AE20" s="11">
        <f>AC20+AD20</f>
        <v>4</v>
      </c>
      <c r="AH20" s="178"/>
      <c r="AI20" s="178"/>
      <c r="AJ20" s="193"/>
      <c r="AK20" s="193">
        <v>1.373520053703863</v>
      </c>
      <c r="AL20" s="193">
        <v>-5.444974852953727E-4</v>
      </c>
      <c r="AM20" s="200">
        <v>973</v>
      </c>
      <c r="AN20" s="200">
        <f t="shared" ref="AN20:AN22" si="63">AK20+AL20*(1200)</f>
        <v>0.72012307134941578</v>
      </c>
      <c r="AO20" s="200">
        <f t="shared" si="56"/>
        <v>0.84372400051146534</v>
      </c>
      <c r="AP20" s="199">
        <f t="shared" si="57"/>
        <v>0.87448810843065394</v>
      </c>
      <c r="AQ20" s="178" t="s">
        <v>184</v>
      </c>
      <c r="AR20" s="199">
        <f t="shared" si="4"/>
        <v>0.64595928661301927</v>
      </c>
      <c r="AS20" s="199">
        <f t="shared" si="5"/>
        <v>0.7046599791446102</v>
      </c>
      <c r="AT20" s="199">
        <f t="shared" si="6"/>
        <v>0.7046599791446102</v>
      </c>
      <c r="AU20" s="199">
        <f t="shared" si="22"/>
        <v>0.64595928661301927</v>
      </c>
      <c r="AV20" s="178">
        <v>0.73223097949286997</v>
      </c>
      <c r="AW20" s="178">
        <v>0.73223097949286997</v>
      </c>
      <c r="AX20" s="178"/>
      <c r="AY20" s="178">
        <v>2.1702517760000003E-10</v>
      </c>
      <c r="AZ20" s="178">
        <v>1.9145520037495888E-10</v>
      </c>
      <c r="BA20" s="201">
        <f t="shared" si="23"/>
        <v>2883.3275742423598</v>
      </c>
      <c r="BB20" s="234">
        <f t="shared" si="24"/>
        <v>5259831.8652324006</v>
      </c>
      <c r="BC20" s="234">
        <f t="shared" si="25"/>
        <v>2.7227697991673719E-10</v>
      </c>
      <c r="BD20" s="201"/>
      <c r="BE20" s="181">
        <v>0.93676902087574598</v>
      </c>
      <c r="BF20" s="181">
        <v>0.93676902087574598</v>
      </c>
      <c r="BG20" s="181">
        <v>0.93676902087574598</v>
      </c>
      <c r="BH20" s="181">
        <v>0.93676902087574598</v>
      </c>
      <c r="BI20" s="181">
        <v>0.93676902087574598</v>
      </c>
      <c r="BJ20" s="181">
        <v>0.93676902087574598</v>
      </c>
      <c r="BK20" s="182">
        <v>3639311303.4173899</v>
      </c>
      <c r="BL20" s="182"/>
      <c r="BM20" s="182"/>
      <c r="BN20" s="182">
        <v>2.4173581555363199E-10</v>
      </c>
      <c r="BO20" s="182"/>
      <c r="BP20" s="182">
        <v>4.4170000000000001E-11</v>
      </c>
      <c r="BQ20" s="189">
        <f>AP20/BK20</f>
        <v>2.4028944916294775E-10</v>
      </c>
      <c r="BR20" s="189"/>
      <c r="BS20" s="189"/>
      <c r="BT20" s="184">
        <v>3.3782423562883098E-4</v>
      </c>
      <c r="BU20" s="184"/>
      <c r="BV20" s="232">
        <f t="shared" si="58"/>
        <v>2298.228366828082</v>
      </c>
      <c r="BW20" s="183"/>
      <c r="BX20" s="183">
        <v>2298.228366828082</v>
      </c>
      <c r="BY20" s="183"/>
      <c r="BZ20" s="191">
        <f t="shared" si="59"/>
        <v>2588.5890241203952</v>
      </c>
      <c r="CA20" s="191"/>
      <c r="CB20" s="185">
        <v>66.600000000000009</v>
      </c>
      <c r="CC20" s="186">
        <f t="shared" si="60"/>
        <v>4192480.558023226</v>
      </c>
      <c r="CD20" s="180">
        <v>2.0984042115629121E-7</v>
      </c>
      <c r="CE20" s="180"/>
      <c r="CF20" s="180"/>
      <c r="CG20" s="180"/>
      <c r="CH20" s="180"/>
      <c r="CI20" s="180"/>
      <c r="CJ20" s="192">
        <f t="shared" si="61"/>
        <v>4167395.8887993586</v>
      </c>
      <c r="CK20" s="192"/>
      <c r="CL20" s="192"/>
      <c r="CM20" s="192"/>
      <c r="CN20" s="192"/>
      <c r="CO20" s="192"/>
      <c r="CP20" s="22">
        <f t="shared" si="38"/>
        <v>1184747534.927346</v>
      </c>
      <c r="CQ20" s="8">
        <f t="shared" si="62"/>
        <v>8.4406168446792717E-10</v>
      </c>
      <c r="CR20"/>
      <c r="CS20"/>
      <c r="CT20"/>
      <c r="CU20" s="4"/>
      <c r="CV20" s="8"/>
      <c r="CW20" s="11">
        <f t="shared" si="14"/>
        <v>3.7909466768309286E+28</v>
      </c>
      <c r="CX20" s="11">
        <f t="shared" si="15"/>
        <v>1.0729957916880337E-11</v>
      </c>
      <c r="DA20" t="s">
        <v>235</v>
      </c>
      <c r="DB20" s="4"/>
      <c r="DC20" s="34">
        <f>3/2*$CV$3*P8</f>
        <v>2.3156590190250004E-20</v>
      </c>
      <c r="DD20" s="4"/>
    </row>
    <row r="21" spans="1:110" x14ac:dyDescent="0.25">
      <c r="A21" s="4" t="s">
        <v>75</v>
      </c>
      <c r="B21" s="31"/>
      <c r="C21" s="31"/>
      <c r="D21" s="31"/>
      <c r="E21" s="11">
        <v>2</v>
      </c>
      <c r="F21" s="25">
        <v>57.97</v>
      </c>
      <c r="G21" s="25">
        <v>57.23</v>
      </c>
      <c r="H21" s="22">
        <f t="shared" si="50"/>
        <v>9.6961891543000003E-26</v>
      </c>
      <c r="I21" s="22">
        <f t="shared" si="51"/>
        <v>5.2133013788799995E-29</v>
      </c>
      <c r="J21" s="24">
        <f t="shared" si="52"/>
        <v>1883.9431857125064</v>
      </c>
      <c r="K21" s="24">
        <f t="shared" si="53"/>
        <v>1.0129302813209855</v>
      </c>
      <c r="L21" s="26">
        <f t="shared" si="54"/>
        <v>9.6909758529211207E-26</v>
      </c>
      <c r="M21" s="4">
        <v>164.240723</v>
      </c>
      <c r="N21" s="11">
        <f>10^(-1.2675+1704/P21+0/P21^2)/1000</f>
        <v>8.0532167424896099E-3</v>
      </c>
      <c r="O21" s="27">
        <f t="shared" si="55"/>
        <v>1.2755102040816326E-3</v>
      </c>
      <c r="P21" s="4">
        <v>784</v>
      </c>
      <c r="Q21" s="4">
        <v>4.607843109406244E-5</v>
      </c>
      <c r="R21" s="4">
        <v>3.4092675768507421E-4</v>
      </c>
      <c r="V21" s="22">
        <f>0.63*(T6+U6)+0.37*('MFP-rsum'!R22+'MFP-rsum'!S22)</f>
        <v>2.8818000000000003E-10</v>
      </c>
      <c r="X21" s="8">
        <v>2996639.6639999989</v>
      </c>
      <c r="Y21" s="4">
        <v>1451.7494609289899</v>
      </c>
      <c r="AC21" s="4">
        <v>2</v>
      </c>
      <c r="AD21" s="4">
        <v>4</v>
      </c>
      <c r="AE21" s="11">
        <f>AC21+AD21</f>
        <v>6</v>
      </c>
      <c r="AH21" s="178"/>
      <c r="AI21" s="178"/>
      <c r="AJ21" s="193"/>
      <c r="AK21" s="193">
        <v>0.40681841362637555</v>
      </c>
      <c r="AL21" s="193">
        <v>-1.5821741489524006E-4</v>
      </c>
      <c r="AM21" s="200">
        <v>1250</v>
      </c>
      <c r="AN21" s="200">
        <f t="shared" si="63"/>
        <v>0.21695751575208747</v>
      </c>
      <c r="AO21" s="200">
        <f t="shared" si="56"/>
        <v>0.20904664500732548</v>
      </c>
      <c r="AP21" s="199">
        <f t="shared" si="57"/>
        <v>0.28277596034850733</v>
      </c>
      <c r="AQ21" s="178" t="s">
        <v>185</v>
      </c>
      <c r="AR21" s="199">
        <f t="shared" si="4"/>
        <v>0.26539205378729858</v>
      </c>
      <c r="AS21" s="199">
        <f t="shared" si="5"/>
        <v>0.30071201279338977</v>
      </c>
      <c r="AT21" s="199">
        <f t="shared" si="6"/>
        <v>0.30071201279338977</v>
      </c>
      <c r="AU21" s="199">
        <f t="shared" si="22"/>
        <v>0.26539205378729858</v>
      </c>
      <c r="AV21" s="178">
        <v>0.29301529878909899</v>
      </c>
      <c r="AW21" s="178">
        <v>0.29301529878909899</v>
      </c>
      <c r="AX21" s="178"/>
      <c r="AY21" s="178">
        <v>3.0068514500000001E-10</v>
      </c>
      <c r="AZ21" s="178">
        <v>2.7233884546184811E-10</v>
      </c>
      <c r="BA21" s="201">
        <f t="shared" si="23"/>
        <v>1308.3840647451955</v>
      </c>
      <c r="BB21" s="234">
        <f t="shared" si="24"/>
        <v>1943390.5852057394</v>
      </c>
      <c r="BC21" s="234">
        <f t="shared" si="25"/>
        <v>2.7099142297724717E-10</v>
      </c>
      <c r="BD21" s="201"/>
      <c r="BE21" s="181">
        <v>0.30884033107708703</v>
      </c>
      <c r="BF21" s="181">
        <v>0.30884033107708703</v>
      </c>
      <c r="BG21" s="181">
        <v>0.30884033107708703</v>
      </c>
      <c r="BH21" s="181">
        <v>0.30884033107708703</v>
      </c>
      <c r="BI21" s="181">
        <v>0.30884033107708703</v>
      </c>
      <c r="BJ21" s="181">
        <v>0.30884033107708703</v>
      </c>
      <c r="BK21" s="182">
        <v>974492101.32778299</v>
      </c>
      <c r="BL21" s="182"/>
      <c r="BM21" s="182"/>
      <c r="BN21" s="182">
        <v>3.1692440673072701E-10</v>
      </c>
      <c r="BO21" s="182"/>
      <c r="BP21" s="182">
        <v>5.9341049999999997E-11</v>
      </c>
      <c r="BQ21" s="189">
        <f>AP21/BK21</f>
        <v>2.9017778590838672E-10</v>
      </c>
      <c r="BR21" s="189"/>
      <c r="BS21" s="189"/>
      <c r="BT21" s="184">
        <v>2.12141712241654E-4</v>
      </c>
      <c r="BU21" s="184"/>
      <c r="BV21" s="232">
        <f t="shared" si="58"/>
        <v>1451.7494609289899</v>
      </c>
      <c r="BW21" s="183"/>
      <c r="BX21" s="183">
        <v>1451.7494609289899</v>
      </c>
      <c r="BY21" s="183"/>
      <c r="BZ21" s="191">
        <f t="shared" si="59"/>
        <v>1332.9578486026016</v>
      </c>
      <c r="CA21" s="191"/>
      <c r="CB21" s="185">
        <v>99.360600000000005</v>
      </c>
      <c r="CC21" s="186">
        <f t="shared" si="60"/>
        <v>2156336.4385642763</v>
      </c>
      <c r="CD21" s="180">
        <v>1.4322455696325306E-7</v>
      </c>
      <c r="CE21" s="180"/>
      <c r="CF21" s="180"/>
      <c r="CG21" s="180"/>
      <c r="CH21" s="180"/>
      <c r="CI21" s="180"/>
      <c r="CJ21" s="192">
        <f t="shared" si="61"/>
        <v>1974353.8841670761</v>
      </c>
      <c r="CK21" s="192"/>
      <c r="CL21" s="192"/>
      <c r="CM21" s="192"/>
      <c r="CN21" s="192"/>
      <c r="CO21" s="192"/>
      <c r="CP21" s="22">
        <f t="shared" si="38"/>
        <v>540202773.11765659</v>
      </c>
      <c r="CQ21" s="8">
        <f t="shared" si="62"/>
        <v>1.8511567318115176E-9</v>
      </c>
      <c r="CR21"/>
      <c r="CS21"/>
      <c r="CT21"/>
      <c r="CU21" s="4"/>
      <c r="CV21" s="8"/>
      <c r="CW21" s="11">
        <f t="shared" si="14"/>
        <v>1.306932518537073E+28</v>
      </c>
      <c r="CX21" s="11">
        <f t="shared" si="15"/>
        <v>1.6901960063072087E-11</v>
      </c>
      <c r="DA21" s="227">
        <f>CY8</f>
        <v>1.8816044053807599E-10</v>
      </c>
      <c r="DB21" s="243">
        <f>($AF$8*$AG$8*$CV$1^2)/(4*PI()*$CV$2*DA21)*EXP(-DA21/$CX$8)</f>
        <v>-6.2493647254461605E-26</v>
      </c>
      <c r="DC21" s="4"/>
      <c r="DD21" s="4"/>
    </row>
    <row r="22" spans="1:110" x14ac:dyDescent="0.25">
      <c r="A22" s="4" t="s">
        <v>76</v>
      </c>
      <c r="B22" s="31"/>
      <c r="C22" s="31"/>
      <c r="D22" s="31"/>
      <c r="E22" s="11">
        <v>2</v>
      </c>
      <c r="F22" s="25">
        <v>55.701999999999998</v>
      </c>
      <c r="G22" s="25">
        <v>55.018000000000001</v>
      </c>
      <c r="H22" s="22">
        <f t="shared" si="50"/>
        <v>9.3168385073799999E-26</v>
      </c>
      <c r="I22" s="22">
        <f t="shared" si="51"/>
        <v>5.0118017694079994E-29</v>
      </c>
      <c r="J22" s="24">
        <f t="shared" si="52"/>
        <v>1882.0912368640552</v>
      </c>
      <c r="K22" s="24">
        <f t="shared" si="53"/>
        <v>1.0124322948853102</v>
      </c>
      <c r="L22" s="26">
        <f t="shared" si="54"/>
        <v>9.3118267056105916E-26</v>
      </c>
      <c r="M22" s="4">
        <v>156.23418179999999</v>
      </c>
      <c r="N22" s="11">
        <f>10^(-1.2179+1557/P22+0/P22^2)/1000</f>
        <v>5.8623181999963962E-3</v>
      </c>
      <c r="O22" s="27">
        <f>P22^-1</f>
        <v>1.2755102040816326E-3</v>
      </c>
      <c r="P22" s="4">
        <v>784</v>
      </c>
      <c r="Q22" s="4">
        <v>4.5172248870240592E-5</v>
      </c>
      <c r="R22" s="4">
        <v>3.4144514086291769E-4</v>
      </c>
      <c r="V22" s="22">
        <f>0.658*(U6+V6)+0.342*('MFP-rsum'!R22+'MFP-rsum'!S22)</f>
        <v>4.0688600000000005E-10</v>
      </c>
      <c r="X22" s="8">
        <v>2899543.8624</v>
      </c>
      <c r="Y22" s="4">
        <v>1470.4555590061771</v>
      </c>
      <c r="AC22" s="4">
        <v>2</v>
      </c>
      <c r="AD22" s="4">
        <v>4</v>
      </c>
      <c r="AE22" s="11">
        <f>AC22+AD22</f>
        <v>6</v>
      </c>
      <c r="AH22" s="178"/>
      <c r="AI22" s="178"/>
      <c r="AJ22" s="193"/>
      <c r="AK22" s="193">
        <v>-0.22568360742780519</v>
      </c>
      <c r="AL22" s="193">
        <v>5.768371746472709E-4</v>
      </c>
      <c r="AM22" s="200">
        <v>1250</v>
      </c>
      <c r="AN22" s="200">
        <f t="shared" si="63"/>
        <v>0.46652100214891984</v>
      </c>
      <c r="AO22" s="200">
        <f t="shared" si="56"/>
        <v>0.4953628608812834</v>
      </c>
      <c r="AP22" s="199">
        <f t="shared" si="57"/>
        <v>0.22655673749565519</v>
      </c>
      <c r="AQ22" s="178" t="s">
        <v>186</v>
      </c>
      <c r="AR22" s="199">
        <f t="shared" si="4"/>
        <v>0.28667900791014594</v>
      </c>
      <c r="AS22" s="199">
        <f t="shared" si="5"/>
        <v>0.42874143670882131</v>
      </c>
      <c r="AT22" s="199">
        <f t="shared" si="6"/>
        <v>0.42874143670882131</v>
      </c>
      <c r="AU22" s="199">
        <f t="shared" si="22"/>
        <v>0.28667900791014594</v>
      </c>
      <c r="AV22" s="178">
        <v>0.316517898560285</v>
      </c>
      <c r="AW22" s="178">
        <v>0.316517898560285</v>
      </c>
      <c r="AX22" s="178"/>
      <c r="AY22" s="178">
        <v>3.0068514500000001E-10</v>
      </c>
      <c r="AZ22" s="178">
        <v>2.7233884546184811E-10</v>
      </c>
      <c r="BA22" s="201">
        <f t="shared" si="23"/>
        <v>1051.4634987462646</v>
      </c>
      <c r="BB22" s="234">
        <f t="shared" si="24"/>
        <v>1537214.1037818124</v>
      </c>
      <c r="BC22" s="234">
        <f t="shared" si="25"/>
        <v>2.1500782709571145E-10</v>
      </c>
      <c r="BD22" s="201"/>
      <c r="BE22" s="181">
        <v>0.32145693534244602</v>
      </c>
      <c r="BF22" s="181">
        <v>0.32145693534244602</v>
      </c>
      <c r="BG22" s="181">
        <v>0.32145693534244602</v>
      </c>
      <c r="BH22" s="181">
        <v>0.32145693534244602</v>
      </c>
      <c r="BI22" s="181">
        <v>0.32145693534244602</v>
      </c>
      <c r="BJ22" s="181">
        <v>0.32145693534244602</v>
      </c>
      <c r="BK22" s="182">
        <v>1014301607.94012</v>
      </c>
      <c r="BL22" s="182"/>
      <c r="BM22" s="182"/>
      <c r="BN22" s="182">
        <v>3.1692440673072701E-10</v>
      </c>
      <c r="BO22" s="182"/>
      <c r="BP22" s="182">
        <v>5.9682537999999999E-11</v>
      </c>
      <c r="BQ22" s="189">
        <f>AP22/BK22</f>
        <v>2.2336229748837205E-10</v>
      </c>
      <c r="BR22" s="189"/>
      <c r="BS22" s="189"/>
      <c r="BT22" s="184">
        <v>2.1796182243284901E-4</v>
      </c>
      <c r="BU22" s="184"/>
      <c r="BV22" s="232">
        <f t="shared" si="58"/>
        <v>1470.4555590061771</v>
      </c>
      <c r="BW22" s="183"/>
      <c r="BX22" s="183">
        <v>1470.4555590061771</v>
      </c>
      <c r="BY22" s="183"/>
      <c r="BZ22" s="191">
        <f t="shared" si="59"/>
        <v>1039.4331216672322</v>
      </c>
      <c r="CA22" s="191"/>
      <c r="CB22" s="185">
        <v>97.109960000000001</v>
      </c>
      <c r="CC22" s="186">
        <f t="shared" si="60"/>
        <v>2149770.3220167966</v>
      </c>
      <c r="CD22" s="180">
        <v>1.4953082757272077E-7</v>
      </c>
      <c r="CE22" s="180"/>
      <c r="CF22" s="180"/>
      <c r="CG22" s="180"/>
      <c r="CH22" s="180"/>
      <c r="CI22" s="180"/>
      <c r="CJ22" s="192">
        <f t="shared" si="61"/>
        <v>1515117.258248803</v>
      </c>
      <c r="CK22" s="192"/>
      <c r="CL22" s="192"/>
      <c r="CM22" s="192"/>
      <c r="CN22" s="192"/>
      <c r="CO22" s="192"/>
      <c r="CP22" s="22">
        <f t="shared" si="38"/>
        <v>727297673.99028981</v>
      </c>
      <c r="CQ22" s="8">
        <f t="shared" si="62"/>
        <v>1.3749528367298905E-9</v>
      </c>
      <c r="CR22"/>
      <c r="CS22"/>
      <c r="CT22"/>
      <c r="CU22" s="4"/>
      <c r="CV22" s="8"/>
      <c r="CW22" s="11">
        <f t="shared" si="14"/>
        <v>1.3331503634673758E+28</v>
      </c>
      <c r="CX22" s="11">
        <f t="shared" si="15"/>
        <v>1.6734937144092352E-11</v>
      </c>
      <c r="DA22" s="227">
        <f>DA21+$DA$21*0.1</f>
        <v>2.0697648459188359E-10</v>
      </c>
      <c r="DB22" s="243">
        <f>($AF$8*$AG$8*$CV$1^2)/(4*PI()*$CV$2*DA22)*EXP(-DA22/$CX$8)</f>
        <v>-1.0596767075638421E-26</v>
      </c>
      <c r="DC22" s="4"/>
      <c r="DD22" s="4"/>
    </row>
    <row r="23" spans="1:110" x14ac:dyDescent="0.25">
      <c r="A23" s="19" t="s">
        <v>54</v>
      </c>
      <c r="B23" s="31">
        <v>0.01</v>
      </c>
      <c r="C23" s="31"/>
      <c r="D23" s="31"/>
      <c r="E23" s="23">
        <v>1</v>
      </c>
      <c r="F23" s="23">
        <v>10</v>
      </c>
      <c r="G23" s="23">
        <v>10</v>
      </c>
      <c r="H23" s="22">
        <f t="shared" si="50"/>
        <v>1.6726219000000001E-26</v>
      </c>
      <c r="I23" s="22">
        <f t="shared" si="51"/>
        <v>9.1093856E-30</v>
      </c>
      <c r="J23" s="24">
        <f t="shared" si="52"/>
        <v>1836.1522647586683</v>
      </c>
      <c r="K23" s="24">
        <f t="shared" si="53"/>
        <v>1</v>
      </c>
      <c r="L23" s="26">
        <f t="shared" si="54"/>
        <v>1.6717109614400002E-26</v>
      </c>
      <c r="M23" s="9">
        <v>18.015000000000001</v>
      </c>
      <c r="N23" s="21">
        <v>1.7930000000000001E-3</v>
      </c>
      <c r="O23" s="27">
        <f t="shared" si="55"/>
        <v>3.6609921288669233E-3</v>
      </c>
      <c r="P23" s="4">
        <v>273.14999999999998</v>
      </c>
      <c r="Q23" s="18">
        <v>1.802E-5</v>
      </c>
      <c r="R23" s="18">
        <v>5.1E-5</v>
      </c>
      <c r="V23" s="22">
        <v>3.1000000000000002E-10</v>
      </c>
      <c r="W23" s="22"/>
      <c r="X23" s="8">
        <v>999840</v>
      </c>
      <c r="Y23" s="4">
        <v>1403</v>
      </c>
      <c r="Z23" s="4">
        <v>0</v>
      </c>
      <c r="AA23" s="18">
        <v>999840</v>
      </c>
      <c r="AB23" s="4">
        <v>0</v>
      </c>
      <c r="AH23" s="188"/>
      <c r="AI23" s="188"/>
      <c r="AJ23" s="194"/>
      <c r="AK23" s="194">
        <v>0.60089999999999999</v>
      </c>
      <c r="AL23" s="194"/>
      <c r="AM23" s="233">
        <v>295</v>
      </c>
      <c r="AN23" s="233"/>
      <c r="AO23" s="200">
        <f t="shared" si="56"/>
        <v>0.60089999999999999</v>
      </c>
      <c r="AP23" s="199">
        <f t="shared" si="57"/>
        <v>0.60089999999999999</v>
      </c>
      <c r="AQ23" s="188" t="s">
        <v>187</v>
      </c>
      <c r="AR23" s="199">
        <f t="shared" si="4"/>
        <v>0</v>
      </c>
      <c r="AS23" s="199">
        <f t="shared" si="5"/>
        <v>0.60645622271550126</v>
      </c>
      <c r="AT23" s="199">
        <f t="shared" si="6"/>
        <v>0.60645622271550126</v>
      </c>
      <c r="AU23" s="188"/>
      <c r="AV23" s="188"/>
      <c r="AW23" s="188"/>
      <c r="AX23" s="188"/>
      <c r="AY23" s="182">
        <v>3.1000000000000002E-10</v>
      </c>
      <c r="AZ23" s="188">
        <v>3.1000000000000002E-10</v>
      </c>
      <c r="BA23" s="201">
        <f>AP23/(1/3*CC23*Y23)</f>
        <v>3.0715984604116529E-10</v>
      </c>
      <c r="BB23" s="234">
        <f>AP23/(1/3*BV23*AY23)</f>
        <v>4144804.911135125</v>
      </c>
      <c r="BC23" s="234">
        <f t="shared" si="25"/>
        <v>3.0715984604116529E-10</v>
      </c>
      <c r="BD23" s="201"/>
      <c r="BE23" s="181">
        <f>$BK$23*BN23</f>
        <v>0.55623382223307438</v>
      </c>
      <c r="BF23" s="181">
        <v>0.55623382223307438</v>
      </c>
      <c r="BG23" s="181">
        <v>0.55623382223307438</v>
      </c>
      <c r="BH23" s="181">
        <v>0.55623382223307438</v>
      </c>
      <c r="BI23" s="181">
        <v>0.55623382223307438</v>
      </c>
      <c r="BJ23" s="181">
        <v>0.55623382223307438</v>
      </c>
      <c r="BK23" s="182">
        <f>1/3*CC23*Y23</f>
        <v>1956310395.8564556</v>
      </c>
      <c r="BL23" s="182"/>
      <c r="BM23" s="182"/>
      <c r="BN23" s="182">
        <v>2.8432800000000002E-10</v>
      </c>
      <c r="BO23" s="182"/>
      <c r="BP23" s="182">
        <f>V23</f>
        <v>3.1000000000000002E-10</v>
      </c>
      <c r="BQ23" s="190">
        <f>AP23/(1/3*CC23*Y23)</f>
        <v>3.0715984604116529E-10</v>
      </c>
      <c r="BR23" s="190"/>
      <c r="BS23" s="190"/>
      <c r="BT23" s="184">
        <f>BE23/BV23</f>
        <v>3.9646031520532745E-4</v>
      </c>
      <c r="BU23" s="184"/>
      <c r="BV23" s="232">
        <f t="shared" si="58"/>
        <v>1403</v>
      </c>
      <c r="BW23" s="183"/>
      <c r="BX23" s="183">
        <v>1403</v>
      </c>
      <c r="BY23" s="183"/>
      <c r="BZ23" s="191">
        <f t="shared" si="59"/>
        <v>1515.6624180374595</v>
      </c>
      <c r="CA23" s="191"/>
      <c r="CB23" s="185">
        <v>75.38</v>
      </c>
      <c r="CC23" s="186">
        <f t="shared" si="60"/>
        <v>4183129.8557158709</v>
      </c>
      <c r="CD23" s="180">
        <v>1.32970728E-7</v>
      </c>
      <c r="CE23" s="180"/>
      <c r="CF23" s="180"/>
      <c r="CG23" s="180"/>
      <c r="CH23" s="180"/>
      <c r="CI23" s="180"/>
      <c r="CJ23" s="192">
        <f t="shared" si="61"/>
        <v>4519039.7092508962</v>
      </c>
      <c r="CK23" s="192"/>
      <c r="CL23" s="192"/>
      <c r="CM23" s="192"/>
      <c r="CN23" s="192"/>
      <c r="CO23" s="192"/>
      <c r="CP23" s="22">
        <f t="shared" si="38"/>
        <v>782362253.20691574</v>
      </c>
      <c r="CQ23" s="8">
        <f t="shared" si="62"/>
        <v>1.2781802750592626E-9</v>
      </c>
      <c r="CR23"/>
      <c r="CS23"/>
      <c r="CT23"/>
      <c r="CU23" s="4"/>
      <c r="CV23" s="8"/>
      <c r="CW23" s="11">
        <f t="shared" si="14"/>
        <v>3.341920088790233E+28</v>
      </c>
      <c r="CX23" s="11">
        <f t="shared" si="15"/>
        <v>6.2389024308471206E-12</v>
      </c>
      <c r="DA23" s="227">
        <f t="shared" ref="DA23:DA28" si="64">DA22+$DA$21*0.1</f>
        <v>2.2579252864569118E-10</v>
      </c>
      <c r="DB23" s="243">
        <f t="shared" ref="DB23:DB28" si="65">($AF$8*$AG$8*$CV$1^2)/(4*PI()*$CV$2*DA23)*EXP(-DA23/$CX$8)</f>
        <v>-1.8118199161069372E-27</v>
      </c>
      <c r="DC23" s="4"/>
      <c r="DD23" s="4"/>
    </row>
    <row r="24" spans="1:110" x14ac:dyDescent="0.25">
      <c r="O24" s="4"/>
      <c r="P24" s="4"/>
      <c r="AO24" s="108"/>
      <c r="AP24" s="108"/>
      <c r="AQ24" s="108"/>
      <c r="AR24" s="108"/>
      <c r="AS24" s="108"/>
      <c r="AT24" s="108"/>
      <c r="AU24" s="108"/>
      <c r="AV24" s="108"/>
      <c r="AW24" s="108"/>
      <c r="AX24" s="108"/>
      <c r="AY24" s="108"/>
      <c r="AZ24" s="108"/>
      <c r="BA24" s="108"/>
      <c r="BB24" s="131"/>
      <c r="BC24" s="108"/>
      <c r="BD24" s="108"/>
      <c r="BE24" s="108"/>
      <c r="BF24" s="108"/>
      <c r="BG24" s="108"/>
      <c r="BH24" s="108"/>
      <c r="BI24" s="108"/>
      <c r="BJ24" s="108"/>
      <c r="BK24" s="108"/>
      <c r="BL24" s="108"/>
      <c r="BM24" s="108"/>
      <c r="BN24" s="108"/>
      <c r="BO24" s="108"/>
      <c r="BP24" s="108"/>
      <c r="BQ24" s="108"/>
      <c r="BR24" s="108"/>
      <c r="BS24" s="108"/>
      <c r="BT24" s="108"/>
      <c r="BU24" s="108"/>
      <c r="BV24" s="108"/>
      <c r="BW24" s="108"/>
      <c r="BX24" s="108"/>
      <c r="BY24" s="108"/>
      <c r="BZ24" s="108"/>
      <c r="CA24" s="131"/>
      <c r="CB24" s="131"/>
      <c r="CC24" s="108"/>
      <c r="CD24" s="108"/>
      <c r="CH24" s="131"/>
      <c r="CI24" s="131"/>
      <c r="CJ24" s="131"/>
      <c r="CK24" s="131"/>
      <c r="CL24" s="131"/>
      <c r="CM24" s="131"/>
      <c r="CN24" s="131"/>
      <c r="CR24" s="108"/>
      <c r="CS24" s="108"/>
      <c r="CT24" s="108"/>
      <c r="DA24" s="227">
        <f t="shared" si="64"/>
        <v>2.446085726994988E-10</v>
      </c>
      <c r="DB24" s="243">
        <f t="shared" si="65"/>
        <v>-3.1194866026414315E-28</v>
      </c>
    </row>
    <row r="25" spans="1:110" x14ac:dyDescent="0.25">
      <c r="O25" s="4"/>
      <c r="P25" s="4"/>
      <c r="CQ25" s="58">
        <f>1/3*BV6*0.0000000004</f>
        <v>2.3249066666666664E-7</v>
      </c>
      <c r="CR25" s="58">
        <f>1/3*BW6*0.0000000004</f>
        <v>2.9757866666666668E-7</v>
      </c>
      <c r="CU25" s="58">
        <f>$AP6/($CR25)</f>
        <v>1567652.6991182163</v>
      </c>
      <c r="CV25" s="58">
        <f>$AP6/($CQ25)</f>
        <v>2006532.1618645624</v>
      </c>
      <c r="DA25" s="227">
        <f t="shared" si="64"/>
        <v>2.6342461675330639E-10</v>
      </c>
      <c r="DB25" s="243">
        <f t="shared" si="65"/>
        <v>-5.4029213205473041E-29</v>
      </c>
    </row>
    <row r="26" spans="1:110" x14ac:dyDescent="0.25">
      <c r="O26" s="4"/>
      <c r="P26" s="4"/>
      <c r="BU26" s="57">
        <v>0</v>
      </c>
      <c r="CQ26" s="58">
        <f>1/3*BV5*0.000000000375</f>
        <v>2.5529968125E-7</v>
      </c>
      <c r="CR26" s="58">
        <f>1/3*BW5*0.000000000375</f>
        <v>3.4639984062500002E-7</v>
      </c>
      <c r="CU26" s="58">
        <f>$AP5/($CR26)</f>
        <v>1768476.5642348512</v>
      </c>
      <c r="CV26" s="58">
        <f>$AP5/($CQ26)</f>
        <v>2399532.9606389785</v>
      </c>
      <c r="DA26" s="227">
        <f t="shared" si="64"/>
        <v>2.8224066080711398E-10</v>
      </c>
      <c r="DB26" s="243">
        <f t="shared" si="65"/>
        <v>-9.4057974388151026E-30</v>
      </c>
    </row>
    <row r="27" spans="1:110" x14ac:dyDescent="0.25">
      <c r="L27" s="23" t="s">
        <v>21</v>
      </c>
      <c r="M27" s="23">
        <v>5.6672851556149997</v>
      </c>
      <c r="O27" s="4"/>
      <c r="P27" s="4"/>
      <c r="BU27" s="57">
        <v>250</v>
      </c>
      <c r="CQ27" s="58">
        <f>1/3*BV7*0.00000000045</f>
        <v>2.3957759999999995E-7</v>
      </c>
      <c r="CR27" s="58">
        <f>1/3*BW7*0.00000000045</f>
        <v>2.9678879999999993E-7</v>
      </c>
      <c r="CU27" s="58">
        <f>$AP7/($CR27)</f>
        <v>1196305.2514111048</v>
      </c>
      <c r="CV27" s="58">
        <f>$AP7/($CQ27)</f>
        <v>1481983.2905914413</v>
      </c>
      <c r="DA27" s="227">
        <f t="shared" si="64"/>
        <v>3.0105670486092157E-10</v>
      </c>
      <c r="DB27" s="243">
        <f t="shared" si="65"/>
        <v>-1.6447394140016213E-30</v>
      </c>
    </row>
    <row r="28" spans="1:110" x14ac:dyDescent="0.25">
      <c r="L28" s="23" t="s">
        <v>22</v>
      </c>
      <c r="M28" s="23">
        <v>3.6125286079999999</v>
      </c>
      <c r="O28" s="4"/>
      <c r="P28" s="4"/>
      <c r="V28" s="18" t="s">
        <v>21</v>
      </c>
      <c r="CQ28" s="58">
        <f>1/3*BV8*0.00000000028</f>
        <v>2.3779466666666668E-7</v>
      </c>
      <c r="CR28" s="58">
        <f>1/3*BW8*0.00000000028</f>
        <v>2.8223066666666669E-7</v>
      </c>
      <c r="CU28" s="58">
        <f>$AP8/($CR28)</f>
        <v>4716886.4238707814</v>
      </c>
      <c r="CV28" s="58">
        <f>$AP8/($CQ28)</f>
        <v>5598317.3157794401</v>
      </c>
      <c r="DA28" s="227">
        <f t="shared" si="64"/>
        <v>3.1987274891472916E-10</v>
      </c>
      <c r="DB28" s="243">
        <f t="shared" si="65"/>
        <v>-2.8873428952490574E-31</v>
      </c>
    </row>
    <row r="29" spans="1:110" x14ac:dyDescent="0.25">
      <c r="L29" s="23" t="s">
        <v>23</v>
      </c>
      <c r="M29" s="23">
        <v>2.1603079999999997</v>
      </c>
      <c r="O29" s="4"/>
      <c r="P29" s="4"/>
      <c r="U29" s="18" t="s">
        <v>229</v>
      </c>
      <c r="V29" s="22">
        <f>4/3*PI()*T5^3</f>
        <v>1.8387783689363102E-30</v>
      </c>
      <c r="CA29" s="100"/>
      <c r="CB29" s="100"/>
      <c r="CH29" s="100"/>
      <c r="CQ29" s="58">
        <f>1/3*BV9*0.00000000034</f>
        <v>2.3635666666666666E-7</v>
      </c>
      <c r="CR29" s="58">
        <f>1/3*BW9*0.00000000034</f>
        <v>2.7231166666666664E-7</v>
      </c>
      <c r="CU29" s="58">
        <f>$AP9/($CR29)</f>
        <v>3040266.3614608264</v>
      </c>
      <c r="CV29" s="58">
        <f>$AP9/($CQ29)</f>
        <v>3502757.1325821145</v>
      </c>
    </row>
    <row r="30" spans="1:110" s="18" customFormat="1" x14ac:dyDescent="0.25">
      <c r="A30" s="19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11"/>
      <c r="N30" s="20"/>
      <c r="O30" s="4"/>
      <c r="P30" s="4"/>
      <c r="S30"/>
      <c r="U30" s="18" t="s">
        <v>230</v>
      </c>
      <c r="V30" s="22">
        <f>4/3*PI()*U5^3</f>
        <v>2.4838441017720252E-29</v>
      </c>
      <c r="W30" s="13"/>
      <c r="X30" s="8"/>
      <c r="Y30" s="4"/>
      <c r="Z30" s="4"/>
      <c r="AA30" s="4"/>
      <c r="AB30" s="4"/>
      <c r="AC30" s="4"/>
      <c r="AD30" s="4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57"/>
      <c r="BF30" s="57"/>
      <c r="BG30" s="57"/>
      <c r="BH30" s="57"/>
      <c r="BI30" s="57"/>
      <c r="BJ30" s="57"/>
      <c r="BK30" s="57"/>
      <c r="BL30" s="57"/>
      <c r="BM30" s="57"/>
      <c r="BN30" s="57"/>
      <c r="BO30" s="57"/>
      <c r="BP30" s="57"/>
      <c r="BQ30" s="57"/>
      <c r="BR30" s="57"/>
      <c r="BS30" s="57"/>
      <c r="BT30" s="57"/>
      <c r="BU30" s="57"/>
      <c r="BV30" s="57"/>
      <c r="BW30" s="57"/>
      <c r="BX30" s="57"/>
      <c r="BY30" s="57"/>
      <c r="BZ30" s="57"/>
      <c r="CA30" s="57"/>
      <c r="CB30" s="57"/>
      <c r="CC30" s="57"/>
      <c r="CD30" s="57"/>
      <c r="CE30" s="11"/>
      <c r="CF30" s="11"/>
      <c r="CH30" s="57"/>
      <c r="CI30" s="58"/>
      <c r="CJ30" s="58"/>
      <c r="CK30" s="58"/>
      <c r="CL30" s="58"/>
      <c r="CM30" s="58"/>
      <c r="CN30" s="58"/>
      <c r="CO30" s="57"/>
      <c r="CP30" s="57"/>
      <c r="CQ30" s="58">
        <f>1/3*BV10*0.000000000375</f>
        <v>2.2705000000000001E-7</v>
      </c>
      <c r="CR30" s="58">
        <f>1/3*BW10*0.000000000375</f>
        <v>2.6102499999999997E-7</v>
      </c>
      <c r="CS30" s="57"/>
      <c r="CT30" s="57"/>
      <c r="CU30" s="58">
        <f>$AP10/($CR30)</f>
        <v>2183698.8794176802</v>
      </c>
      <c r="CV30" s="58">
        <f>$AP10/($CQ30)</f>
        <v>2510460.2510460247</v>
      </c>
      <c r="CW30" s="59"/>
      <c r="DA30" s="59"/>
      <c r="DD30"/>
      <c r="DE30" s="4"/>
      <c r="DF30" s="4"/>
    </row>
    <row r="31" spans="1:110" s="18" customFormat="1" x14ac:dyDescent="0.25">
      <c r="A31" s="19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9"/>
      <c r="N31" s="20"/>
      <c r="O31" s="4"/>
      <c r="P31" s="4"/>
      <c r="S31"/>
      <c r="U31" s="18" t="s">
        <v>232</v>
      </c>
      <c r="V31" s="22">
        <f>AVERAGE(V29,V30)</f>
        <v>1.3338609693328281E-29</v>
      </c>
      <c r="W31" s="13"/>
      <c r="X31" s="8"/>
      <c r="Y31" s="4"/>
      <c r="Z31" s="4"/>
      <c r="AA31" s="4"/>
      <c r="AB31" s="4"/>
      <c r="AC31" s="4"/>
      <c r="AD31" s="4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57"/>
      <c r="BF31" s="57"/>
      <c r="BG31" s="57"/>
      <c r="BH31" s="57"/>
      <c r="BI31" s="57"/>
      <c r="BJ31" s="57"/>
      <c r="BK31" s="57"/>
      <c r="BL31" s="57"/>
      <c r="BM31" s="57"/>
      <c r="BN31" s="57"/>
      <c r="BO31" s="57"/>
      <c r="BP31" s="57"/>
      <c r="BQ31" s="57"/>
      <c r="BR31" s="57"/>
      <c r="BS31" s="57"/>
      <c r="BT31" s="57"/>
      <c r="BU31" s="57"/>
      <c r="BV31" s="57"/>
      <c r="BW31" s="57"/>
      <c r="BX31" s="57"/>
      <c r="BY31" s="57"/>
      <c r="BZ31" s="57"/>
      <c r="CA31" s="57"/>
      <c r="CB31" s="57"/>
      <c r="CC31" s="57"/>
      <c r="CD31" s="57"/>
      <c r="CE31" s="11"/>
      <c r="CF31" s="11"/>
      <c r="CH31" s="57"/>
      <c r="CI31" s="153">
        <v>3200</v>
      </c>
      <c r="CJ31" s="58"/>
      <c r="CK31" s="197"/>
      <c r="CL31" s="197"/>
      <c r="CM31" s="197"/>
      <c r="CN31" s="153"/>
      <c r="CO31" s="57"/>
      <c r="CP31" s="57"/>
      <c r="CQ31" s="57"/>
      <c r="CR31" s="57"/>
      <c r="CS31" s="57"/>
      <c r="CT31" s="57"/>
      <c r="CU31" s="59"/>
      <c r="CV31" s="57"/>
      <c r="CW31" s="59"/>
      <c r="DA31" s="59"/>
      <c r="DD31"/>
      <c r="DE31" s="4"/>
      <c r="DF31" s="4"/>
    </row>
    <row r="32" spans="1:110" s="18" customFormat="1" x14ac:dyDescent="0.25">
      <c r="A32" s="19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9"/>
      <c r="N32" s="20"/>
      <c r="O32" s="4"/>
      <c r="P32" s="4"/>
      <c r="S32"/>
      <c r="U32" s="18" t="s">
        <v>231</v>
      </c>
      <c r="V32" s="242">
        <f>(V31*6.0223E+23)/Q5</f>
        <v>0.28403390721573857</v>
      </c>
      <c r="W32" s="13"/>
      <c r="X32" s="8"/>
      <c r="Y32" s="4"/>
      <c r="Z32" s="4"/>
      <c r="AA32" s="4"/>
      <c r="AB32" s="4"/>
      <c r="AC32" s="4"/>
      <c r="AD32" s="4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57"/>
      <c r="BF32" s="57"/>
      <c r="BG32" s="57"/>
      <c r="BH32" s="57"/>
      <c r="BI32" s="57"/>
      <c r="BJ32" s="57"/>
      <c r="BK32" s="57"/>
      <c r="BL32" s="57"/>
      <c r="BM32" s="57"/>
      <c r="BN32" s="57"/>
      <c r="BO32" s="57"/>
      <c r="BP32" s="57"/>
      <c r="BQ32" s="57"/>
      <c r="BR32" s="57"/>
      <c r="BS32" s="57"/>
      <c r="BT32" s="57"/>
      <c r="BU32" s="57"/>
      <c r="BV32" s="57"/>
      <c r="BW32" s="57"/>
      <c r="BX32" s="57"/>
      <c r="BY32" s="57"/>
      <c r="BZ32" s="57"/>
      <c r="CA32" s="57"/>
      <c r="CB32" s="57"/>
      <c r="CC32" s="57"/>
      <c r="CD32" s="57"/>
      <c r="CE32" s="11"/>
      <c r="CF32" s="11"/>
      <c r="CH32" s="57"/>
      <c r="CI32" s="153">
        <v>4770</v>
      </c>
      <c r="CJ32" s="58"/>
      <c r="CK32" s="197"/>
      <c r="CL32" s="197"/>
      <c r="CM32" s="197"/>
      <c r="CN32" s="153"/>
      <c r="CO32" s="57"/>
      <c r="CP32" s="57"/>
      <c r="CQ32" s="57"/>
      <c r="CR32" s="57"/>
      <c r="CS32" s="57"/>
      <c r="CT32" s="57"/>
      <c r="CU32" s="57"/>
      <c r="CV32" s="57"/>
      <c r="CW32" s="59"/>
      <c r="DA32" s="59"/>
      <c r="DB32" s="59"/>
      <c r="DC32" s="57"/>
      <c r="DD32"/>
      <c r="DE32" s="4"/>
      <c r="DF32" s="4"/>
    </row>
    <row r="33" spans="1:110" s="18" customFormat="1" x14ac:dyDescent="0.25">
      <c r="A33" s="19"/>
      <c r="B33" s="23" t="s">
        <v>126</v>
      </c>
      <c r="C33" s="23" t="s">
        <v>127</v>
      </c>
      <c r="D33" s="23"/>
      <c r="E33" s="23" t="s">
        <v>128</v>
      </c>
      <c r="F33" s="23" t="s">
        <v>129</v>
      </c>
      <c r="G33" s="23" t="s">
        <v>132</v>
      </c>
      <c r="H33" s="23" t="s">
        <v>127</v>
      </c>
      <c r="I33" s="23" t="s">
        <v>128</v>
      </c>
      <c r="J33" s="23" t="s">
        <v>129</v>
      </c>
      <c r="K33" s="23" t="s">
        <v>133</v>
      </c>
      <c r="L33" s="23" t="s">
        <v>127</v>
      </c>
      <c r="M33" s="23" t="s">
        <v>128</v>
      </c>
      <c r="N33" s="23" t="s">
        <v>129</v>
      </c>
      <c r="O33" s="23" t="s">
        <v>133</v>
      </c>
      <c r="P33" s="23" t="s">
        <v>127</v>
      </c>
      <c r="Q33" s="23" t="s">
        <v>128</v>
      </c>
      <c r="R33" s="23" t="s">
        <v>129</v>
      </c>
      <c r="S33"/>
      <c r="V33" s="13"/>
      <c r="W33" s="13"/>
      <c r="X33" s="8"/>
      <c r="Y33" s="4"/>
      <c r="Z33" s="4"/>
      <c r="AA33" s="4"/>
      <c r="AB33" s="4"/>
      <c r="AC33" s="4"/>
      <c r="AD33" s="4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57"/>
      <c r="BF33" s="57"/>
      <c r="BG33" s="57"/>
      <c r="BH33" s="57"/>
      <c r="BI33" s="57"/>
      <c r="BJ33" s="57"/>
      <c r="BK33" s="57"/>
      <c r="BL33" s="57"/>
      <c r="BM33" s="57"/>
      <c r="BN33" s="57"/>
      <c r="BO33" s="57"/>
      <c r="BP33" s="57"/>
      <c r="BQ33" s="57"/>
      <c r="BR33" s="57"/>
      <c r="BS33" s="57"/>
      <c r="BT33" s="57"/>
      <c r="BU33" s="57"/>
      <c r="BV33" s="57"/>
      <c r="BW33" s="57"/>
      <c r="BX33" s="57"/>
      <c r="BY33" s="57"/>
      <c r="BZ33" s="57"/>
      <c r="CA33" s="57"/>
      <c r="CB33" s="57"/>
      <c r="CC33" s="57"/>
      <c r="CD33" s="57"/>
      <c r="CE33" s="11"/>
      <c r="CF33" s="11"/>
      <c r="CH33" s="57"/>
      <c r="CI33" s="153">
        <v>2030</v>
      </c>
      <c r="CJ33" s="58"/>
      <c r="CK33" s="197"/>
      <c r="CL33" s="197"/>
      <c r="CM33" s="197"/>
      <c r="CN33" s="153"/>
      <c r="CO33" s="57"/>
      <c r="CP33" s="57"/>
      <c r="CQ33" s="57"/>
      <c r="CR33" s="57"/>
      <c r="CS33" s="57"/>
      <c r="CT33" s="57"/>
      <c r="CU33" s="57"/>
      <c r="CV33" s="57"/>
      <c r="CW33" s="59"/>
      <c r="DA33" s="59"/>
      <c r="DB33" s="59"/>
      <c r="DC33" s="57"/>
      <c r="DD33"/>
      <c r="DE33" s="4"/>
      <c r="DF33" s="4"/>
    </row>
    <row r="34" spans="1:110" s="18" customFormat="1" x14ac:dyDescent="0.25">
      <c r="A34" s="19"/>
      <c r="B34" s="23" t="s">
        <v>130</v>
      </c>
      <c r="C34" s="23">
        <v>453.7</v>
      </c>
      <c r="D34" s="23"/>
      <c r="E34" s="28">
        <v>24.8</v>
      </c>
      <c r="F34" s="171">
        <f>1/(E34*10^-8)</f>
        <v>4032258.064516129</v>
      </c>
      <c r="G34" s="23" t="s">
        <v>130</v>
      </c>
      <c r="H34" s="23">
        <v>371</v>
      </c>
      <c r="I34" s="28">
        <v>9.43</v>
      </c>
      <c r="J34" s="171">
        <f>1/(I34*10^-8)</f>
        <v>10604453.870625662</v>
      </c>
      <c r="K34" s="23" t="s">
        <v>130</v>
      </c>
      <c r="L34" s="23">
        <v>336.35</v>
      </c>
      <c r="M34" s="28">
        <v>13.95</v>
      </c>
      <c r="N34" s="171">
        <f>1/(M34*10^-8)</f>
        <v>7168458.7813620074</v>
      </c>
      <c r="O34" s="23" t="s">
        <v>130</v>
      </c>
      <c r="P34" s="23">
        <v>312.64</v>
      </c>
      <c r="Q34" s="28">
        <v>22.52</v>
      </c>
      <c r="R34" s="171">
        <f>1/(Q34*10^-8)</f>
        <v>4440497.3357015988</v>
      </c>
      <c r="S34"/>
      <c r="V34" s="13"/>
      <c r="W34" s="13"/>
      <c r="X34" s="8"/>
      <c r="Y34" s="4"/>
      <c r="Z34" s="4"/>
      <c r="AA34" s="4"/>
      <c r="AB34" s="4"/>
      <c r="AC34" s="4"/>
      <c r="AD34" s="4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/>
      <c r="BG34" s="57"/>
      <c r="BH34" s="57"/>
      <c r="BI34" s="57"/>
      <c r="BJ34" s="57"/>
      <c r="BK34" s="57"/>
      <c r="BL34" s="57"/>
      <c r="BM34" s="57"/>
      <c r="BN34" s="57"/>
      <c r="BO34" s="57"/>
      <c r="BP34" s="57"/>
      <c r="BQ34" s="57"/>
      <c r="BR34" s="57"/>
      <c r="BS34" s="57"/>
      <c r="BT34" s="57"/>
      <c r="BU34" s="57"/>
      <c r="BV34" s="57"/>
      <c r="BW34" s="57"/>
      <c r="BX34" s="57"/>
      <c r="BY34" s="57"/>
      <c r="BZ34" s="57"/>
      <c r="CA34" s="57"/>
      <c r="CB34" s="57"/>
      <c r="CC34" s="57"/>
      <c r="CD34" s="57"/>
      <c r="CE34" s="11"/>
      <c r="CF34" s="11"/>
      <c r="CH34" s="57"/>
      <c r="CI34" s="58"/>
      <c r="CJ34" s="58"/>
      <c r="CK34" s="58"/>
      <c r="CL34" s="58"/>
      <c r="CM34" s="58"/>
      <c r="CN34" s="58"/>
      <c r="CO34" s="57"/>
      <c r="CP34" s="57"/>
      <c r="CQ34" s="57"/>
      <c r="CR34" s="57"/>
      <c r="CS34" s="57"/>
      <c r="CT34" s="57"/>
      <c r="CU34" s="57"/>
      <c r="CV34" s="57"/>
      <c r="CW34" s="59"/>
      <c r="DA34" s="59"/>
      <c r="DB34" s="59"/>
      <c r="DC34" s="57"/>
      <c r="DD34"/>
      <c r="DE34" s="4"/>
      <c r="DF34" s="4"/>
    </row>
    <row r="35" spans="1:110" s="18" customFormat="1" x14ac:dyDescent="0.25">
      <c r="A35" s="19"/>
      <c r="B35" s="172">
        <f>SLOPE(F34:F52,C34:C52)</f>
        <v>-1491.2997612252611</v>
      </c>
      <c r="C35" s="23">
        <v>500</v>
      </c>
      <c r="D35" s="23"/>
      <c r="E35" s="28">
        <v>26.33</v>
      </c>
      <c r="F35" s="171">
        <f t="shared" ref="F35:F52" si="66">1/(E35*10^-8)</f>
        <v>3797949.1074819602</v>
      </c>
      <c r="G35" s="172">
        <f>SLOPE(J34:J52,H34:H52)</f>
        <v>-5101.4401271895649</v>
      </c>
      <c r="H35" s="23">
        <v>400</v>
      </c>
      <c r="I35" s="28">
        <v>10.5</v>
      </c>
      <c r="J35" s="171">
        <f t="shared" ref="J35:J51" si="67">1/(I35*10^-8)</f>
        <v>9523809.5238095243</v>
      </c>
      <c r="K35" s="172">
        <f>SLOPE(N34:N52,L34:L52)</f>
        <v>-3671.4796302497452</v>
      </c>
      <c r="L35" s="23">
        <v>350</v>
      </c>
      <c r="M35" s="28">
        <v>14.64</v>
      </c>
      <c r="N35" s="171">
        <f t="shared" ref="N35:N52" si="68">1/(M35*10^-8)</f>
        <v>6830601.0928961746</v>
      </c>
      <c r="O35" s="172">
        <f>SLOPE(R34:R52,P34:P52)</f>
        <v>-2184.3569093429992</v>
      </c>
      <c r="P35" s="23">
        <v>350</v>
      </c>
      <c r="Q35" s="28">
        <v>25.42</v>
      </c>
      <c r="R35" s="171">
        <f t="shared" ref="R35:R52" si="69">1/(Q35*10^-8)</f>
        <v>3933910.3068450033</v>
      </c>
      <c r="S35"/>
      <c r="V35" s="13"/>
      <c r="W35" s="13"/>
      <c r="X35" s="8"/>
      <c r="Y35" s="4"/>
      <c r="Z35" s="4"/>
      <c r="AA35" s="4"/>
      <c r="AB35" s="4"/>
      <c r="AC35" s="4"/>
      <c r="AD35" s="4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57"/>
      <c r="BF35" s="57"/>
      <c r="BG35" s="57"/>
      <c r="BH35" s="57"/>
      <c r="BI35" s="57"/>
      <c r="BJ35" s="57"/>
      <c r="BK35" s="57"/>
      <c r="BL35" s="57"/>
      <c r="BM35" s="57"/>
      <c r="BN35" s="57"/>
      <c r="BO35" s="57"/>
      <c r="BP35" s="57"/>
      <c r="BQ35" s="57"/>
      <c r="BR35" s="57"/>
      <c r="BS35" s="57"/>
      <c r="BT35" s="57"/>
      <c r="BU35" s="57"/>
      <c r="BV35" s="57"/>
      <c r="BW35" s="57"/>
      <c r="BX35" s="57"/>
      <c r="BY35" s="57"/>
      <c r="BZ35" s="57"/>
      <c r="CA35" s="58"/>
      <c r="CB35" s="58"/>
      <c r="CC35" s="57"/>
      <c r="CD35" s="57"/>
      <c r="CE35" s="11"/>
      <c r="CF35" s="11"/>
      <c r="CH35" s="58"/>
      <c r="CI35" s="58"/>
      <c r="CJ35" s="58"/>
      <c r="CK35" s="58"/>
      <c r="CL35" s="58"/>
      <c r="CM35" s="58"/>
      <c r="CN35" s="58"/>
      <c r="CO35" s="57"/>
      <c r="CP35" s="57"/>
      <c r="CQ35" s="57"/>
      <c r="CR35" s="57"/>
      <c r="CS35" s="57"/>
      <c r="CT35" s="57"/>
      <c r="CU35" s="57"/>
      <c r="CV35" s="57"/>
      <c r="CW35" s="59"/>
      <c r="DA35" s="59"/>
      <c r="DB35" s="59"/>
      <c r="DC35" s="57"/>
      <c r="DD35"/>
      <c r="DE35" s="4"/>
      <c r="DF35" s="4"/>
    </row>
    <row r="36" spans="1:110" s="18" customFormat="1" x14ac:dyDescent="0.25">
      <c r="A36" s="19"/>
      <c r="B36" s="23" t="s">
        <v>131</v>
      </c>
      <c r="C36" s="23">
        <v>600</v>
      </c>
      <c r="D36" s="23"/>
      <c r="E36" s="28">
        <v>29.34</v>
      </c>
      <c r="F36" s="171">
        <f t="shared" si="66"/>
        <v>3408316.2917518741</v>
      </c>
      <c r="G36" s="23" t="s">
        <v>131</v>
      </c>
      <c r="H36" s="23">
        <v>500</v>
      </c>
      <c r="I36" s="28">
        <v>14.36</v>
      </c>
      <c r="J36" s="171">
        <f t="shared" si="67"/>
        <v>6963788.3008356551</v>
      </c>
      <c r="K36" s="23" t="s">
        <v>131</v>
      </c>
      <c r="L36" s="23">
        <v>400</v>
      </c>
      <c r="M36" s="28">
        <v>17.18</v>
      </c>
      <c r="N36" s="171">
        <f t="shared" si="68"/>
        <v>5820721.7694994183</v>
      </c>
      <c r="O36" s="23" t="s">
        <v>131</v>
      </c>
      <c r="P36" s="23">
        <v>400</v>
      </c>
      <c r="Q36" s="28">
        <v>29.51</v>
      </c>
      <c r="R36" s="171">
        <f t="shared" si="69"/>
        <v>3388681.8027787185</v>
      </c>
      <c r="S36"/>
      <c r="V36" s="13"/>
      <c r="W36" s="13"/>
      <c r="X36" s="8"/>
      <c r="Y36" s="4"/>
      <c r="Z36" s="4"/>
      <c r="AA36" s="4"/>
      <c r="AB36" s="4"/>
      <c r="AC36" s="4"/>
      <c r="AD36" s="4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57"/>
      <c r="BG36" s="57"/>
      <c r="BH36" s="57"/>
      <c r="BI36" s="57"/>
      <c r="BJ36" s="57"/>
      <c r="BK36" s="57"/>
      <c r="BL36" s="57"/>
      <c r="BM36" s="57"/>
      <c r="BN36" s="57"/>
      <c r="BO36" s="57"/>
      <c r="BP36" s="57"/>
      <c r="BQ36" s="57"/>
      <c r="BR36" s="57"/>
      <c r="BS36" s="57"/>
      <c r="BT36" s="57"/>
      <c r="BU36" s="57"/>
      <c r="BV36" s="57"/>
      <c r="BW36" s="57"/>
      <c r="BX36" s="57"/>
      <c r="BY36" s="57"/>
      <c r="BZ36" s="57"/>
      <c r="CA36" s="58"/>
      <c r="CB36" s="58"/>
      <c r="CC36" s="57"/>
      <c r="CD36" s="57"/>
      <c r="CE36" s="11"/>
      <c r="CF36" s="11"/>
      <c r="CH36" s="58"/>
      <c r="CI36" s="58"/>
      <c r="CJ36" s="58"/>
      <c r="CK36" s="58"/>
      <c r="CL36" s="58"/>
      <c r="CM36" s="58"/>
      <c r="CN36" s="58"/>
      <c r="CO36" s="57"/>
      <c r="CP36" s="57"/>
      <c r="CQ36" s="57"/>
      <c r="CR36" s="57"/>
      <c r="CS36" s="57"/>
      <c r="CT36" s="57"/>
      <c r="CU36" s="57"/>
      <c r="CV36" s="57"/>
      <c r="CW36" s="59"/>
      <c r="DA36" s="59"/>
      <c r="DB36" s="59"/>
      <c r="DC36" s="57"/>
      <c r="DD36"/>
      <c r="DE36" s="4"/>
      <c r="DF36" s="4"/>
    </row>
    <row r="37" spans="1:110" s="18" customFormat="1" x14ac:dyDescent="0.25">
      <c r="A37" s="19"/>
      <c r="B37" s="22">
        <f>INTERCEPT(F34:F52,C34:C52)</f>
        <v>4221516.3817144008</v>
      </c>
      <c r="C37" s="23">
        <v>700</v>
      </c>
      <c r="D37" s="23"/>
      <c r="E37" s="28">
        <v>32.1</v>
      </c>
      <c r="F37" s="171">
        <f t="shared" si="66"/>
        <v>3115264.7975077881</v>
      </c>
      <c r="G37" s="22">
        <f>INTERCEPT(J34:J52,H34:H52)</f>
        <v>9067740.7134940401</v>
      </c>
      <c r="H37" s="23">
        <v>600</v>
      </c>
      <c r="I37" s="28">
        <v>18.559999999999999</v>
      </c>
      <c r="J37" s="171">
        <f t="shared" si="67"/>
        <v>5387931.0344827585</v>
      </c>
      <c r="K37" s="22">
        <f>INTERCEPT(N34:N52,L34:L52)</f>
        <v>6274083.7728864588</v>
      </c>
      <c r="L37" s="23">
        <v>500</v>
      </c>
      <c r="M37" s="28">
        <v>22.91</v>
      </c>
      <c r="N37" s="171">
        <f t="shared" si="68"/>
        <v>4364906.1545176776</v>
      </c>
      <c r="O37" s="22">
        <f>INTERCEPT(R34:R52,P34:P52)</f>
        <v>3798018.3619082011</v>
      </c>
      <c r="P37" s="23">
        <v>500</v>
      </c>
      <c r="Q37" s="28">
        <v>38.270000000000003</v>
      </c>
      <c r="R37" s="171">
        <f t="shared" si="69"/>
        <v>2613012.8037627381</v>
      </c>
      <c r="S37"/>
      <c r="V37" s="13"/>
      <c r="W37" s="13"/>
      <c r="X37" s="8"/>
      <c r="Y37" s="4"/>
      <c r="Z37" s="4"/>
      <c r="AA37" s="4"/>
      <c r="AB37" s="4"/>
      <c r="AC37" s="4"/>
      <c r="AD37" s="4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7"/>
      <c r="BE37" s="57"/>
      <c r="BF37" s="57"/>
      <c r="BG37" s="57"/>
      <c r="BH37" s="57"/>
      <c r="BI37" s="57"/>
      <c r="BJ37" s="57"/>
      <c r="BK37" s="57"/>
      <c r="BL37" s="57"/>
      <c r="BM37" s="57"/>
      <c r="BN37" s="57"/>
      <c r="BO37" s="57"/>
      <c r="BP37" s="57"/>
      <c r="BQ37" s="57"/>
      <c r="BR37" s="57"/>
      <c r="BS37" s="57"/>
      <c r="BT37" s="57"/>
      <c r="BU37" s="57"/>
      <c r="BV37" s="57"/>
      <c r="BW37" s="57"/>
      <c r="BX37" s="57"/>
      <c r="BY37" s="57"/>
      <c r="BZ37" s="57"/>
      <c r="CA37" s="58"/>
      <c r="CB37" s="58"/>
      <c r="CC37" s="57"/>
      <c r="CD37" s="57"/>
      <c r="CE37" s="11"/>
      <c r="CF37" s="11"/>
      <c r="CH37" s="58"/>
      <c r="CI37" s="58"/>
      <c r="CJ37" s="58"/>
      <c r="CK37" s="58"/>
      <c r="CL37" s="58"/>
      <c r="CM37" s="58"/>
      <c r="CN37" s="58"/>
      <c r="CO37" s="57"/>
      <c r="CP37" s="57"/>
      <c r="CQ37" s="57"/>
      <c r="CR37" s="57"/>
      <c r="CS37" s="57"/>
      <c r="CT37" s="57"/>
      <c r="CU37" s="57"/>
      <c r="CV37" s="57"/>
      <c r="CW37" s="59"/>
      <c r="DA37" s="59"/>
      <c r="DB37" s="59"/>
      <c r="DC37" s="57"/>
      <c r="DD37"/>
      <c r="DE37" s="4"/>
      <c r="DF37" s="4"/>
    </row>
    <row r="38" spans="1:110" x14ac:dyDescent="0.25">
      <c r="C38" s="23">
        <v>800</v>
      </c>
      <c r="E38" s="28">
        <v>34.71</v>
      </c>
      <c r="F38" s="171">
        <f t="shared" si="66"/>
        <v>2881014.1169691728</v>
      </c>
      <c r="H38" s="23">
        <v>700</v>
      </c>
      <c r="I38" s="28">
        <v>23.2</v>
      </c>
      <c r="J38" s="171">
        <f t="shared" si="67"/>
        <v>4310344.8275862075</v>
      </c>
      <c r="L38" s="23">
        <v>600</v>
      </c>
      <c r="M38" s="28">
        <v>29.58</v>
      </c>
      <c r="N38" s="171">
        <f t="shared" si="68"/>
        <v>3380662.6098715351</v>
      </c>
      <c r="O38" s="23"/>
      <c r="P38" s="23">
        <v>600</v>
      </c>
      <c r="Q38" s="28">
        <v>47.61</v>
      </c>
      <c r="R38" s="171">
        <f t="shared" si="69"/>
        <v>2100399.0758244069</v>
      </c>
      <c r="BJ38" s="11"/>
      <c r="BK38" s="11"/>
      <c r="BL38"/>
      <c r="BM38" s="58"/>
      <c r="BN38" s="58"/>
      <c r="BO38" s="58"/>
      <c r="BP38" s="58"/>
      <c r="BQ38" s="58"/>
      <c r="BR38" s="58"/>
      <c r="BS38" s="58"/>
      <c r="CA38" s="57"/>
      <c r="CB38" s="59"/>
      <c r="CC38"/>
      <c r="CD38"/>
      <c r="CE38"/>
      <c r="CF38" s="59"/>
      <c r="CG38" s="59"/>
      <c r="CH38" s="57"/>
      <c r="CI38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</row>
    <row r="39" spans="1:110" x14ac:dyDescent="0.25">
      <c r="C39" s="23">
        <v>900</v>
      </c>
      <c r="E39" s="28">
        <v>37.22</v>
      </c>
      <c r="F39" s="171">
        <f t="shared" si="66"/>
        <v>2686727.5658248253</v>
      </c>
      <c r="H39" s="23">
        <v>800</v>
      </c>
      <c r="I39" s="28">
        <v>28.38</v>
      </c>
      <c r="J39" s="171">
        <f t="shared" si="67"/>
        <v>3523608.1747709657</v>
      </c>
      <c r="L39" s="23">
        <v>700</v>
      </c>
      <c r="M39" s="28">
        <v>37.31</v>
      </c>
      <c r="N39" s="171">
        <f t="shared" si="68"/>
        <v>2680246.582685607</v>
      </c>
      <c r="O39" s="23"/>
      <c r="P39" s="23">
        <v>700</v>
      </c>
      <c r="Q39" s="28">
        <v>57.48</v>
      </c>
      <c r="R39" s="171">
        <f t="shared" si="69"/>
        <v>1739735.5601948504</v>
      </c>
      <c r="BJ39" s="11"/>
      <c r="BK39" s="11"/>
      <c r="BL39"/>
      <c r="BM39" s="58"/>
      <c r="BN39" s="58"/>
      <c r="BO39" s="58"/>
      <c r="BP39" s="58"/>
      <c r="BQ39" s="58"/>
      <c r="BR39" s="58"/>
      <c r="BS39" s="58"/>
      <c r="CA39" s="57"/>
      <c r="CB39" s="59"/>
      <c r="CC39"/>
      <c r="CD39"/>
      <c r="CE39"/>
      <c r="CF39" s="59"/>
      <c r="CG39" s="59"/>
      <c r="CH39" s="57"/>
      <c r="CI39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</row>
    <row r="40" spans="1:110" x14ac:dyDescent="0.25">
      <c r="C40" s="23">
        <v>1000</v>
      </c>
      <c r="E40" s="28">
        <v>39.69</v>
      </c>
      <c r="F40" s="171">
        <f t="shared" si="66"/>
        <v>2519526.3290501386</v>
      </c>
      <c r="H40" s="23">
        <v>900</v>
      </c>
      <c r="I40" s="28">
        <v>34.19</v>
      </c>
      <c r="J40" s="171">
        <f t="shared" si="67"/>
        <v>2924831.8221702254</v>
      </c>
      <c r="L40" s="23">
        <v>800</v>
      </c>
      <c r="M40" s="28">
        <v>46.2</v>
      </c>
      <c r="N40" s="171">
        <f t="shared" si="68"/>
        <v>2164502.1645021643</v>
      </c>
      <c r="O40" s="23"/>
      <c r="P40" s="23">
        <v>800</v>
      </c>
      <c r="Q40" s="28">
        <v>68.5</v>
      </c>
      <c r="R40" s="171">
        <f t="shared" si="69"/>
        <v>1459854.01459854</v>
      </c>
      <c r="BJ40" s="11"/>
      <c r="BK40" s="11"/>
      <c r="BL40"/>
      <c r="BM40" s="58"/>
      <c r="BN40" s="58"/>
      <c r="BO40" s="58"/>
      <c r="BP40" s="58"/>
      <c r="BQ40" s="58"/>
      <c r="BR40" s="58"/>
      <c r="BS40" s="58"/>
      <c r="CA40" s="57"/>
      <c r="CB40" s="59"/>
      <c r="CC40"/>
      <c r="CD40"/>
      <c r="CE40"/>
      <c r="CF40" s="59"/>
      <c r="CG40" s="59"/>
      <c r="CH40" s="57"/>
      <c r="CI40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</row>
    <row r="41" spans="1:110" x14ac:dyDescent="0.25">
      <c r="C41" s="23">
        <v>1100</v>
      </c>
      <c r="E41" s="28">
        <v>42.13</v>
      </c>
      <c r="F41" s="171">
        <f t="shared" si="66"/>
        <v>2373605.5067647756</v>
      </c>
      <c r="H41" s="23">
        <v>1000</v>
      </c>
      <c r="I41" s="28">
        <v>40.729999999999997</v>
      </c>
      <c r="J41" s="171">
        <f t="shared" si="67"/>
        <v>2455192.7326295115</v>
      </c>
      <c r="L41" s="23">
        <v>900</v>
      </c>
      <c r="M41" s="28">
        <v>56.36</v>
      </c>
      <c r="N41" s="171">
        <f t="shared" si="68"/>
        <v>1774308.0198722498</v>
      </c>
      <c r="O41" s="23"/>
      <c r="P41" s="23">
        <v>900</v>
      </c>
      <c r="Q41" s="28">
        <v>81.5</v>
      </c>
      <c r="R41" s="171">
        <f t="shared" si="69"/>
        <v>1226993.8650306747</v>
      </c>
      <c r="BJ41" s="11"/>
      <c r="BK41" s="11"/>
      <c r="BL41"/>
      <c r="BM41" s="58"/>
      <c r="BN41" s="58"/>
      <c r="BO41" s="58"/>
      <c r="BP41" s="58"/>
      <c r="BQ41" s="58"/>
      <c r="BR41" s="58"/>
      <c r="BS41" s="58"/>
      <c r="CA41" s="57"/>
      <c r="CB41" s="59"/>
      <c r="CC41"/>
      <c r="CD41"/>
      <c r="CE41"/>
      <c r="CF41" s="59"/>
      <c r="CG41" s="59"/>
      <c r="CH41" s="57"/>
      <c r="CI41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</row>
    <row r="42" spans="1:110" x14ac:dyDescent="0.25">
      <c r="C42" s="23">
        <v>1200</v>
      </c>
      <c r="E42" s="28">
        <v>44.61</v>
      </c>
      <c r="F42" s="171">
        <f t="shared" si="66"/>
        <v>2241649.8542927597</v>
      </c>
      <c r="H42" s="23">
        <v>1100</v>
      </c>
      <c r="I42" s="28">
        <v>48.12</v>
      </c>
      <c r="J42" s="171">
        <f t="shared" si="67"/>
        <v>2078137.9883624276</v>
      </c>
      <c r="L42" s="23">
        <v>1000</v>
      </c>
      <c r="M42" s="28">
        <v>67.94</v>
      </c>
      <c r="N42" s="171">
        <f t="shared" si="68"/>
        <v>1471886.9590815424</v>
      </c>
      <c r="O42" s="23"/>
      <c r="P42" s="23">
        <v>1000</v>
      </c>
      <c r="Q42" s="28">
        <v>97.26</v>
      </c>
      <c r="R42" s="171">
        <f t="shared" si="69"/>
        <v>1028171.9103434094</v>
      </c>
      <c r="BJ42" s="11"/>
      <c r="BK42" s="11"/>
      <c r="BL42"/>
      <c r="BM42" s="58"/>
      <c r="BN42" s="58"/>
      <c r="BO42" s="58"/>
      <c r="BP42" s="58"/>
      <c r="BQ42" s="58"/>
      <c r="BR42" s="58"/>
      <c r="BS42" s="58"/>
      <c r="CA42" s="57"/>
      <c r="CB42" s="59"/>
      <c r="CC42"/>
      <c r="CD42"/>
      <c r="CE42"/>
      <c r="CF42" s="59"/>
      <c r="CG42" s="59"/>
      <c r="CH42" s="57"/>
      <c r="CI42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</row>
    <row r="43" spans="1:110" x14ac:dyDescent="0.25">
      <c r="C43" s="23">
        <v>1300</v>
      </c>
      <c r="E43" s="28">
        <v>47.41</v>
      </c>
      <c r="F43" s="171">
        <f t="shared" si="66"/>
        <v>2109259.649862898</v>
      </c>
      <c r="H43" s="23">
        <v>1200</v>
      </c>
      <c r="I43" s="28">
        <v>56.45</v>
      </c>
      <c r="J43" s="171">
        <f t="shared" si="67"/>
        <v>1771479.1851195747</v>
      </c>
      <c r="L43" s="23">
        <v>1100</v>
      </c>
      <c r="M43" s="28">
        <v>81.05</v>
      </c>
      <c r="N43" s="171">
        <f t="shared" si="68"/>
        <v>1233806.2924120913</v>
      </c>
      <c r="O43" s="23"/>
      <c r="P43" s="23">
        <v>1100</v>
      </c>
      <c r="Q43" s="28">
        <v>116.7</v>
      </c>
      <c r="R43" s="171">
        <f t="shared" si="69"/>
        <v>856898.02913453302</v>
      </c>
      <c r="BJ43" s="11"/>
      <c r="BK43" s="11"/>
      <c r="BL43"/>
      <c r="BM43" s="58"/>
      <c r="BN43" s="58"/>
      <c r="BO43" s="58"/>
      <c r="BP43" s="58"/>
      <c r="BQ43" s="58"/>
      <c r="BR43" s="58"/>
      <c r="BS43" s="58"/>
      <c r="CA43" s="57"/>
      <c r="CB43" s="59"/>
      <c r="CC43"/>
      <c r="CD43"/>
      <c r="CE43"/>
      <c r="CF43" s="59"/>
      <c r="CG43" s="59"/>
      <c r="CH43" s="57"/>
      <c r="CI43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</row>
    <row r="44" spans="1:110" x14ac:dyDescent="0.25">
      <c r="C44" s="23">
        <v>1400</v>
      </c>
      <c r="E44" s="28">
        <v>49.97</v>
      </c>
      <c r="F44" s="171">
        <f t="shared" si="66"/>
        <v>2001200.7204322596</v>
      </c>
      <c r="H44" s="23">
        <v>1300</v>
      </c>
      <c r="I44" s="28">
        <v>65.849999999999994</v>
      </c>
      <c r="J44" s="171">
        <f t="shared" si="67"/>
        <v>1518602.8853454823</v>
      </c>
      <c r="L44" s="23">
        <v>1200</v>
      </c>
      <c r="M44" s="28">
        <v>96.04</v>
      </c>
      <c r="N44" s="171">
        <f t="shared" si="68"/>
        <v>1041232.8196584755</v>
      </c>
      <c r="O44" s="23"/>
      <c r="P44" s="23">
        <v>1200</v>
      </c>
      <c r="Q44" s="28">
        <v>140.80000000000001</v>
      </c>
      <c r="R44" s="171">
        <f t="shared" si="69"/>
        <v>710227.27272727271</v>
      </c>
      <c r="BJ44" s="11"/>
      <c r="BK44" s="11"/>
      <c r="BL44"/>
      <c r="BM44" s="58"/>
      <c r="BN44" s="58"/>
      <c r="BO44" s="58"/>
      <c r="BP44" s="58"/>
      <c r="BQ44" s="58"/>
      <c r="BR44" s="58"/>
      <c r="BS44" s="58"/>
      <c r="CA44" s="57"/>
      <c r="CB44" s="59"/>
      <c r="CC44"/>
      <c r="CD44"/>
      <c r="CE44"/>
      <c r="CF44" s="59"/>
      <c r="CG44" s="59"/>
      <c r="CH44" s="57"/>
      <c r="CI4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</row>
    <row r="45" spans="1:110" x14ac:dyDescent="0.25">
      <c r="C45" s="23">
        <v>1500</v>
      </c>
      <c r="E45" s="28">
        <v>53</v>
      </c>
      <c r="F45" s="171">
        <f t="shared" si="66"/>
        <v>1886792.4528301887</v>
      </c>
      <c r="H45" s="23">
        <v>1400</v>
      </c>
      <c r="I45" s="28">
        <v>76.44</v>
      </c>
      <c r="J45" s="171">
        <f t="shared" si="67"/>
        <v>1308215.5939298796</v>
      </c>
      <c r="L45" s="23">
        <v>1300</v>
      </c>
      <c r="M45" s="28">
        <v>114</v>
      </c>
      <c r="N45" s="171">
        <f t="shared" si="68"/>
        <v>877192.98245614022</v>
      </c>
      <c r="O45" s="23"/>
      <c r="P45" s="23">
        <v>1300</v>
      </c>
      <c r="Q45" s="28">
        <v>170.3</v>
      </c>
      <c r="R45" s="171">
        <f t="shared" si="69"/>
        <v>587199.06048150314</v>
      </c>
      <c r="BJ45" s="11"/>
      <c r="BK45" s="11"/>
      <c r="BL45"/>
      <c r="BM45" s="58"/>
      <c r="BN45" s="58"/>
      <c r="BO45" s="58"/>
      <c r="BP45" s="58"/>
      <c r="BQ45" s="58"/>
      <c r="BR45" s="58"/>
      <c r="BS45" s="58"/>
      <c r="CA45" s="57"/>
      <c r="CB45" s="59"/>
      <c r="CC45"/>
      <c r="CD45"/>
      <c r="CE45"/>
      <c r="CF45" s="59"/>
      <c r="CG45" s="59"/>
      <c r="CH45" s="57"/>
      <c r="CI45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</row>
    <row r="46" spans="1:110" x14ac:dyDescent="0.25">
      <c r="C46" s="23">
        <v>1600</v>
      </c>
      <c r="E46" s="28">
        <v>56.34</v>
      </c>
      <c r="F46" s="171">
        <f t="shared" si="66"/>
        <v>1774937.8771742987</v>
      </c>
      <c r="H46" s="23">
        <v>1500</v>
      </c>
      <c r="I46" s="28">
        <v>88.37</v>
      </c>
      <c r="J46" s="171">
        <f t="shared" si="67"/>
        <v>1131605.7485572025</v>
      </c>
      <c r="L46" s="23">
        <v>1400</v>
      </c>
      <c r="M46" s="28">
        <v>136.30000000000001</v>
      </c>
      <c r="N46" s="171">
        <f t="shared" si="68"/>
        <v>733675.71533382242</v>
      </c>
      <c r="O46" s="23"/>
      <c r="P46" s="23">
        <v>1400</v>
      </c>
      <c r="Q46" s="28">
        <v>206.3</v>
      </c>
      <c r="R46" s="171">
        <f t="shared" si="69"/>
        <v>484730.97430925834</v>
      </c>
      <c r="BJ46" s="11"/>
      <c r="BK46" s="11"/>
      <c r="BL46"/>
      <c r="BM46" s="58"/>
      <c r="BN46" s="58"/>
      <c r="BO46" s="58"/>
      <c r="BP46" s="58"/>
      <c r="BQ46" s="58"/>
      <c r="BR46" s="58"/>
      <c r="BS46" s="58"/>
      <c r="CA46" s="57"/>
      <c r="CB46" s="59"/>
      <c r="CC46"/>
      <c r="CD46"/>
      <c r="CE46"/>
      <c r="CF46" s="59"/>
      <c r="CG46" s="59"/>
      <c r="CH46" s="57"/>
      <c r="CI46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</row>
    <row r="47" spans="1:110" x14ac:dyDescent="0.25">
      <c r="C47" s="23">
        <v>1700</v>
      </c>
      <c r="E47" s="28">
        <v>60.03</v>
      </c>
      <c r="F47" s="171">
        <f t="shared" si="66"/>
        <v>1665833.7497917707</v>
      </c>
      <c r="H47" s="23">
        <v>1600</v>
      </c>
      <c r="I47" s="28">
        <v>101.8</v>
      </c>
      <c r="J47" s="171">
        <f t="shared" si="67"/>
        <v>982318.27111984277</v>
      </c>
      <c r="L47" s="23">
        <v>1500</v>
      </c>
      <c r="M47" s="28">
        <v>164.6</v>
      </c>
      <c r="N47" s="171">
        <f t="shared" si="68"/>
        <v>607533.41433778859</v>
      </c>
      <c r="O47" s="23"/>
      <c r="P47" s="23">
        <v>1500</v>
      </c>
      <c r="Q47" s="28">
        <v>249.7</v>
      </c>
      <c r="R47" s="171">
        <f t="shared" si="69"/>
        <v>400480.57669203042</v>
      </c>
      <c r="BJ47" s="11"/>
      <c r="BK47" s="11"/>
      <c r="BL47"/>
      <c r="BM47" s="58"/>
      <c r="BN47" s="58"/>
      <c r="BO47" s="58"/>
      <c r="BP47" s="58"/>
      <c r="BQ47" s="58"/>
      <c r="BR47" s="58"/>
      <c r="BS47" s="58"/>
      <c r="CA47" s="57"/>
      <c r="CB47" s="59"/>
      <c r="CC47"/>
      <c r="CD47"/>
      <c r="CE47"/>
      <c r="CF47" s="59"/>
      <c r="CG47" s="59"/>
      <c r="CH47" s="57"/>
      <c r="CI47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</row>
    <row r="48" spans="1:110" x14ac:dyDescent="0.25">
      <c r="C48" s="23">
        <v>1800</v>
      </c>
      <c r="E48" s="28">
        <v>64.12</v>
      </c>
      <c r="F48" s="171">
        <f t="shared" si="66"/>
        <v>1559575.7953836555</v>
      </c>
      <c r="H48" s="23">
        <v>1700</v>
      </c>
      <c r="I48" s="28">
        <v>117.1</v>
      </c>
      <c r="J48" s="171">
        <f t="shared" si="67"/>
        <v>853970.96498719056</v>
      </c>
      <c r="L48" s="23">
        <v>1600</v>
      </c>
      <c r="M48" s="28">
        <v>201.4</v>
      </c>
      <c r="N48" s="171">
        <f t="shared" si="68"/>
        <v>496524.32969215489</v>
      </c>
      <c r="O48" s="23"/>
      <c r="P48" s="23">
        <v>1600</v>
      </c>
      <c r="Q48" s="28">
        <v>301.8</v>
      </c>
      <c r="R48" s="171">
        <f t="shared" si="69"/>
        <v>331345.2617627568</v>
      </c>
      <c r="BJ48" s="11"/>
      <c r="BK48" s="11"/>
      <c r="BL48"/>
      <c r="BM48" s="58"/>
      <c r="BN48" s="58"/>
      <c r="BO48" s="58"/>
      <c r="BP48" s="58"/>
      <c r="BQ48" s="58"/>
      <c r="BR48" s="58"/>
      <c r="BS48" s="58"/>
      <c r="CA48" s="57"/>
      <c r="CB48" s="59"/>
      <c r="CC48"/>
      <c r="CD48"/>
      <c r="CE48"/>
      <c r="CF48" s="59"/>
      <c r="CG48" s="59"/>
      <c r="CH48" s="57"/>
      <c r="CI48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</row>
    <row r="49" spans="3:108" x14ac:dyDescent="0.25">
      <c r="C49" s="23">
        <v>1900</v>
      </c>
      <c r="E49" s="28">
        <v>68.67</v>
      </c>
      <c r="F49" s="171">
        <f t="shared" si="66"/>
        <v>1456239.9883500801</v>
      </c>
      <c r="H49" s="23">
        <v>1800</v>
      </c>
      <c r="I49" s="28">
        <v>135.1</v>
      </c>
      <c r="J49" s="171">
        <f t="shared" si="67"/>
        <v>740192.45003700955</v>
      </c>
      <c r="L49" s="23">
        <v>1700</v>
      </c>
      <c r="M49" s="28">
        <v>249.7</v>
      </c>
      <c r="N49" s="171">
        <f t="shared" si="68"/>
        <v>400480.57669203042</v>
      </c>
      <c r="O49" s="23"/>
      <c r="P49" s="23">
        <v>1700</v>
      </c>
      <c r="Q49" s="28">
        <v>364.1</v>
      </c>
      <c r="R49" s="171">
        <f t="shared" si="69"/>
        <v>274649.82147761603</v>
      </c>
      <c r="BJ49" s="11"/>
      <c r="BK49" s="11"/>
      <c r="BL49"/>
      <c r="BM49" s="58"/>
      <c r="BN49" s="58"/>
      <c r="BO49" s="58"/>
      <c r="BP49" s="58"/>
      <c r="BQ49" s="58"/>
      <c r="BR49" s="58"/>
      <c r="BS49" s="58"/>
      <c r="CA49" s="57"/>
      <c r="CB49" s="59"/>
      <c r="CC49"/>
      <c r="CD49"/>
      <c r="CE49"/>
      <c r="CF49" s="59"/>
      <c r="CG49" s="59"/>
      <c r="CH49" s="57"/>
      <c r="CI49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</row>
    <row r="50" spans="3:108" x14ac:dyDescent="0.25">
      <c r="C50" s="23">
        <v>2000</v>
      </c>
      <c r="E50" s="28">
        <v>73.73</v>
      </c>
      <c r="F50" s="171">
        <f t="shared" si="66"/>
        <v>1356300.0135630001</v>
      </c>
      <c r="H50" s="23">
        <v>1900</v>
      </c>
      <c r="I50" s="28">
        <v>157.1</v>
      </c>
      <c r="J50" s="171">
        <f t="shared" si="67"/>
        <v>636537.23742838949</v>
      </c>
      <c r="L50" s="23">
        <v>1800</v>
      </c>
      <c r="M50" s="28">
        <v>313.8</v>
      </c>
      <c r="N50" s="171">
        <f t="shared" si="68"/>
        <v>318674.31485022302</v>
      </c>
      <c r="O50" s="23"/>
      <c r="P50" s="23">
        <v>1800</v>
      </c>
      <c r="Q50" s="28">
        <v>438.2</v>
      </c>
      <c r="R50" s="171">
        <f t="shared" si="69"/>
        <v>228206.29849383843</v>
      </c>
      <c r="BJ50" s="11"/>
      <c r="BK50" s="11"/>
      <c r="BL50"/>
      <c r="BM50" s="58"/>
      <c r="BN50" s="58"/>
      <c r="BO50" s="58"/>
      <c r="BP50" s="58"/>
      <c r="BQ50" s="58"/>
      <c r="BR50" s="58"/>
      <c r="BS50" s="58"/>
      <c r="CA50" s="57"/>
      <c r="CB50" s="59"/>
      <c r="CC50"/>
      <c r="CD50"/>
      <c r="CE50"/>
      <c r="CF50" s="59"/>
      <c r="CG50" s="59"/>
      <c r="CH50" s="57"/>
      <c r="CI50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</row>
    <row r="51" spans="3:108" x14ac:dyDescent="0.25">
      <c r="C51" s="23">
        <v>2100</v>
      </c>
      <c r="E51" s="28">
        <v>79.44</v>
      </c>
      <c r="F51" s="171">
        <f t="shared" si="66"/>
        <v>1258811.6817724069</v>
      </c>
      <c r="H51" s="23">
        <v>2000</v>
      </c>
      <c r="I51" s="28">
        <v>184.4</v>
      </c>
      <c r="J51" s="171">
        <f t="shared" si="67"/>
        <v>542299.34924078092</v>
      </c>
      <c r="L51" s="23">
        <v>1900</v>
      </c>
      <c r="M51" s="28">
        <v>399.6</v>
      </c>
      <c r="N51" s="171">
        <f t="shared" si="68"/>
        <v>250250.25025025022</v>
      </c>
      <c r="O51" s="23"/>
      <c r="P51" s="23">
        <v>1900</v>
      </c>
      <c r="Q51" s="28">
        <v>525.9</v>
      </c>
      <c r="R51" s="171">
        <f t="shared" si="69"/>
        <v>190150.21867275148</v>
      </c>
      <c r="BJ51" s="11"/>
      <c r="BK51" s="11"/>
      <c r="BL51"/>
      <c r="BM51" s="58"/>
      <c r="BN51" s="58"/>
      <c r="BO51" s="58"/>
      <c r="BP51" s="58"/>
      <c r="BQ51" s="58"/>
      <c r="BR51" s="58"/>
      <c r="BS51" s="58"/>
      <c r="CA51" s="57"/>
      <c r="CB51" s="59"/>
      <c r="CC51"/>
      <c r="CD51"/>
      <c r="CE51"/>
      <c r="CF51" s="59"/>
      <c r="CG51" s="59"/>
      <c r="CH51" s="57"/>
      <c r="CI51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</row>
    <row r="52" spans="3:108" x14ac:dyDescent="0.25">
      <c r="C52" s="23">
        <v>2200</v>
      </c>
      <c r="E52" s="28">
        <v>85.59</v>
      </c>
      <c r="F52" s="171">
        <f t="shared" si="66"/>
        <v>1168360.7898118938</v>
      </c>
      <c r="J52" s="28"/>
      <c r="L52" s="23">
        <v>2000</v>
      </c>
      <c r="M52" s="7">
        <v>575.29999999999995</v>
      </c>
      <c r="N52" s="171">
        <f t="shared" si="68"/>
        <v>173822.35355466715</v>
      </c>
      <c r="O52" s="23"/>
      <c r="P52" s="23">
        <v>2000</v>
      </c>
      <c r="Q52" s="7">
        <v>629.4</v>
      </c>
      <c r="R52" s="171">
        <f t="shared" si="69"/>
        <v>158881.47442008261</v>
      </c>
      <c r="BJ52" s="11"/>
      <c r="BK52" s="11"/>
      <c r="BL52"/>
      <c r="BM52" s="58"/>
      <c r="BN52" s="58"/>
      <c r="BO52" s="58"/>
      <c r="BP52" s="58"/>
      <c r="BQ52" s="58"/>
      <c r="BR52" s="58"/>
      <c r="BS52" s="58"/>
      <c r="CA52" s="57"/>
      <c r="CB52" s="59"/>
      <c r="CC52"/>
      <c r="CD52"/>
      <c r="CE52"/>
      <c r="CF52" s="59"/>
      <c r="CG52" s="59"/>
      <c r="CH52" s="57"/>
      <c r="CI52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</row>
    <row r="53" spans="3:108" x14ac:dyDescent="0.25">
      <c r="K53" s="9"/>
      <c r="L53" s="20"/>
      <c r="M53" s="18"/>
      <c r="N53" s="18"/>
      <c r="O53" s="9"/>
      <c r="P53" s="20"/>
      <c r="BJ53" s="11"/>
      <c r="BK53" s="11"/>
      <c r="BL53"/>
      <c r="BM53" s="58"/>
      <c r="BN53" s="58"/>
      <c r="BO53" s="58"/>
      <c r="BP53" s="58"/>
      <c r="BQ53" s="58"/>
      <c r="BR53" s="58"/>
      <c r="BS53" s="58"/>
      <c r="CA53" s="57"/>
      <c r="CB53" s="59"/>
      <c r="CC53"/>
      <c r="CD53"/>
      <c r="CE53"/>
      <c r="CF53" s="59"/>
      <c r="CG53" s="59"/>
      <c r="CH53" s="57"/>
      <c r="CI53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</row>
    <row r="54" spans="3:108" x14ac:dyDescent="0.25">
      <c r="K54" s="9"/>
      <c r="L54" s="20"/>
      <c r="M54" s="18"/>
      <c r="N54" s="18"/>
      <c r="O54" s="9"/>
      <c r="P54" s="20"/>
      <c r="BJ54" s="11"/>
      <c r="BK54" s="11"/>
      <c r="BL54"/>
      <c r="BM54" s="58"/>
      <c r="BN54" s="58"/>
      <c r="BO54" s="58"/>
      <c r="BP54" s="58"/>
      <c r="BQ54" s="58"/>
      <c r="BR54" s="58"/>
      <c r="BS54" s="58"/>
      <c r="CA54" s="57"/>
      <c r="CB54" s="59"/>
      <c r="CC54"/>
      <c r="CD54"/>
      <c r="CE54"/>
      <c r="CF54" s="59"/>
      <c r="CG54" s="59"/>
      <c r="CH54" s="57"/>
      <c r="CI5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</row>
    <row r="55" spans="3:108" x14ac:dyDescent="0.25">
      <c r="K55" s="9"/>
      <c r="L55" s="20"/>
      <c r="M55" s="18"/>
      <c r="N55" s="18"/>
      <c r="O55" s="9"/>
      <c r="P55" s="20"/>
      <c r="BJ55" s="11"/>
      <c r="BK55" s="11"/>
      <c r="BL55"/>
      <c r="BM55" s="58"/>
      <c r="BN55" s="58"/>
      <c r="BO55" s="58"/>
      <c r="BP55" s="58"/>
      <c r="BQ55" s="58"/>
      <c r="BR55" s="58"/>
      <c r="BS55" s="58"/>
      <c r="CA55" s="57"/>
      <c r="CB55" s="59"/>
      <c r="CC55"/>
      <c r="CD55"/>
      <c r="CE55"/>
      <c r="CF55" s="59"/>
      <c r="CG55" s="59"/>
      <c r="CH55" s="57"/>
      <c r="CI55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</row>
    <row r="56" spans="3:108" x14ac:dyDescent="0.25">
      <c r="BJ56" s="11"/>
      <c r="BK56" s="11"/>
      <c r="BL56"/>
      <c r="BM56" s="58"/>
      <c r="BN56" s="58"/>
      <c r="BO56" s="58"/>
      <c r="BP56" s="58"/>
      <c r="BQ56" s="58"/>
      <c r="BR56" s="58"/>
      <c r="BS56" s="58"/>
      <c r="CA56" s="57"/>
      <c r="CB56" s="59"/>
      <c r="CC56"/>
      <c r="CD56"/>
      <c r="CE56"/>
      <c r="CF56" s="59"/>
      <c r="CG56" s="59"/>
      <c r="CH56" s="57"/>
      <c r="CI56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</row>
    <row r="57" spans="3:108" x14ac:dyDescent="0.25">
      <c r="AR57" s="57" t="s">
        <v>194</v>
      </c>
      <c r="BJ57" s="11"/>
      <c r="BK57" s="11"/>
      <c r="BL57"/>
      <c r="BM57" s="58"/>
      <c r="BN57" s="58"/>
      <c r="BO57" s="58"/>
      <c r="BP57" s="58"/>
      <c r="BQ57" s="58"/>
      <c r="BR57" s="58"/>
      <c r="BS57" s="58"/>
      <c r="CA57" s="57"/>
      <c r="CB57" s="59"/>
      <c r="CC57"/>
      <c r="CD57"/>
      <c r="CE57"/>
      <c r="CF57" s="59"/>
      <c r="CG57" s="59"/>
      <c r="CH57" s="57"/>
      <c r="CI57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</row>
    <row r="58" spans="3:108" x14ac:dyDescent="0.25">
      <c r="AR58" s="57" t="s">
        <v>198</v>
      </c>
      <c r="BJ58" s="11"/>
      <c r="BK58" s="11"/>
      <c r="BL58"/>
      <c r="BM58" s="58"/>
      <c r="BN58" s="58"/>
      <c r="BO58" s="58"/>
      <c r="BP58" s="58"/>
      <c r="BQ58" s="58"/>
      <c r="BR58" s="58"/>
      <c r="BS58" s="58"/>
      <c r="CA58" s="57"/>
      <c r="CB58" s="59"/>
      <c r="CC58"/>
      <c r="CD58"/>
      <c r="CE58"/>
      <c r="CF58" s="59"/>
      <c r="CG58" s="59"/>
      <c r="CH58" s="57"/>
      <c r="CI58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</row>
    <row r="59" spans="3:108" x14ac:dyDescent="0.25">
      <c r="AR59" s="57" t="s">
        <v>199</v>
      </c>
      <c r="BJ59" s="11"/>
      <c r="BK59" s="11"/>
      <c r="BL59"/>
      <c r="BM59" s="58"/>
      <c r="BN59" s="58"/>
      <c r="BO59" s="58"/>
      <c r="BP59" s="58"/>
      <c r="BQ59" s="58"/>
      <c r="BR59" s="58"/>
      <c r="BS59" s="58"/>
      <c r="CA59" s="57"/>
      <c r="CB59" s="59"/>
      <c r="CC59"/>
      <c r="CD59"/>
      <c r="CE59"/>
      <c r="CF59" s="59"/>
      <c r="CG59" s="59"/>
      <c r="CH59" s="57"/>
      <c r="CI59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</row>
    <row r="60" spans="3:108" x14ac:dyDescent="0.25">
      <c r="AR60" s="57" t="s">
        <v>195</v>
      </c>
      <c r="BJ60" s="11"/>
      <c r="BK60" s="11"/>
      <c r="BL60"/>
      <c r="BM60" s="58"/>
      <c r="BN60" s="58"/>
      <c r="BO60" s="58"/>
      <c r="BP60" s="58"/>
      <c r="BQ60" s="58"/>
      <c r="BR60" s="58"/>
      <c r="BS60" s="58"/>
      <c r="CA60" s="57"/>
      <c r="CB60" s="59"/>
      <c r="CC60"/>
      <c r="CD60"/>
      <c r="CE60"/>
      <c r="CF60" s="59"/>
      <c r="CG60" s="59"/>
      <c r="CH60" s="57"/>
      <c r="CI60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</row>
    <row r="61" spans="3:108" x14ac:dyDescent="0.25">
      <c r="AR61" s="57" t="s">
        <v>200</v>
      </c>
      <c r="BJ61" s="11"/>
      <c r="BK61" s="11"/>
      <c r="BL61"/>
      <c r="BM61" s="58"/>
      <c r="BN61" s="58"/>
      <c r="BO61" s="58"/>
      <c r="BP61" s="58"/>
      <c r="BQ61" s="58"/>
      <c r="BR61" s="58"/>
      <c r="BS61" s="58"/>
      <c r="CA61" s="57"/>
      <c r="CB61" s="59"/>
      <c r="CC61"/>
      <c r="CD61"/>
      <c r="CE61"/>
      <c r="CF61" s="59"/>
      <c r="CG61" s="59"/>
      <c r="CH61" s="57"/>
      <c r="CI61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</row>
    <row r="62" spans="3:108" x14ac:dyDescent="0.25">
      <c r="AR62" s="57" t="s">
        <v>197</v>
      </c>
      <c r="BJ62" s="11"/>
      <c r="BK62" s="11"/>
      <c r="BL62"/>
      <c r="BM62" s="58"/>
      <c r="BN62" s="58"/>
      <c r="BO62" s="58"/>
      <c r="BP62" s="58"/>
      <c r="BQ62" s="58"/>
      <c r="BR62" s="58"/>
      <c r="BS62" s="58"/>
      <c r="CA62" s="57"/>
      <c r="CB62" s="59"/>
      <c r="CC62"/>
      <c r="CD62"/>
      <c r="CE62"/>
      <c r="CF62" s="59"/>
      <c r="CG62" s="59"/>
      <c r="CH62" s="57"/>
      <c r="CI62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</row>
    <row r="63" spans="3:108" x14ac:dyDescent="0.25">
      <c r="BJ63" s="11"/>
      <c r="BK63" s="11"/>
      <c r="BL63"/>
      <c r="BM63" s="58"/>
      <c r="BN63" s="58"/>
      <c r="BO63" s="58"/>
      <c r="BP63" s="58"/>
      <c r="BQ63" s="58"/>
      <c r="BR63" s="58"/>
      <c r="BS63" s="58"/>
      <c r="CA63" s="57"/>
      <c r="CB63" s="59"/>
      <c r="CC63"/>
      <c r="CD63"/>
      <c r="CE63"/>
      <c r="CF63" s="59"/>
      <c r="CG63" s="59"/>
      <c r="CH63" s="57"/>
      <c r="CI63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</row>
    <row r="64" spans="3:108" x14ac:dyDescent="0.25">
      <c r="BJ64" s="11"/>
      <c r="BK64" s="11"/>
      <c r="BL64"/>
      <c r="BM64" s="58"/>
      <c r="BN64" s="58"/>
      <c r="BO64" s="58"/>
      <c r="BP64" s="58"/>
      <c r="BQ64" s="58"/>
      <c r="BR64" s="58"/>
      <c r="BS64" s="58"/>
      <c r="CA64" s="57"/>
      <c r="CB64" s="59"/>
      <c r="CC64"/>
      <c r="CD64"/>
      <c r="CE64"/>
      <c r="CF64" s="59"/>
      <c r="CG64" s="59"/>
      <c r="CH64" s="57"/>
      <c r="CI6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</row>
    <row r="65" spans="62:108" x14ac:dyDescent="0.25">
      <c r="BJ65" s="11"/>
      <c r="BK65" s="11"/>
      <c r="BL65"/>
      <c r="BM65" s="58"/>
      <c r="BN65" s="58"/>
      <c r="BO65" s="58"/>
      <c r="BP65" s="58"/>
      <c r="BQ65" s="58"/>
      <c r="BR65" s="58"/>
      <c r="BS65" s="58"/>
      <c r="CA65" s="57"/>
      <c r="CB65" s="59"/>
      <c r="CC65"/>
      <c r="CD65"/>
      <c r="CE65"/>
      <c r="CF65" s="59"/>
      <c r="CG65" s="59"/>
      <c r="CH65" s="57"/>
      <c r="CI65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</row>
    <row r="66" spans="62:108" x14ac:dyDescent="0.25">
      <c r="BJ66" s="11"/>
      <c r="BK66" s="11"/>
      <c r="BL66"/>
      <c r="BM66" s="58"/>
      <c r="BN66" s="58"/>
      <c r="BO66" s="58"/>
      <c r="BP66" s="58"/>
      <c r="BQ66" s="58"/>
      <c r="BR66" s="58"/>
      <c r="BS66" s="58"/>
      <c r="CA66" s="57"/>
      <c r="CB66" s="59"/>
      <c r="CC66"/>
      <c r="CD66"/>
      <c r="CE66"/>
      <c r="CF66" s="59"/>
      <c r="CG66" s="59"/>
      <c r="CH66" s="57"/>
      <c r="CI66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</row>
    <row r="67" spans="62:108" x14ac:dyDescent="0.25">
      <c r="BJ67" s="11"/>
      <c r="BK67" s="11"/>
      <c r="BL67"/>
      <c r="BM67" s="58"/>
      <c r="BN67" s="58"/>
      <c r="BO67" s="58"/>
      <c r="BP67" s="58"/>
      <c r="BQ67" s="58"/>
      <c r="BR67" s="58"/>
      <c r="BS67" s="58"/>
      <c r="CA67" s="57"/>
      <c r="CB67" s="59"/>
      <c r="CC67"/>
      <c r="CD67"/>
      <c r="CE67"/>
      <c r="CF67" s="59"/>
      <c r="CG67" s="59"/>
      <c r="CH67" s="57"/>
      <c r="CI67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</row>
    <row r="68" spans="62:108" x14ac:dyDescent="0.25">
      <c r="BJ68" s="11"/>
      <c r="BK68" s="11"/>
      <c r="BL68"/>
      <c r="BM68" s="58"/>
      <c r="BN68" s="58"/>
      <c r="BO68" s="58"/>
      <c r="BP68" s="58"/>
      <c r="BQ68" s="58"/>
      <c r="BR68" s="58"/>
      <c r="BS68" s="58"/>
      <c r="CA68" s="57"/>
      <c r="CB68" s="59"/>
      <c r="CC68"/>
      <c r="CD68"/>
      <c r="CE68"/>
      <c r="CF68" s="59"/>
      <c r="CG68" s="59"/>
      <c r="CH68" s="57"/>
      <c r="CI68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</row>
    <row r="69" spans="62:108" x14ac:dyDescent="0.25">
      <c r="BJ69" s="11"/>
      <c r="BK69" s="11"/>
      <c r="BL69"/>
      <c r="BM69" s="58"/>
      <c r="BN69" s="58"/>
      <c r="BO69" s="58"/>
      <c r="BP69" s="58"/>
      <c r="BQ69" s="58"/>
      <c r="BR69" s="58"/>
      <c r="BS69" s="58"/>
      <c r="CA69" s="57"/>
      <c r="CB69" s="59"/>
      <c r="CC69"/>
      <c r="CD69"/>
      <c r="CE69"/>
      <c r="CF69" s="59"/>
      <c r="CG69" s="59"/>
      <c r="CH69" s="57"/>
      <c r="CI69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</row>
    <row r="70" spans="62:108" x14ac:dyDescent="0.25">
      <c r="BJ70" s="11"/>
      <c r="BK70" s="11"/>
      <c r="BL70"/>
      <c r="BM70" s="58"/>
      <c r="BN70" s="58"/>
      <c r="BO70" s="58"/>
      <c r="BP70" s="58"/>
      <c r="BQ70" s="58"/>
      <c r="BR70" s="58"/>
      <c r="BS70" s="58"/>
      <c r="CA70" s="57"/>
      <c r="CB70" s="59"/>
      <c r="CC70"/>
      <c r="CD70"/>
      <c r="CE70"/>
      <c r="CF70" s="59"/>
      <c r="CG70" s="59"/>
      <c r="CH70" s="57"/>
      <c r="CI70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</row>
    <row r="71" spans="62:108" x14ac:dyDescent="0.25">
      <c r="BJ71" s="11"/>
      <c r="BK71" s="11"/>
      <c r="BL71"/>
      <c r="BM71" s="58"/>
      <c r="BN71" s="58"/>
      <c r="BO71" s="58"/>
      <c r="BP71" s="58"/>
      <c r="BQ71" s="58"/>
      <c r="BR71" s="58"/>
      <c r="BS71" s="58"/>
      <c r="CA71" s="57"/>
      <c r="CB71" s="59"/>
      <c r="CC71"/>
      <c r="CD71"/>
      <c r="CE71"/>
      <c r="CF71" s="59"/>
      <c r="CG71" s="59"/>
      <c r="CH71" s="57"/>
      <c r="CI71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</row>
    <row r="72" spans="62:108" x14ac:dyDescent="0.25">
      <c r="BJ72" s="11"/>
      <c r="BK72" s="11"/>
      <c r="BL72"/>
      <c r="BM72" s="58"/>
      <c r="BN72" s="58"/>
      <c r="BO72" s="58"/>
      <c r="BP72" s="58"/>
      <c r="BQ72" s="58"/>
      <c r="BR72" s="58"/>
      <c r="BS72" s="58"/>
      <c r="CA72" s="57"/>
      <c r="CB72" s="59"/>
      <c r="CC72"/>
      <c r="CD72"/>
      <c r="CE72"/>
      <c r="CF72" s="59"/>
      <c r="CG72" s="59"/>
      <c r="CH72" s="57"/>
      <c r="CI72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</row>
    <row r="73" spans="62:108" x14ac:dyDescent="0.25">
      <c r="BJ73" s="11"/>
      <c r="BK73" s="11"/>
      <c r="BL73"/>
      <c r="BM73" s="58"/>
      <c r="BN73" s="58"/>
      <c r="BO73" s="58"/>
      <c r="BP73" s="58"/>
      <c r="BQ73" s="58"/>
      <c r="BR73" s="58"/>
      <c r="BS73" s="58"/>
      <c r="CA73" s="57"/>
      <c r="CB73" s="59"/>
      <c r="CC73"/>
      <c r="CD73"/>
      <c r="CE73"/>
      <c r="CF73" s="59"/>
      <c r="CG73" s="59"/>
      <c r="CH73" s="57"/>
      <c r="CI73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</row>
    <row r="74" spans="62:108" x14ac:dyDescent="0.25">
      <c r="BJ74" s="11"/>
      <c r="BK74" s="11"/>
      <c r="BL74"/>
      <c r="BM74" s="58"/>
      <c r="BN74" s="58"/>
      <c r="BO74" s="58"/>
      <c r="BP74" s="58"/>
      <c r="BQ74" s="58"/>
      <c r="BR74" s="58"/>
      <c r="BS74" s="58"/>
      <c r="CA74" s="57"/>
      <c r="CB74" s="59"/>
      <c r="CC74"/>
      <c r="CD74"/>
      <c r="CE74"/>
      <c r="CF74" s="59"/>
      <c r="CG74" s="59"/>
      <c r="CH74" s="57"/>
      <c r="CI7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</row>
    <row r="75" spans="62:108" x14ac:dyDescent="0.25">
      <c r="BJ75" s="11"/>
      <c r="BK75" s="11"/>
      <c r="BL75"/>
      <c r="BM75" s="58"/>
      <c r="BN75" s="58"/>
      <c r="BO75" s="58"/>
      <c r="BP75" s="58"/>
      <c r="BQ75" s="58"/>
      <c r="BR75" s="58"/>
      <c r="BS75" s="58"/>
      <c r="CA75" s="57"/>
      <c r="CB75" s="59"/>
      <c r="CC75"/>
      <c r="CD75"/>
      <c r="CE75"/>
      <c r="CF75" s="59"/>
      <c r="CG75" s="59"/>
      <c r="CH75" s="57"/>
      <c r="CI75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</row>
    <row r="76" spans="62:108" x14ac:dyDescent="0.25">
      <c r="BJ76" s="11"/>
      <c r="BK76" s="11"/>
      <c r="BL76"/>
      <c r="BM76" s="58"/>
      <c r="BN76" s="58"/>
      <c r="BO76" s="58"/>
      <c r="BP76" s="58"/>
      <c r="BQ76" s="58"/>
      <c r="BR76" s="58"/>
      <c r="BS76" s="58"/>
      <c r="CA76" s="57"/>
      <c r="CB76" s="59"/>
      <c r="CC76"/>
      <c r="CD76"/>
      <c r="CE76"/>
      <c r="CF76" s="59"/>
      <c r="CG76" s="59"/>
      <c r="CH76" s="57"/>
      <c r="CI76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</row>
    <row r="77" spans="62:108" x14ac:dyDescent="0.25">
      <c r="BJ77" s="11"/>
      <c r="BK77" s="11"/>
      <c r="BL77"/>
      <c r="BM77" s="58"/>
      <c r="BN77" s="58"/>
      <c r="BO77" s="58"/>
      <c r="BP77" s="58"/>
      <c r="BQ77" s="58"/>
      <c r="BR77" s="58"/>
      <c r="BS77" s="58"/>
      <c r="CA77" s="57"/>
      <c r="CB77" s="59"/>
      <c r="CC77"/>
      <c r="CD77"/>
      <c r="CE77"/>
      <c r="CF77" s="59"/>
      <c r="CG77" s="59"/>
      <c r="CH77" s="57"/>
      <c r="CI77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</row>
    <row r="78" spans="62:108" x14ac:dyDescent="0.25">
      <c r="BJ78" s="11"/>
      <c r="BK78" s="11"/>
      <c r="BL78"/>
      <c r="BM78" s="58"/>
      <c r="BN78" s="58"/>
      <c r="BO78" s="58"/>
      <c r="BP78" s="58"/>
      <c r="BQ78" s="58"/>
      <c r="BR78" s="58"/>
      <c r="BS78" s="58"/>
      <c r="CA78" s="57"/>
      <c r="CB78" s="59"/>
      <c r="CC78"/>
      <c r="CD78"/>
      <c r="CE78"/>
      <c r="CF78" s="59"/>
      <c r="CG78" s="59"/>
      <c r="CH78" s="57"/>
      <c r="CI78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</row>
    <row r="79" spans="62:108" x14ac:dyDescent="0.25">
      <c r="BJ79" s="11"/>
      <c r="BK79" s="11"/>
      <c r="BL79"/>
      <c r="BM79" s="58"/>
      <c r="BN79" s="58"/>
      <c r="BO79" s="58"/>
      <c r="BP79" s="58"/>
      <c r="BQ79" s="58"/>
      <c r="BR79" s="58"/>
      <c r="BS79" s="58"/>
      <c r="CA79" s="57"/>
      <c r="CB79" s="59"/>
      <c r="CC79"/>
      <c r="CD79"/>
      <c r="CE79"/>
      <c r="CF79" s="59"/>
      <c r="CG79" s="59"/>
      <c r="CH79" s="57"/>
      <c r="CI79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</row>
    <row r="80" spans="62:108" x14ac:dyDescent="0.25">
      <c r="BJ80" s="11"/>
      <c r="BK80" s="11"/>
      <c r="BL80"/>
      <c r="BM80" s="58"/>
      <c r="BN80" s="58"/>
      <c r="BO80" s="58"/>
      <c r="BP80" s="58"/>
      <c r="BQ80" s="58"/>
      <c r="BR80" s="58"/>
      <c r="BS80" s="58"/>
      <c r="CA80" s="57"/>
      <c r="CB80" s="59"/>
      <c r="CC80"/>
      <c r="CD80"/>
      <c r="CE80"/>
      <c r="CF80" s="59"/>
      <c r="CG80" s="59"/>
      <c r="CH80" s="57"/>
      <c r="CI80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</row>
    <row r="81" spans="53:108" x14ac:dyDescent="0.25">
      <c r="BA81" s="57">
        <v>1081717855.4526601</v>
      </c>
      <c r="BJ81" s="11"/>
      <c r="BK81" s="11"/>
      <c r="BL81"/>
      <c r="BM81" s="58"/>
      <c r="BN81" s="58"/>
      <c r="BO81" s="58"/>
      <c r="BP81" s="58"/>
      <c r="BQ81" s="58"/>
      <c r="BR81" s="58"/>
      <c r="BS81" s="58"/>
      <c r="CA81" s="57"/>
      <c r="CB81" s="59"/>
      <c r="CC81"/>
      <c r="CD81"/>
      <c r="CE81"/>
      <c r="CF81" s="59"/>
      <c r="CG81" s="59"/>
      <c r="CH81" s="57"/>
      <c r="CI81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</row>
    <row r="82" spans="53:108" x14ac:dyDescent="0.25">
      <c r="BJ82" s="11"/>
      <c r="BK82" s="11"/>
      <c r="BL82"/>
      <c r="BM82" s="58"/>
      <c r="BN82" s="58"/>
      <c r="BO82" s="58"/>
      <c r="BP82" s="58"/>
      <c r="BQ82" s="58"/>
      <c r="BR82" s="58"/>
      <c r="BS82" s="58"/>
      <c r="CA82" s="57"/>
      <c r="CB82" s="59"/>
      <c r="CC82"/>
      <c r="CD82"/>
      <c r="CE82"/>
      <c r="CF82" s="59"/>
      <c r="CG82" s="59"/>
      <c r="CH82" s="57"/>
      <c r="CI82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</row>
    <row r="83" spans="53:108" x14ac:dyDescent="0.25">
      <c r="BJ83" s="11"/>
      <c r="BK83" s="11"/>
      <c r="BL83"/>
      <c r="BM83" s="58"/>
      <c r="BN83" s="58"/>
      <c r="BO83" s="58"/>
      <c r="BP83" s="58"/>
      <c r="BQ83" s="58"/>
      <c r="BR83" s="58"/>
      <c r="BS83" s="58"/>
      <c r="CA83" s="57"/>
      <c r="CB83" s="59"/>
      <c r="CC83"/>
      <c r="CD83"/>
      <c r="CE83"/>
      <c r="CF83" s="59"/>
      <c r="CG83" s="59"/>
      <c r="CH83" s="57"/>
      <c r="CI83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</row>
    <row r="84" spans="53:108" x14ac:dyDescent="0.25">
      <c r="BJ84" s="11"/>
      <c r="BK84" s="11"/>
      <c r="BL84"/>
      <c r="BM84" s="58"/>
      <c r="BN84" s="58"/>
      <c r="BO84" s="58"/>
      <c r="BP84" s="58"/>
      <c r="BQ84" s="58"/>
      <c r="BR84" s="58"/>
      <c r="BS84" s="58"/>
      <c r="CA84" s="57"/>
      <c r="CB84" s="59"/>
      <c r="CC84"/>
      <c r="CD84"/>
      <c r="CE84"/>
      <c r="CF84" s="59"/>
      <c r="CG84" s="59"/>
      <c r="CH84" s="57"/>
      <c r="CI8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</row>
    <row r="85" spans="53:108" x14ac:dyDescent="0.25">
      <c r="BJ85" s="11"/>
      <c r="BK85" s="11"/>
      <c r="BL85"/>
      <c r="BM85" s="58"/>
      <c r="BN85" s="58"/>
      <c r="BO85" s="58"/>
      <c r="BP85" s="58"/>
      <c r="BQ85" s="58"/>
      <c r="BR85" s="58"/>
      <c r="BS85" s="58"/>
      <c r="CA85" s="57"/>
      <c r="CB85" s="59"/>
      <c r="CC85"/>
      <c r="CD85"/>
      <c r="CE85"/>
      <c r="CF85" s="59"/>
      <c r="CG85" s="59"/>
      <c r="CH85" s="57"/>
      <c r="CI85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</row>
    <row r="86" spans="53:108" x14ac:dyDescent="0.25">
      <c r="BJ86" s="11"/>
      <c r="BK86" s="11"/>
      <c r="BL86"/>
      <c r="BM86" s="58"/>
      <c r="BN86" s="58"/>
      <c r="BO86" s="58"/>
      <c r="BP86" s="58"/>
      <c r="BQ86" s="58"/>
      <c r="BR86" s="58"/>
      <c r="BS86" s="58"/>
      <c r="CA86" s="57"/>
      <c r="CB86" s="59"/>
      <c r="CC86"/>
      <c r="CD86"/>
      <c r="CE86"/>
      <c r="CF86" s="59"/>
      <c r="CG86" s="59"/>
      <c r="CH86" s="57"/>
      <c r="CI86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</row>
    <row r="87" spans="53:108" x14ac:dyDescent="0.25">
      <c r="BJ87" s="11"/>
      <c r="BK87" s="11"/>
      <c r="BL87"/>
      <c r="BM87" s="58"/>
      <c r="BN87" s="58"/>
      <c r="BO87" s="58"/>
      <c r="BP87" s="58"/>
      <c r="BQ87" s="58"/>
      <c r="BR87" s="58"/>
      <c r="BS87" s="58"/>
      <c r="CA87" s="57"/>
      <c r="CB87" s="59"/>
      <c r="CC87"/>
      <c r="CD87"/>
      <c r="CE87"/>
      <c r="CF87" s="59"/>
      <c r="CG87" s="59"/>
      <c r="CH87" s="57"/>
      <c r="CI87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</row>
    <row r="88" spans="53:108" x14ac:dyDescent="0.25">
      <c r="BJ88" s="11"/>
      <c r="BK88" s="11"/>
      <c r="BL88"/>
      <c r="BM88" s="58"/>
      <c r="BN88" s="58"/>
      <c r="BO88" s="58"/>
      <c r="BP88" s="58"/>
      <c r="BQ88" s="58"/>
      <c r="BR88" s="58"/>
      <c r="BS88" s="58"/>
      <c r="CA88" s="57"/>
      <c r="CB88" s="59"/>
      <c r="CC88"/>
      <c r="CD88"/>
      <c r="CE88"/>
      <c r="CF88" s="59"/>
      <c r="CG88" s="59"/>
      <c r="CH88" s="57"/>
      <c r="CI88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</row>
    <row r="89" spans="53:108" x14ac:dyDescent="0.25">
      <c r="BJ89" s="11"/>
      <c r="BK89" s="11"/>
      <c r="BL89"/>
      <c r="BM89" s="58"/>
      <c r="BN89" s="58"/>
      <c r="BO89" s="58"/>
      <c r="BP89" s="58"/>
      <c r="BQ89" s="58"/>
      <c r="BR89" s="58"/>
      <c r="BS89" s="58"/>
      <c r="CA89" s="57"/>
      <c r="CB89" s="59"/>
      <c r="CC89"/>
      <c r="CD89"/>
      <c r="CE89"/>
      <c r="CF89" s="59"/>
      <c r="CG89" s="59"/>
      <c r="CH89" s="57"/>
      <c r="CI89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</row>
    <row r="90" spans="53:108" x14ac:dyDescent="0.25">
      <c r="BJ90" s="11"/>
      <c r="BK90" s="11"/>
      <c r="BL90"/>
      <c r="BM90" s="58"/>
      <c r="BN90" s="58"/>
      <c r="BO90" s="58"/>
      <c r="BP90" s="58"/>
      <c r="BQ90" s="58"/>
      <c r="BR90" s="58"/>
      <c r="BS90" s="58"/>
      <c r="CA90" s="57"/>
      <c r="CB90" s="59"/>
      <c r="CC90"/>
      <c r="CD90"/>
      <c r="CE90"/>
      <c r="CF90" s="59"/>
      <c r="CG90" s="59"/>
      <c r="CH90" s="57"/>
      <c r="CI90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</row>
    <row r="91" spans="53:108" x14ac:dyDescent="0.25">
      <c r="BJ91" s="11"/>
      <c r="BK91" s="11"/>
      <c r="BL91"/>
      <c r="BM91" s="58"/>
      <c r="BN91" s="58"/>
      <c r="BO91" s="58"/>
      <c r="BP91" s="58"/>
      <c r="BQ91" s="58"/>
      <c r="BR91" s="58"/>
      <c r="BS91" s="58"/>
      <c r="CA91" s="57"/>
      <c r="CB91" s="59"/>
      <c r="CC91"/>
      <c r="CD91"/>
      <c r="CE91"/>
      <c r="CF91" s="59"/>
      <c r="CG91" s="59"/>
      <c r="CH91" s="57"/>
      <c r="CI91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</row>
    <row r="92" spans="53:108" x14ac:dyDescent="0.25">
      <c r="BJ92" s="11"/>
      <c r="BK92" s="11"/>
      <c r="BL92"/>
      <c r="BM92" s="58"/>
      <c r="BN92" s="58"/>
      <c r="BO92" s="58"/>
      <c r="BP92" s="58"/>
      <c r="BQ92" s="58"/>
      <c r="BR92" s="58"/>
      <c r="BS92" s="58"/>
      <c r="CA92" s="57"/>
      <c r="CB92" s="59"/>
      <c r="CC92"/>
      <c r="CD92"/>
      <c r="CE92"/>
      <c r="CF92" s="59"/>
      <c r="CG92" s="59"/>
      <c r="CH92" s="57"/>
      <c r="CI92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</row>
    <row r="93" spans="53:108" x14ac:dyDescent="0.25">
      <c r="BJ93" s="11"/>
      <c r="BK93" s="11"/>
      <c r="BL93"/>
      <c r="BM93" s="58"/>
      <c r="BN93" s="58"/>
      <c r="BO93" s="58"/>
      <c r="BP93" s="58"/>
      <c r="BQ93" s="58"/>
      <c r="BR93" s="58"/>
      <c r="BS93" s="58"/>
      <c r="CA93" s="57"/>
      <c r="CB93" s="59"/>
      <c r="CC93"/>
      <c r="CD93"/>
      <c r="CE93"/>
      <c r="CF93" s="59"/>
      <c r="CG93" s="59"/>
      <c r="CH93" s="57"/>
      <c r="CI93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</row>
    <row r="94" spans="53:108" x14ac:dyDescent="0.25">
      <c r="BJ94" s="11"/>
      <c r="BK94" s="11"/>
      <c r="BL94"/>
      <c r="BM94" s="58"/>
      <c r="BN94" s="58"/>
      <c r="BO94" s="58"/>
      <c r="BP94" s="58"/>
      <c r="BQ94" s="58"/>
      <c r="BR94" s="58"/>
      <c r="BS94" s="58"/>
      <c r="CA94" s="57"/>
      <c r="CB94" s="59"/>
      <c r="CC94"/>
      <c r="CD94"/>
      <c r="CE94"/>
      <c r="CF94" s="59"/>
      <c r="CG94" s="59"/>
      <c r="CH94" s="57"/>
      <c r="CI9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</row>
    <row r="95" spans="53:108" x14ac:dyDescent="0.25">
      <c r="BJ95" s="11"/>
      <c r="BK95" s="11"/>
      <c r="BL95"/>
      <c r="BM95" s="58"/>
      <c r="BN95" s="58"/>
      <c r="BO95" s="58"/>
      <c r="BP95" s="58"/>
      <c r="BQ95" s="58"/>
      <c r="BR95" s="58"/>
      <c r="BS95" s="58"/>
      <c r="CA95" s="57"/>
      <c r="CB95" s="59"/>
      <c r="CC95"/>
      <c r="CD95"/>
      <c r="CE95"/>
      <c r="CF95" s="59"/>
      <c r="CG95" s="59"/>
      <c r="CH95" s="57"/>
      <c r="CI95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</row>
    <row r="96" spans="53:108" x14ac:dyDescent="0.25">
      <c r="BJ96" s="11"/>
      <c r="BK96" s="11"/>
      <c r="BL96"/>
      <c r="BM96" s="58"/>
      <c r="BN96" s="58"/>
      <c r="BO96" s="58"/>
      <c r="BP96" s="58"/>
      <c r="BQ96" s="58"/>
      <c r="BR96" s="58"/>
      <c r="BS96" s="58"/>
      <c r="CA96" s="57"/>
      <c r="CB96" s="59"/>
      <c r="CC96"/>
      <c r="CD96"/>
      <c r="CE96"/>
      <c r="CF96" s="59"/>
      <c r="CG96" s="59"/>
      <c r="CH96" s="57"/>
      <c r="CI96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</row>
    <row r="97" spans="62:108" x14ac:dyDescent="0.25">
      <c r="BJ97" s="11"/>
      <c r="BK97" s="11"/>
      <c r="BL97"/>
      <c r="BM97" s="58"/>
      <c r="BN97" s="58"/>
      <c r="BO97" s="58"/>
      <c r="BP97" s="58"/>
      <c r="BQ97" s="58"/>
      <c r="BR97" s="58"/>
      <c r="BS97" s="58"/>
      <c r="CA97" s="57"/>
      <c r="CB97" s="59"/>
      <c r="CC97"/>
      <c r="CD97"/>
      <c r="CE97"/>
      <c r="CF97" s="59"/>
      <c r="CG97" s="59"/>
      <c r="CH97" s="57"/>
      <c r="CI97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</row>
    <row r="98" spans="62:108" x14ac:dyDescent="0.25">
      <c r="BJ98" s="11"/>
      <c r="BK98" s="11"/>
      <c r="BL98"/>
      <c r="BM98" s="58"/>
      <c r="BN98" s="58"/>
      <c r="BO98" s="58"/>
      <c r="BP98" s="58"/>
      <c r="BQ98" s="58"/>
      <c r="BR98" s="58"/>
      <c r="BS98" s="58"/>
      <c r="CA98" s="57"/>
      <c r="CB98" s="59"/>
      <c r="CC98"/>
      <c r="CD98"/>
      <c r="CE98"/>
      <c r="CF98" s="59"/>
      <c r="CG98" s="59"/>
      <c r="CH98" s="57"/>
      <c r="CI98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</row>
    <row r="99" spans="62:108" x14ac:dyDescent="0.25">
      <c r="BJ99" s="11"/>
      <c r="BK99" s="11"/>
      <c r="BL99"/>
      <c r="BM99" s="58"/>
      <c r="BN99" s="58"/>
      <c r="BO99" s="58"/>
      <c r="BP99" s="58"/>
      <c r="BQ99" s="58"/>
      <c r="BR99" s="58"/>
      <c r="BS99" s="58"/>
      <c r="CA99" s="57"/>
      <c r="CB99" s="59"/>
      <c r="CC99"/>
      <c r="CD99"/>
      <c r="CE99"/>
      <c r="CF99" s="59"/>
      <c r="CG99" s="59"/>
      <c r="CH99" s="57"/>
      <c r="CI99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</row>
    <row r="100" spans="62:108" x14ac:dyDescent="0.25">
      <c r="BJ100" s="11"/>
      <c r="BK100" s="11"/>
      <c r="BL100"/>
      <c r="BM100" s="58"/>
      <c r="BN100" s="58"/>
      <c r="BO100" s="58"/>
      <c r="BP100" s="58"/>
      <c r="BQ100" s="58"/>
      <c r="BR100" s="58"/>
      <c r="BS100" s="58"/>
      <c r="CA100" s="57"/>
      <c r="CB100" s="59"/>
      <c r="CC100"/>
      <c r="CD100"/>
      <c r="CE100"/>
      <c r="CF100" s="59"/>
      <c r="CG100" s="59"/>
      <c r="CH100" s="57"/>
      <c r="CI100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</row>
    <row r="101" spans="62:108" x14ac:dyDescent="0.25">
      <c r="BJ101" s="11"/>
      <c r="BK101" s="11"/>
      <c r="BL101"/>
      <c r="BM101" s="58"/>
      <c r="BN101" s="58"/>
      <c r="BO101" s="58"/>
      <c r="BP101" s="58"/>
      <c r="BQ101" s="58"/>
      <c r="BR101" s="58"/>
      <c r="BS101" s="58"/>
      <c r="CA101" s="57"/>
      <c r="CB101" s="59"/>
      <c r="CC101"/>
      <c r="CD101"/>
      <c r="CE101"/>
      <c r="CF101" s="59"/>
      <c r="CG101" s="59"/>
      <c r="CH101" s="57"/>
      <c r="CI101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</row>
    <row r="102" spans="62:108" x14ac:dyDescent="0.25">
      <c r="BJ102" s="11"/>
      <c r="BK102" s="11"/>
      <c r="BL102"/>
      <c r="BM102" s="58"/>
      <c r="BN102" s="58"/>
      <c r="BO102" s="58"/>
      <c r="BP102" s="58"/>
      <c r="BQ102" s="58"/>
      <c r="BR102" s="58"/>
      <c r="BS102" s="58"/>
      <c r="CA102" s="57"/>
      <c r="CB102" s="59"/>
      <c r="CC102"/>
      <c r="CD102"/>
      <c r="CE102"/>
      <c r="CF102" s="59"/>
      <c r="CG102" s="59"/>
      <c r="CH102" s="57"/>
      <c r="CI102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</row>
    <row r="103" spans="62:108" x14ac:dyDescent="0.25">
      <c r="BJ103" s="11"/>
      <c r="BK103" s="11"/>
      <c r="BL103"/>
      <c r="BM103" s="58"/>
      <c r="BN103" s="58"/>
      <c r="BO103" s="58"/>
      <c r="BP103" s="58"/>
      <c r="BQ103" s="58"/>
      <c r="BR103" s="58"/>
      <c r="BS103" s="58"/>
      <c r="CA103" s="57"/>
      <c r="CB103" s="59"/>
      <c r="CC103"/>
      <c r="CD103"/>
      <c r="CE103"/>
      <c r="CF103" s="59"/>
      <c r="CG103" s="59"/>
      <c r="CH103" s="57"/>
      <c r="CI103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</row>
    <row r="104" spans="62:108" x14ac:dyDescent="0.25">
      <c r="BJ104" s="11"/>
      <c r="BK104" s="11"/>
      <c r="BL104"/>
      <c r="BM104" s="58"/>
      <c r="BN104" s="58"/>
      <c r="BO104" s="58"/>
      <c r="BP104" s="58"/>
      <c r="BQ104" s="58"/>
      <c r="BR104" s="58"/>
      <c r="BS104" s="58"/>
      <c r="CA104" s="57"/>
      <c r="CB104" s="59"/>
      <c r="CC104"/>
      <c r="CD104"/>
      <c r="CE104"/>
      <c r="CF104" s="59"/>
      <c r="CG104" s="59"/>
      <c r="CH104" s="57"/>
      <c r="CI10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</row>
    <row r="105" spans="62:108" x14ac:dyDescent="0.25">
      <c r="BJ105" s="11"/>
      <c r="BK105" s="11"/>
      <c r="BL105"/>
      <c r="BM105" s="58"/>
      <c r="BN105" s="58"/>
      <c r="BO105" s="58"/>
      <c r="BP105" s="58"/>
      <c r="BQ105" s="58"/>
      <c r="BR105" s="58"/>
      <c r="BS105" s="58"/>
      <c r="CA105" s="57"/>
      <c r="CB105" s="59"/>
      <c r="CC105"/>
      <c r="CD105"/>
      <c r="CE105"/>
      <c r="CF105" s="59"/>
      <c r="CG105" s="59"/>
      <c r="CH105" s="57"/>
      <c r="CI105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</row>
    <row r="106" spans="62:108" x14ac:dyDescent="0.25">
      <c r="BJ106" s="11"/>
      <c r="BK106" s="11"/>
      <c r="BL106"/>
      <c r="BM106" s="58"/>
      <c r="BN106" s="58"/>
      <c r="BO106" s="58"/>
      <c r="BP106" s="58"/>
      <c r="BQ106" s="58"/>
      <c r="BR106" s="58"/>
      <c r="BS106" s="58"/>
      <c r="CA106" s="57"/>
      <c r="CB106" s="59"/>
      <c r="CC106"/>
      <c r="CD106"/>
      <c r="CE106"/>
      <c r="CF106" s="59"/>
      <c r="CG106" s="59"/>
      <c r="CH106" s="57"/>
      <c r="CI106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</row>
    <row r="107" spans="62:108" x14ac:dyDescent="0.25">
      <c r="BJ107" s="11"/>
      <c r="BK107" s="11"/>
      <c r="BL107"/>
      <c r="BM107" s="58"/>
      <c r="BN107" s="58"/>
      <c r="BO107" s="58"/>
      <c r="BP107" s="58"/>
      <c r="BQ107" s="58"/>
      <c r="BR107" s="58"/>
      <c r="BS107" s="58"/>
      <c r="CA107" s="57"/>
      <c r="CB107" s="59"/>
      <c r="CC107"/>
      <c r="CD107"/>
      <c r="CE107"/>
      <c r="CF107" s="59"/>
      <c r="CG107" s="59"/>
      <c r="CH107" s="57"/>
      <c r="CI107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</row>
    <row r="108" spans="62:108" x14ac:dyDescent="0.25">
      <c r="BJ108" s="11"/>
      <c r="BK108" s="11"/>
      <c r="BL108"/>
      <c r="BM108" s="58"/>
      <c r="BN108" s="58"/>
      <c r="BO108" s="58"/>
      <c r="BP108" s="58"/>
      <c r="BQ108" s="58"/>
      <c r="BR108" s="58"/>
      <c r="BS108" s="58"/>
      <c r="CA108" s="57"/>
      <c r="CB108" s="59"/>
      <c r="CC108"/>
      <c r="CD108"/>
      <c r="CE108"/>
      <c r="CF108" s="59"/>
      <c r="CG108" s="59"/>
      <c r="CH108" s="57"/>
      <c r="CI108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</row>
    <row r="109" spans="62:108" x14ac:dyDescent="0.25">
      <c r="BJ109" s="11"/>
      <c r="BK109" s="11"/>
      <c r="BL109"/>
      <c r="BM109" s="58"/>
      <c r="BN109" s="58"/>
      <c r="BO109" s="58"/>
      <c r="BP109" s="58"/>
      <c r="BQ109" s="58"/>
      <c r="BR109" s="58"/>
      <c r="BS109" s="58"/>
      <c r="CA109" s="57"/>
      <c r="CB109" s="59"/>
      <c r="CC109"/>
      <c r="CD109"/>
      <c r="CE109"/>
      <c r="CF109" s="59"/>
      <c r="CG109" s="59"/>
      <c r="CH109" s="57"/>
      <c r="CI109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</row>
    <row r="110" spans="62:108" x14ac:dyDescent="0.25">
      <c r="BJ110" s="11"/>
      <c r="BK110" s="11"/>
      <c r="BL110"/>
      <c r="BM110" s="58"/>
      <c r="BN110" s="58"/>
      <c r="BO110" s="58"/>
      <c r="BP110" s="58"/>
      <c r="BQ110" s="58"/>
      <c r="BR110" s="58"/>
      <c r="BS110" s="58"/>
      <c r="CA110" s="57"/>
      <c r="CB110" s="59"/>
      <c r="CC110"/>
      <c r="CD110"/>
      <c r="CE110"/>
      <c r="CF110" s="59"/>
      <c r="CG110" s="59"/>
      <c r="CH110" s="57"/>
      <c r="CI110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</row>
    <row r="111" spans="62:108" x14ac:dyDescent="0.25">
      <c r="BJ111" s="11"/>
      <c r="BK111" s="11"/>
      <c r="BL111"/>
      <c r="BM111" s="58"/>
      <c r="BN111" s="58"/>
      <c r="BO111" s="58"/>
      <c r="BP111" s="58"/>
      <c r="BQ111" s="58"/>
      <c r="BR111" s="58"/>
      <c r="BS111" s="58"/>
      <c r="CA111" s="57"/>
      <c r="CB111" s="59"/>
      <c r="CC111"/>
      <c r="CD111"/>
      <c r="CE111"/>
      <c r="CF111" s="59"/>
      <c r="CG111" s="59"/>
      <c r="CH111" s="57"/>
      <c r="CI111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</row>
    <row r="112" spans="62:108" x14ac:dyDescent="0.25">
      <c r="BJ112" s="11"/>
      <c r="BK112" s="11"/>
      <c r="BL112"/>
      <c r="BM112" s="58"/>
      <c r="BN112" s="58"/>
      <c r="BO112" s="58"/>
      <c r="BP112" s="58"/>
      <c r="BQ112" s="58"/>
      <c r="BR112" s="58"/>
      <c r="BS112" s="58"/>
      <c r="CA112" s="57"/>
      <c r="CB112" s="59"/>
      <c r="CC112"/>
      <c r="CD112"/>
      <c r="CE112"/>
      <c r="CF112" s="59"/>
      <c r="CG112" s="59"/>
      <c r="CH112" s="57"/>
      <c r="CI112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</row>
    <row r="113" spans="62:108" x14ac:dyDescent="0.25">
      <c r="BJ113" s="11"/>
      <c r="BK113" s="11"/>
      <c r="BL113"/>
      <c r="BM113" s="58"/>
      <c r="BN113" s="58"/>
      <c r="BO113" s="58"/>
      <c r="BP113" s="58"/>
      <c r="BQ113" s="58"/>
      <c r="BR113" s="58"/>
      <c r="BS113" s="58"/>
      <c r="CA113" s="57"/>
      <c r="CB113" s="59"/>
      <c r="CC113"/>
      <c r="CD113"/>
      <c r="CE113"/>
      <c r="CF113" s="59"/>
      <c r="CG113" s="59"/>
      <c r="CH113" s="57"/>
      <c r="CI113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</row>
    <row r="114" spans="62:108" x14ac:dyDescent="0.25">
      <c r="BJ114" s="11"/>
      <c r="BK114" s="11"/>
      <c r="BL114"/>
      <c r="BM114" s="58"/>
      <c r="BN114" s="58"/>
      <c r="BO114" s="58"/>
      <c r="BP114" s="58"/>
      <c r="BQ114" s="58"/>
      <c r="BR114" s="58"/>
      <c r="BS114" s="58"/>
      <c r="CA114" s="57"/>
      <c r="CB114" s="59"/>
      <c r="CC114"/>
      <c r="CD114"/>
      <c r="CE114"/>
      <c r="CF114" s="59"/>
      <c r="CG114" s="59"/>
      <c r="CH114" s="57"/>
      <c r="CI11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</row>
  </sheetData>
  <mergeCells count="11">
    <mergeCell ref="CJ4:CO4"/>
    <mergeCell ref="CX3:CZ3"/>
    <mergeCell ref="DA3:DC3"/>
    <mergeCell ref="BE4:BJ4"/>
    <mergeCell ref="BK4:BL4"/>
    <mergeCell ref="BN4:BO4"/>
    <mergeCell ref="BQ4:BR4"/>
    <mergeCell ref="BT4:BU4"/>
    <mergeCell ref="BV4:BX4"/>
    <mergeCell ref="BZ4:CA4"/>
    <mergeCell ref="CD4:CI4"/>
  </mergeCells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MFP-rsum (2)</vt:lpstr>
      <vt:lpstr>MFP-rsum</vt:lpstr>
      <vt:lpstr>MFP-PDF_Avg_Original</vt:lpstr>
      <vt:lpstr>MFP-PDF_All (3)</vt:lpstr>
      <vt:lpstr>MFP-PDF_Avg</vt:lpstr>
      <vt:lpstr>MFP-PDF_All (2)</vt:lpstr>
      <vt:lpstr>Sheet4</vt:lpstr>
      <vt:lpstr>MFP-PDF_Avg (2)</vt:lpstr>
      <vt:lpstr>Sheet1</vt:lpstr>
      <vt:lpstr>AvgSchemeTest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Numbers</dc:creator>
  <cp:lastModifiedBy>Jacob Numbers</cp:lastModifiedBy>
  <dcterms:created xsi:type="dcterms:W3CDTF">2024-02-27T14:20:59Z</dcterms:created>
  <dcterms:modified xsi:type="dcterms:W3CDTF">2025-08-21T19:10:15Z</dcterms:modified>
</cp:coreProperties>
</file>