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Shubham Bhole\Documents\"/>
    </mc:Choice>
  </mc:AlternateContent>
  <xr:revisionPtr revIDLastSave="0" documentId="13_ncr:1_{1583905D-C0F4-4CAC-8D5C-46C5F2FFE0B7}" xr6:coauthVersionLast="47" xr6:coauthVersionMax="47" xr10:uidLastSave="{00000000-0000-0000-0000-000000000000}"/>
  <bookViews>
    <workbookView xWindow="-108" yWindow="-108" windowWidth="16536" windowHeight="8832" activeTab="2" xr2:uid="{00000000-000D-0000-FFFF-FFFF00000000}"/>
  </bookViews>
  <sheets>
    <sheet name="SOI" sheetId="1" r:id="rId1"/>
    <sheet name="P &amp; L" sheetId="2" r:id="rId2"/>
    <sheet name="Bal -sheet" sheetId="3" r:id="rId3"/>
    <sheet name="tax dep" sheetId="4" r:id="rId4"/>
  </sheets>
  <definedNames>
    <definedName name="_xlnm.Print_Area" localSheetId="1">'P &amp; L'!$A$1:$D$21</definedName>
    <definedName name="_xlnm.Print_Area" localSheetId="0">SOI!$A$1:$C$43</definedName>
  </definedNames>
  <calcPr calcId="181029"/>
  <extLst>
    <ext uri="GoogleSheetsCustomDataVersion1">
      <go:sheetsCustomData xmlns:go="http://customooxmlschemas.google.com/" r:id="" roundtripDataSignature="AMtx7miv93eHFT4FrGP+Ld5/p+ocpWXdFA=="/>
    </ext>
  </extLst>
</workbook>
</file>

<file path=xl/calcChain.xml><?xml version="1.0" encoding="utf-8"?>
<calcChain xmlns="http://schemas.openxmlformats.org/spreadsheetml/2006/main">
  <c r="B41" i="3" l="1"/>
  <c r="B5" i="3"/>
  <c r="D29" i="3" l="1"/>
  <c r="D30" i="3" s="1"/>
  <c r="D34" i="3"/>
  <c r="E51" i="3"/>
  <c r="B40" i="3"/>
  <c r="B4" i="3"/>
  <c r="D38" i="3"/>
  <c r="E38" i="3" s="1"/>
  <c r="D25" i="3"/>
  <c r="E25" i="3" s="1"/>
  <c r="D22" i="3"/>
  <c r="E22" i="3" s="1"/>
  <c r="D19" i="3"/>
  <c r="E19" i="3" s="1"/>
  <c r="D35" i="3" l="1"/>
  <c r="E35" i="3" s="1"/>
  <c r="E30" i="3"/>
  <c r="D15" i="3"/>
  <c r="C38" i="1"/>
  <c r="C29" i="1"/>
  <c r="B6" i="2"/>
  <c r="E49" i="3"/>
  <c r="E15" i="4"/>
  <c r="B32" i="3"/>
  <c r="B15" i="2"/>
  <c r="B16" i="2"/>
  <c r="B14" i="2"/>
  <c r="B13" i="2"/>
  <c r="B12" i="2"/>
  <c r="B11" i="2"/>
  <c r="B10" i="2"/>
  <c r="B9" i="2"/>
  <c r="B8" i="2"/>
  <c r="B7" i="2"/>
  <c r="D6" i="2"/>
  <c r="D16" i="3" l="1"/>
  <c r="E16" i="3" l="1"/>
  <c r="F14" i="4"/>
  <c r="G14" i="4" s="1"/>
  <c r="H14" i="4" l="1"/>
  <c r="D16" i="4" l="1"/>
  <c r="F15" i="4"/>
  <c r="F13" i="4"/>
  <c r="F12" i="4"/>
  <c r="G12" i="4" s="1"/>
  <c r="H12" i="4" s="1"/>
  <c r="F11" i="4"/>
  <c r="G11" i="4" s="1"/>
  <c r="H11" i="4" s="1"/>
  <c r="E10" i="4"/>
  <c r="F10" i="4" s="1"/>
  <c r="F9" i="4"/>
  <c r="F8" i="4"/>
  <c r="E6" i="4"/>
  <c r="E50" i="3"/>
  <c r="D41" i="3"/>
  <c r="D20" i="2"/>
  <c r="E41" i="3" l="1"/>
  <c r="E54" i="3" s="1"/>
  <c r="B17" i="2"/>
  <c r="F6" i="4"/>
  <c r="G6" i="4" s="1"/>
  <c r="E16" i="4"/>
  <c r="G13" i="4"/>
  <c r="H13" i="4" s="1"/>
  <c r="F7" i="4"/>
  <c r="G15" i="4"/>
  <c r="H15" i="4" s="1"/>
  <c r="G8" i="4"/>
  <c r="H8" i="4" s="1"/>
  <c r="G9" i="4"/>
  <c r="H9" i="4" s="1"/>
  <c r="G10" i="4"/>
  <c r="H10" i="4" s="1"/>
  <c r="B10" i="1" l="1"/>
  <c r="H6" i="4"/>
  <c r="F16" i="4"/>
  <c r="G7" i="4"/>
  <c r="H7" i="4" s="1"/>
  <c r="B18" i="2" l="1"/>
  <c r="B9" i="1" s="1"/>
  <c r="H16" i="4"/>
  <c r="G16" i="4"/>
  <c r="B11" i="1" s="1"/>
  <c r="B20" i="2" l="1"/>
  <c r="E5" i="3"/>
  <c r="E8" i="3" s="1"/>
  <c r="B7" i="3" s="1"/>
  <c r="B8" i="3" s="1"/>
  <c r="C11" i="1"/>
  <c r="C21" i="1" s="1"/>
  <c r="B13" i="3" l="1"/>
  <c r="B54" i="3" s="1"/>
  <c r="C30" i="1"/>
  <c r="C32" i="1" s="1"/>
  <c r="C34" i="1" l="1"/>
  <c r="C35" i="1" s="1"/>
  <c r="C39" i="1" s="1"/>
</calcChain>
</file>

<file path=xl/sharedStrings.xml><?xml version="1.0" encoding="utf-8"?>
<sst xmlns="http://schemas.openxmlformats.org/spreadsheetml/2006/main" count="140" uniqueCount="115">
  <si>
    <t>RAKESH KUMAR JAYARAM SINGH</t>
  </si>
  <si>
    <t>PAN: BTDPS8540N</t>
  </si>
  <si>
    <t xml:space="preserve">SHOP NO.7 , KOLBAD NAKA </t>
  </si>
  <si>
    <t>INS MARG</t>
  </si>
  <si>
    <t>THANE - 400602</t>
  </si>
  <si>
    <t>INDIVIDUAL / RESIDENT</t>
  </si>
  <si>
    <t>STATEMENT OF INCOME</t>
  </si>
  <si>
    <t>RUPEES</t>
  </si>
  <si>
    <t>BUSINESS INCOME</t>
  </si>
  <si>
    <t>Net Profit as per Profit &amp; Loss A/c</t>
  </si>
  <si>
    <t>Add: Book Depreciation</t>
  </si>
  <si>
    <t>Less: Tax Depreciation</t>
  </si>
  <si>
    <t>INCOME FROM HOUSE PROPERTY</t>
  </si>
  <si>
    <t>Interest on housing loan</t>
  </si>
  <si>
    <t>INCOME FROM OTHER SOURCES</t>
  </si>
  <si>
    <t>Bank interest</t>
  </si>
  <si>
    <t>EXEMPTED INCOME</t>
  </si>
  <si>
    <t>Agriculture income</t>
  </si>
  <si>
    <t>GROSS TAXABLE INCOME</t>
  </si>
  <si>
    <t>Less : Deductions under chp. VIA</t>
  </si>
  <si>
    <t>TOTAL TAXABLE INCOME</t>
  </si>
  <si>
    <t>Total Tax Payable</t>
  </si>
  <si>
    <t>Tax with Cess</t>
  </si>
  <si>
    <t>Tax Payable</t>
  </si>
  <si>
    <t>RAKESH KUMAR JAYARAM SINGH ( PROP: Adishakti Enterprises)</t>
  </si>
  <si>
    <t>`</t>
  </si>
  <si>
    <t>PARTICULARS</t>
  </si>
  <si>
    <t>AMOUNT</t>
  </si>
  <si>
    <t>To Opening Stock</t>
  </si>
  <si>
    <t>By Labour Contractor</t>
  </si>
  <si>
    <t>By Closing Stock</t>
  </si>
  <si>
    <t>To Conveyance</t>
  </si>
  <si>
    <t>To Electricity charegs</t>
  </si>
  <si>
    <t>To Office Exp</t>
  </si>
  <si>
    <t>To Communication Exp</t>
  </si>
  <si>
    <t>To Advertisement</t>
  </si>
  <si>
    <t>To Salaries</t>
  </si>
  <si>
    <t>To Printing &amp; stationery</t>
  </si>
  <si>
    <t>To Staff Welfare</t>
  </si>
  <si>
    <t>To Vehicle Exp</t>
  </si>
  <si>
    <t>To Misc Exps</t>
  </si>
  <si>
    <t>To Depreciation</t>
  </si>
  <si>
    <t>To Net Profit</t>
  </si>
  <si>
    <t xml:space="preserve">PARTICULARS </t>
  </si>
  <si>
    <t>To Drawings</t>
  </si>
  <si>
    <t>By Balance b/d</t>
  </si>
  <si>
    <t>To Int on housing loan &amp; other expenses</t>
  </si>
  <si>
    <t>By Net Profit</t>
  </si>
  <si>
    <t>other expenses</t>
  </si>
  <si>
    <t>To Balance C/d</t>
  </si>
  <si>
    <t>LIABILITIES</t>
  </si>
  <si>
    <t>ASSETS</t>
  </si>
  <si>
    <t>CAPITAL A/C</t>
  </si>
  <si>
    <t xml:space="preserve">FIXED ASSETS </t>
  </si>
  <si>
    <t>Rakesh Singh</t>
  </si>
  <si>
    <t>Printer</t>
  </si>
  <si>
    <t>Add: addition</t>
  </si>
  <si>
    <t>Less : Dep</t>
  </si>
  <si>
    <t>Computer</t>
  </si>
  <si>
    <t>Furniture</t>
  </si>
  <si>
    <t>Machinery</t>
  </si>
  <si>
    <t>vehicle</t>
  </si>
  <si>
    <t>less: dep</t>
  </si>
  <si>
    <t>Air Conditoner</t>
  </si>
  <si>
    <t>Bike -1</t>
  </si>
  <si>
    <t>Sundry creditors</t>
  </si>
  <si>
    <t>Bike -2</t>
  </si>
  <si>
    <t>Office Flat</t>
  </si>
  <si>
    <t>Flat In Mira Road</t>
  </si>
  <si>
    <t xml:space="preserve">CURRENT ASSETS </t>
  </si>
  <si>
    <t>LOAN &amp; ADVANCE</t>
  </si>
  <si>
    <t>Cash &amp; Bank Balance</t>
  </si>
  <si>
    <t>Closing Stock</t>
  </si>
  <si>
    <t>sundry debtors</t>
  </si>
  <si>
    <t>FIXED ASSETS SCHEDULE</t>
  </si>
  <si>
    <t>Sr</t>
  </si>
  <si>
    <t>Items</t>
  </si>
  <si>
    <t>Dep</t>
  </si>
  <si>
    <t xml:space="preserve">W D V </t>
  </si>
  <si>
    <t>Additions</t>
  </si>
  <si>
    <t>Total</t>
  </si>
  <si>
    <t xml:space="preserve"> W. D. V. on </t>
  </si>
  <si>
    <t>No</t>
  </si>
  <si>
    <t>Rate</t>
  </si>
  <si>
    <t>Bike 1</t>
  </si>
  <si>
    <t>Bike 2</t>
  </si>
  <si>
    <t>office flat</t>
  </si>
  <si>
    <t>-</t>
  </si>
  <si>
    <t>U/s 234C</t>
  </si>
  <si>
    <t>U/s  234B</t>
  </si>
  <si>
    <t xml:space="preserve">Rounded off </t>
  </si>
  <si>
    <t>Flat in Mira road</t>
  </si>
  <si>
    <t>To  Labour charges</t>
  </si>
  <si>
    <t>home loan &amp; others</t>
  </si>
  <si>
    <t>Loans &amp; Liabilities</t>
  </si>
  <si>
    <t>Current Liabilities</t>
  </si>
  <si>
    <t>A.Y : 2022-23</t>
  </si>
  <si>
    <t>P.Y : 2021-22</t>
  </si>
  <si>
    <t>PROFIT &amp; LOSS A/C FOR YEAR  ENDED 31ST MARCH 2022</t>
  </si>
  <si>
    <t>CAPITAL A/C FOR YEAR ENDED 31ST MARCH 2022</t>
  </si>
  <si>
    <t>BALANCE SHEET AS ON 31 ST MARCH 2022</t>
  </si>
  <si>
    <t>ACCOUNTING YEAR ENDED 31ST MARCH, 2022</t>
  </si>
  <si>
    <t>01.04.21</t>
  </si>
  <si>
    <t>31.03.22</t>
  </si>
  <si>
    <t>Add:</t>
  </si>
  <si>
    <r>
      <rPr>
        <b/>
        <sz val="12"/>
        <color theme="1"/>
        <rFont val="Bookman Old Style"/>
        <family val="1"/>
      </rPr>
      <t xml:space="preserve"> 80 C:</t>
    </r>
    <r>
      <rPr>
        <sz val="12"/>
        <color theme="1"/>
        <rFont val="Bookman Old Style"/>
        <family val="1"/>
      </rPr>
      <t xml:space="preserve"> Lic &amp; Housing loan</t>
    </r>
  </si>
  <si>
    <r>
      <rPr>
        <b/>
        <sz val="12"/>
        <color theme="1"/>
        <rFont val="Bookman Old Style"/>
        <family val="1"/>
      </rPr>
      <t>80 D :</t>
    </r>
    <r>
      <rPr>
        <sz val="12"/>
        <color theme="1"/>
        <rFont val="Bookman Old Style"/>
        <family val="1"/>
      </rPr>
      <t xml:space="preserve"> Mediclaim</t>
    </r>
  </si>
  <si>
    <r>
      <rPr>
        <b/>
        <sz val="12"/>
        <color theme="1"/>
        <rFont val="Bookman Old Style"/>
        <family val="1"/>
      </rPr>
      <t>80 DD :</t>
    </r>
    <r>
      <rPr>
        <sz val="12"/>
        <color theme="1"/>
        <rFont val="Bookman Old Style"/>
        <family val="1"/>
      </rPr>
      <t xml:space="preserve"> Medical treatment of a dependent</t>
    </r>
  </si>
  <si>
    <r>
      <rPr>
        <b/>
        <sz val="12"/>
        <color theme="1"/>
        <rFont val="Bookman Old Style"/>
        <family val="1"/>
      </rPr>
      <t>80DDB :</t>
    </r>
    <r>
      <rPr>
        <sz val="12"/>
        <color theme="1"/>
        <rFont val="Bookman Old Style"/>
        <family val="1"/>
      </rPr>
      <t xml:space="preserve"> medical treatment of dependent </t>
    </r>
  </si>
  <si>
    <r>
      <rPr>
        <b/>
        <sz val="12"/>
        <color theme="1"/>
        <rFont val="Bookman Old Style"/>
        <family val="1"/>
      </rPr>
      <t>80E :</t>
    </r>
    <r>
      <rPr>
        <sz val="12"/>
        <color theme="1"/>
        <rFont val="Bookman Old Style"/>
        <family val="1"/>
      </rPr>
      <t xml:space="preserve"> int on education </t>
    </r>
  </si>
  <si>
    <r>
      <rPr>
        <b/>
        <sz val="12"/>
        <color theme="1"/>
        <rFont val="Bookman Old Style"/>
        <family val="1"/>
      </rPr>
      <t>80 GG:</t>
    </r>
    <r>
      <rPr>
        <sz val="12"/>
        <color theme="1"/>
        <rFont val="Bookman Old Style"/>
        <family val="1"/>
      </rPr>
      <t xml:space="preserve"> Rent</t>
    </r>
  </si>
  <si>
    <r>
      <rPr>
        <b/>
        <sz val="12"/>
        <color theme="1"/>
        <rFont val="Bookman Old Style"/>
        <family val="1"/>
      </rPr>
      <t>Less:</t>
    </r>
    <r>
      <rPr>
        <sz val="12"/>
        <color theme="1"/>
        <rFont val="Bookman Old Style"/>
        <family val="1"/>
      </rPr>
      <t xml:space="preserve"> Rebate on agriculture income</t>
    </r>
  </si>
  <si>
    <r>
      <rPr>
        <b/>
        <sz val="12"/>
        <color theme="1"/>
        <rFont val="Bookman Old Style"/>
        <family val="1"/>
      </rPr>
      <t>Add</t>
    </r>
    <r>
      <rPr>
        <sz val="12"/>
        <color theme="1"/>
        <rFont val="Bookman Old Style"/>
        <family val="1"/>
      </rPr>
      <t>:  Education cess</t>
    </r>
  </si>
  <si>
    <r>
      <rPr>
        <b/>
        <sz val="12"/>
        <color theme="1"/>
        <rFont val="Bookman Old Style"/>
        <family val="1"/>
      </rPr>
      <t>Add:</t>
    </r>
    <r>
      <rPr>
        <sz val="12"/>
        <color theme="1"/>
        <rFont val="Bookman Old Style"/>
        <family val="1"/>
      </rPr>
      <t xml:space="preserve">  Interest payable </t>
    </r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</si>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</sst>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theme="1"/>
      <name val="Bookman Old Style"/>
    </font>
    <font>
      <i/>
      <sz val="11"/>
      <color theme="1"/>
      <name val="Calibri"/>
    </font>
    <font>
      <b/>
      <sz val="12"/>
      <color theme="1"/>
      <name val="Bookman Old Style"/>
    </font>
    <font>
      <b/>
      <u/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u/>
      <sz val="11"/>
      <color theme="1"/>
      <name val="Bookman Old Style"/>
      <family val="1"/>
    </font>
    <font>
      <b/>
      <u/>
      <sz val="11"/>
      <color theme="1"/>
      <name val="Calibri"/>
      <family val="2"/>
    </font>
    <font>
      <b/>
      <u/>
      <sz val="12"/>
      <color theme="1"/>
      <name val="Bookman Old Style"/>
      <family val="1"/>
    </font>
    <font>
      <b/>
      <sz val="11"/>
      <color theme="1"/>
      <name val="Calibri"/>
      <family val="2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i/>
      <sz val="12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4" fillId="0" borderId="1" xfId="0" applyFont="1" applyBorder="1"/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/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9" fontId="2" fillId="0" borderId="7" xfId="0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9" fillId="0" borderId="4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" fontId="0" fillId="0" borderId="0" xfId="0" applyNumberFormat="1"/>
    <xf numFmtId="0" fontId="17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6" xfId="0" applyFont="1" applyBorder="1"/>
    <xf numFmtId="0" fontId="18" fillId="0" borderId="6" xfId="0" applyFont="1" applyBorder="1" applyAlignment="1">
      <alignment horizontal="left"/>
    </xf>
    <xf numFmtId="0" fontId="17" fillId="0" borderId="0" xfId="0" applyFont="1"/>
    <xf numFmtId="0" fontId="18" fillId="0" borderId="1" xfId="0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" fontId="17" fillId="0" borderId="2" xfId="0" applyNumberFormat="1" applyFont="1" applyBorder="1" applyAlignment="1">
      <alignment horizontal="center"/>
    </xf>
    <xf numFmtId="0" fontId="18" fillId="0" borderId="1" xfId="0" applyFont="1" applyBorder="1"/>
    <xf numFmtId="0" fontId="19" fillId="0" borderId="0" xfId="0" applyFont="1" applyAlignment="1">
      <alignment horizontal="center"/>
    </xf>
    <xf numFmtId="1" fontId="18" fillId="0" borderId="9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1" fontId="17" fillId="0" borderId="3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34" workbookViewId="0">
      <selection activeCell="C11" sqref="C11"/>
    </sheetView>
  </sheetViews>
  <sheetFormatPr defaultColWidth="12.59765625" defaultRowHeight="15" customHeight="1" x14ac:dyDescent="0.25"/>
  <cols>
    <col min="1" max="1" width="40.09765625" customWidth="1"/>
    <col min="2" max="2" width="12.5" customWidth="1"/>
    <col min="3" max="3" width="11.09765625" customWidth="1"/>
    <col min="4" max="7" width="8" customWidth="1"/>
    <col min="8" max="26" width="7.59765625" customWidth="1"/>
  </cols>
  <sheetData>
    <row r="1" spans="1:26" ht="15.6" x14ac:dyDescent="0.3">
      <c r="A1" s="58" t="s">
        <v>0</v>
      </c>
      <c r="B1" s="59" t="s">
        <v>1</v>
      </c>
      <c r="C1" s="5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58" t="s">
        <v>2</v>
      </c>
      <c r="B2" s="59" t="s">
        <v>96</v>
      </c>
      <c r="C2" s="5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x14ac:dyDescent="0.3">
      <c r="A3" s="58" t="s">
        <v>3</v>
      </c>
      <c r="B3" s="59" t="s">
        <v>97</v>
      </c>
      <c r="C3" s="5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x14ac:dyDescent="0.3">
      <c r="A4" s="60" t="s">
        <v>4</v>
      </c>
      <c r="B4" s="61" t="s">
        <v>5</v>
      </c>
      <c r="C4" s="6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6" x14ac:dyDescent="0.3">
      <c r="A5" s="62"/>
      <c r="B5" s="56"/>
      <c r="C5" s="5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6" x14ac:dyDescent="0.3">
      <c r="A6" s="40" t="s">
        <v>6</v>
      </c>
      <c r="B6" s="56"/>
      <c r="C6" s="5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3">
      <c r="A7" s="62"/>
      <c r="B7" s="63" t="s">
        <v>7</v>
      </c>
      <c r="C7" s="63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6" x14ac:dyDescent="0.3">
      <c r="A8" s="39" t="s">
        <v>8</v>
      </c>
      <c r="B8" s="56"/>
      <c r="C8" s="5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62" t="s">
        <v>9</v>
      </c>
      <c r="B9" s="64">
        <f>+'P &amp; L'!B18</f>
        <v>2972886.9000000004</v>
      </c>
      <c r="C9" s="5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62" t="s">
        <v>10</v>
      </c>
      <c r="B10" s="64">
        <f>+'P &amp; L'!B17</f>
        <v>191877.1</v>
      </c>
      <c r="C10" s="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62" t="s">
        <v>11</v>
      </c>
      <c r="B11" s="65">
        <f>+'tax dep'!G16</f>
        <v>1118964.45</v>
      </c>
      <c r="C11" s="64">
        <f>+B9+B10-B11</f>
        <v>2045799.5500000005</v>
      </c>
      <c r="D11" s="4"/>
      <c r="E11" s="1">
        <v>2045800</v>
      </c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62"/>
      <c r="B12" s="64"/>
      <c r="C12" s="6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39" t="s">
        <v>12</v>
      </c>
      <c r="B13" s="56"/>
      <c r="C13" s="5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62" t="s">
        <v>13</v>
      </c>
      <c r="B14" s="56"/>
      <c r="C14" s="56">
        <v>-200000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62"/>
      <c r="B15" s="56"/>
      <c r="C15" s="5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39" t="s">
        <v>14</v>
      </c>
      <c r="B16" s="56"/>
      <c r="C16" s="5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62" t="s">
        <v>15</v>
      </c>
      <c r="B17" s="56"/>
      <c r="C17" s="56">
        <v>15062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62"/>
      <c r="B18" s="56"/>
      <c r="C18" s="5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39" t="s">
        <v>16</v>
      </c>
      <c r="B19" s="56"/>
      <c r="C19" s="5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2" t="s">
        <v>17</v>
      </c>
      <c r="B20" s="56"/>
      <c r="C20" s="56" t="s">
        <v>87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6" t="s">
        <v>18</v>
      </c>
      <c r="B21" s="66"/>
      <c r="C21" s="67">
        <f>+C11+C14+C17</f>
        <v>1860861.5500000005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2"/>
      <c r="B22" s="56"/>
      <c r="C22" s="5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8" t="s">
        <v>19</v>
      </c>
      <c r="B23" s="56"/>
      <c r="C23" s="5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2" t="s">
        <v>105</v>
      </c>
      <c r="B24" s="56">
        <v>150000</v>
      </c>
      <c r="C24" s="5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2" t="s">
        <v>106</v>
      </c>
      <c r="B25" s="56">
        <v>100000</v>
      </c>
      <c r="C25" s="5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2" t="s">
        <v>107</v>
      </c>
      <c r="B26" s="56">
        <v>75000</v>
      </c>
      <c r="C26" s="6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62" t="s">
        <v>108</v>
      </c>
      <c r="B27" s="56">
        <v>40000</v>
      </c>
      <c r="C27" s="69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62" t="s">
        <v>109</v>
      </c>
      <c r="B28" s="56">
        <v>80000</v>
      </c>
      <c r="C28" s="69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62" t="s">
        <v>110</v>
      </c>
      <c r="B29" s="56">
        <v>60000</v>
      </c>
      <c r="C29" s="64">
        <f>+B24+B25+B26+B27+B28+B29</f>
        <v>505000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6" t="s">
        <v>20</v>
      </c>
      <c r="B30" s="56"/>
      <c r="C30" s="70">
        <f>+C21-C29</f>
        <v>1355861.5500000005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71" t="s">
        <v>90</v>
      </c>
      <c r="B31" s="56"/>
      <c r="C31" s="64">
        <v>1355860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2" t="s">
        <v>21</v>
      </c>
      <c r="B32" s="56"/>
      <c r="C32" s="64">
        <f>+(C30-1000000)*0.2+148086</f>
        <v>219258.31000000011</v>
      </c>
      <c r="D32" s="1"/>
      <c r="E32" s="1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2" t="s">
        <v>111</v>
      </c>
      <c r="B33" s="56"/>
      <c r="C33" s="64" t="s">
        <v>87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2" t="s">
        <v>112</v>
      </c>
      <c r="B34" s="56"/>
      <c r="C34" s="64">
        <f>+C32*0.04</f>
        <v>8770.3324000000048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2" t="s">
        <v>22</v>
      </c>
      <c r="B35" s="56"/>
      <c r="C35" s="72">
        <f>+C32+C34</f>
        <v>228028.64240000013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2" t="s">
        <v>113</v>
      </c>
      <c r="B36" s="41"/>
      <c r="C36" s="6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2" t="s">
        <v>89</v>
      </c>
      <c r="B37" s="56">
        <v>9120</v>
      </c>
      <c r="C37" s="6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62" t="s">
        <v>88</v>
      </c>
      <c r="B38" s="49">
        <v>2280</v>
      </c>
      <c r="C38" s="48">
        <f>+B37+B38</f>
        <v>11400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Bot="1" x14ac:dyDescent="0.35">
      <c r="A39" s="62" t="s">
        <v>23</v>
      </c>
      <c r="B39" s="41"/>
      <c r="C39" s="73">
        <f>+C35+C38+1</f>
        <v>239429.64240000013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thickTop="1" x14ac:dyDescent="0.3">
      <c r="A40" s="62"/>
      <c r="B40" s="41"/>
      <c r="C40" s="4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2"/>
      <c r="B41" s="6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6"/>
      <c r="C42" s="5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6"/>
      <c r="C43" s="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6"/>
      <c r="C44" s="6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6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6"/>
      <c r="C46" s="6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6"/>
      <c r="C47" s="6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6"/>
      <c r="C48" s="6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6"/>
      <c r="C49" s="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6"/>
      <c r="C50" s="6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6"/>
      <c r="C51" s="6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6"/>
      <c r="C52" s="6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6"/>
      <c r="C53" s="6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6"/>
      <c r="C54" s="6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6"/>
      <c r="C55" s="6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6"/>
      <c r="C56" s="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6"/>
      <c r="C57" s="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6"/>
      <c r="C58" s="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6"/>
      <c r="C59" s="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6"/>
      <c r="C60" s="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6"/>
      <c r="C61" s="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6"/>
      <c r="C62" s="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6"/>
      <c r="C63" s="6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6"/>
      <c r="C64" s="6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6"/>
      <c r="C65" s="6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6"/>
      <c r="C66" s="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6"/>
      <c r="C67" s="6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6"/>
      <c r="C68" s="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6"/>
      <c r="C69" s="6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6"/>
      <c r="C70" s="6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6"/>
      <c r="C71" s="6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6"/>
      <c r="C72" s="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6"/>
      <c r="C73" s="6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6"/>
      <c r="C74" s="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6"/>
      <c r="C75" s="6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6"/>
      <c r="C76" s="6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6"/>
      <c r="C77" s="6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6"/>
      <c r="C78" s="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6"/>
      <c r="C79" s="6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6"/>
      <c r="C80" s="6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6"/>
      <c r="C81" s="6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6"/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6"/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6"/>
      <c r="C84" s="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6"/>
      <c r="C85" s="6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6"/>
      <c r="C86" s="6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6"/>
      <c r="C87" s="6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6"/>
      <c r="C88" s="6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6"/>
      <c r="C89" s="6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6"/>
      <c r="C90" s="6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6"/>
      <c r="C91" s="6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6"/>
      <c r="C92" s="6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6"/>
      <c r="C93" s="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6"/>
      <c r="C94" s="6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6"/>
      <c r="C95" s="6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6"/>
      <c r="C96" s="6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6"/>
      <c r="C97" s="6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6"/>
      <c r="C98" s="6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6"/>
      <c r="C99" s="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6"/>
      <c r="C100" s="6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6"/>
      <c r="C101" s="6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6"/>
      <c r="C102" s="6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6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6"/>
      <c r="C104" s="6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6"/>
      <c r="C105" s="6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6"/>
      <c r="C106" s="6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6"/>
      <c r="C107" s="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6"/>
      <c r="C108" s="6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6"/>
      <c r="C109" s="6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6"/>
      <c r="C110" s="6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6"/>
      <c r="C111" s="6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6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6"/>
      <c r="C113" s="6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6"/>
      <c r="C114" s="6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6"/>
      <c r="C115" s="6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6"/>
      <c r="C116" s="6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6"/>
      <c r="C117" s="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6"/>
      <c r="C118" s="6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6"/>
      <c r="C119" s="6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6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6"/>
      <c r="C121" s="6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6"/>
      <c r="C122" s="6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6"/>
      <c r="C123" s="6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6"/>
      <c r="C124" s="6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6"/>
      <c r="C125" s="6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6"/>
      <c r="C126" s="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6"/>
      <c r="C127" s="6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6"/>
      <c r="C128" s="6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6"/>
      <c r="C129" s="6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6"/>
      <c r="C130" s="6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6"/>
      <c r="C131" s="6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6"/>
      <c r="C132" s="6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6"/>
      <c r="C133" s="6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6"/>
      <c r="C134" s="6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6"/>
      <c r="C135" s="6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6"/>
      <c r="C136" s="6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6"/>
      <c r="C137" s="6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6"/>
      <c r="C138" s="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6"/>
      <c r="C139" s="6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6"/>
      <c r="C140" s="6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6"/>
      <c r="C141" s="6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6"/>
      <c r="C142" s="6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6"/>
      <c r="C143" s="6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6"/>
      <c r="C144" s="6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6"/>
      <c r="C145" s="6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6"/>
      <c r="C146" s="6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6"/>
      <c r="C147" s="6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6"/>
      <c r="C148" s="6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6"/>
      <c r="C149" s="6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6"/>
      <c r="C150" s="6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6"/>
      <c r="C151" s="6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6"/>
      <c r="C152" s="6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6"/>
      <c r="C153" s="6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6"/>
      <c r="C154" s="6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6"/>
      <c r="C155" s="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6"/>
      <c r="C156" s="6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6"/>
      <c r="C157" s="6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6"/>
      <c r="C158" s="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6"/>
      <c r="C159" s="6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6"/>
      <c r="C160" s="6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6"/>
      <c r="C161" s="6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6"/>
      <c r="C162" s="6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6"/>
      <c r="C163" s="6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6"/>
      <c r="C164" s="6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6"/>
      <c r="C165" s="6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6"/>
      <c r="C166" s="6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6"/>
      <c r="C167" s="6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6"/>
      <c r="C168" s="6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6"/>
      <c r="C169" s="6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6"/>
      <c r="C170" s="6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6"/>
      <c r="C171" s="6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6"/>
      <c r="C172" s="6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6"/>
      <c r="C173" s="6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6"/>
      <c r="C174" s="6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6"/>
      <c r="C175" s="6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6"/>
      <c r="C176" s="6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6"/>
      <c r="C177" s="6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6"/>
      <c r="C178" s="6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6"/>
      <c r="C179" s="6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6"/>
      <c r="C180" s="6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6"/>
      <c r="C181" s="6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6"/>
      <c r="C182" s="6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6"/>
      <c r="C183" s="6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6"/>
      <c r="C184" s="6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6"/>
      <c r="C185" s="6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6"/>
      <c r="C186" s="6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6"/>
      <c r="C187" s="6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6"/>
      <c r="C188" s="6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6"/>
      <c r="C189" s="6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6"/>
      <c r="C190" s="6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6"/>
      <c r="C191" s="6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6"/>
      <c r="C192" s="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6"/>
      <c r="C193" s="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6"/>
      <c r="C194" s="6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6"/>
      <c r="C195" s="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6"/>
      <c r="C196" s="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6"/>
      <c r="C197" s="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6"/>
      <c r="C198" s="6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6"/>
      <c r="C199" s="6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6"/>
      <c r="C200" s="6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6"/>
      <c r="C201" s="6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6"/>
      <c r="C202" s="6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6"/>
      <c r="C203" s="6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6"/>
      <c r="C204" s="6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6"/>
      <c r="C205" s="6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6"/>
      <c r="C206" s="6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6"/>
      <c r="C207" s="6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6"/>
      <c r="C208" s="6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6"/>
      <c r="C209" s="6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6"/>
      <c r="C210" s="6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6"/>
      <c r="C211" s="6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6"/>
      <c r="C212" s="6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6"/>
      <c r="C213" s="6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6"/>
      <c r="C214" s="6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6"/>
      <c r="C215" s="6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6"/>
      <c r="C216" s="6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6"/>
      <c r="C217" s="6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6"/>
      <c r="C218" s="6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6"/>
      <c r="C219" s="6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6"/>
      <c r="C220" s="6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6"/>
      <c r="C221" s="6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6"/>
      <c r="C222" s="6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6"/>
      <c r="C223" s="6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6"/>
      <c r="C224" s="6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6"/>
      <c r="C225" s="6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6"/>
      <c r="C226" s="6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6"/>
      <c r="C227" s="6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6"/>
      <c r="C228" s="6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6"/>
      <c r="C229" s="6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6"/>
      <c r="C230" s="6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6"/>
      <c r="C231" s="6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6"/>
      <c r="C232" s="6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6"/>
      <c r="C233" s="6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6"/>
      <c r="C234" s="6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6"/>
      <c r="C235" s="6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6"/>
      <c r="C236" s="6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6"/>
      <c r="C237" s="6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6"/>
      <c r="C238" s="6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6"/>
      <c r="C239" s="6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6"/>
      <c r="C240" s="6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6"/>
      <c r="C241" s="6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6"/>
      <c r="C242" s="6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6"/>
      <c r="C243" s="6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6"/>
      <c r="C244" s="6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6"/>
      <c r="C245" s="6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6"/>
      <c r="C246" s="6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6"/>
      <c r="C247" s="6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6"/>
      <c r="C248" s="6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6"/>
      <c r="C249" s="6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6"/>
      <c r="C250" s="6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6"/>
      <c r="C251" s="6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6"/>
      <c r="C252" s="6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6"/>
      <c r="C253" s="6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6"/>
      <c r="C254" s="6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6"/>
      <c r="C255" s="6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6"/>
      <c r="C256" s="6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6"/>
      <c r="C257" s="6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6"/>
      <c r="C258" s="6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6"/>
      <c r="C259" s="6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6"/>
      <c r="C260" s="6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6"/>
      <c r="C261" s="6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6"/>
      <c r="C262" s="6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6"/>
      <c r="C263" s="6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6"/>
      <c r="C264" s="6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6"/>
      <c r="C265" s="6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6"/>
      <c r="C266" s="6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6"/>
      <c r="C267" s="6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6"/>
      <c r="C268" s="6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6"/>
      <c r="C269" s="6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6"/>
      <c r="C270" s="6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6"/>
      <c r="C271" s="6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6"/>
      <c r="C272" s="6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6"/>
      <c r="C273" s="6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6"/>
      <c r="C274" s="6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6"/>
      <c r="C275" s="6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6"/>
      <c r="C276" s="6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6"/>
      <c r="C277" s="6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6"/>
      <c r="C278" s="6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6"/>
      <c r="C279" s="6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6"/>
      <c r="C280" s="6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6"/>
      <c r="C281" s="6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6"/>
      <c r="C282" s="6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6"/>
      <c r="C283" s="6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6"/>
      <c r="C284" s="6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6"/>
      <c r="C285" s="6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6"/>
      <c r="C286" s="6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6"/>
      <c r="C287" s="6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6"/>
      <c r="C288" s="6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6"/>
      <c r="C289" s="6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6"/>
      <c r="C290" s="6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6"/>
      <c r="C291" s="6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6"/>
      <c r="C292" s="6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6"/>
      <c r="C293" s="6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6"/>
      <c r="C294" s="6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6"/>
      <c r="C295" s="6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6"/>
      <c r="C296" s="6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6"/>
      <c r="C297" s="6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6"/>
      <c r="C298" s="6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6"/>
      <c r="C299" s="6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6"/>
      <c r="C300" s="6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6"/>
      <c r="C301" s="6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6"/>
      <c r="C302" s="6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6"/>
      <c r="C303" s="6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6"/>
      <c r="C304" s="6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6"/>
      <c r="C305" s="6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6"/>
      <c r="C306" s="6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6"/>
      <c r="C307" s="6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6"/>
      <c r="C308" s="6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6"/>
      <c r="C309" s="6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6"/>
      <c r="C310" s="6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6"/>
      <c r="C311" s="6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6"/>
      <c r="C312" s="6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6"/>
      <c r="C313" s="6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6"/>
      <c r="C314" s="6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6"/>
      <c r="C315" s="6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6"/>
      <c r="C316" s="6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6"/>
      <c r="C317" s="6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6"/>
      <c r="C318" s="6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6"/>
      <c r="C319" s="6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6"/>
      <c r="C320" s="6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6"/>
      <c r="C321" s="6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6"/>
      <c r="C322" s="6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6"/>
      <c r="C323" s="6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6"/>
      <c r="C324" s="6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6"/>
      <c r="C325" s="6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6"/>
      <c r="C326" s="6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6"/>
      <c r="C327" s="6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6"/>
      <c r="C328" s="6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6"/>
      <c r="C329" s="6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6"/>
      <c r="C330" s="6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6"/>
      <c r="C331" s="6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6"/>
      <c r="C332" s="6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6"/>
      <c r="C333" s="6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6"/>
      <c r="C334" s="6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6"/>
      <c r="C335" s="6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6"/>
      <c r="C336" s="6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6"/>
      <c r="C337" s="6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6"/>
      <c r="C338" s="6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6"/>
      <c r="C339" s="6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6"/>
      <c r="C340" s="6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6"/>
      <c r="C341" s="6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6"/>
      <c r="C342" s="6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6"/>
      <c r="C343" s="6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6"/>
      <c r="C344" s="6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6"/>
      <c r="C345" s="6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6"/>
      <c r="C346" s="6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6"/>
      <c r="C347" s="6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6"/>
      <c r="C348" s="6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6"/>
      <c r="C349" s="6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6"/>
      <c r="C350" s="6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6"/>
      <c r="C351" s="6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6"/>
      <c r="C352" s="6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6"/>
      <c r="C353" s="6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6"/>
      <c r="C354" s="6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6"/>
      <c r="C355" s="6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6"/>
      <c r="C356" s="6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6"/>
      <c r="C357" s="6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6"/>
      <c r="C358" s="6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6"/>
      <c r="C359" s="6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6"/>
      <c r="C360" s="6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6"/>
      <c r="C361" s="6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6"/>
      <c r="C362" s="6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6"/>
      <c r="C363" s="6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6"/>
      <c r="C364" s="6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6"/>
      <c r="C365" s="6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6"/>
      <c r="C366" s="6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6"/>
      <c r="C367" s="6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6"/>
      <c r="C368" s="6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6"/>
      <c r="C369" s="6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6"/>
      <c r="C370" s="6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6"/>
      <c r="C371" s="6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6"/>
      <c r="C372" s="6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6"/>
      <c r="C373" s="6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6"/>
      <c r="C374" s="6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6"/>
      <c r="C375" s="6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6"/>
      <c r="C376" s="6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6"/>
      <c r="C377" s="6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6"/>
      <c r="C378" s="6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6"/>
      <c r="C379" s="6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6"/>
      <c r="C380" s="6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6"/>
      <c r="C381" s="6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6"/>
      <c r="C382" s="6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6"/>
      <c r="C383" s="6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6"/>
      <c r="C384" s="6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6"/>
      <c r="C385" s="6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6"/>
      <c r="C386" s="6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6"/>
      <c r="C387" s="6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6"/>
      <c r="C388" s="6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6"/>
      <c r="C389" s="6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6"/>
      <c r="C390" s="6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6"/>
      <c r="C391" s="6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6"/>
      <c r="C392" s="6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6"/>
      <c r="C393" s="6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6"/>
      <c r="C394" s="6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6"/>
      <c r="C395" s="6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6"/>
      <c r="C396" s="6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6"/>
      <c r="C397" s="6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6"/>
      <c r="C398" s="6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6"/>
      <c r="C399" s="6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6"/>
      <c r="C400" s="6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6"/>
      <c r="C401" s="6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6"/>
      <c r="C402" s="6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6"/>
      <c r="C403" s="6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6"/>
      <c r="C404" s="6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6"/>
      <c r="C405" s="6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6"/>
      <c r="C406" s="6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6"/>
      <c r="C407" s="6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6"/>
      <c r="C408" s="6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6"/>
      <c r="C409" s="6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6"/>
      <c r="C410" s="6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6"/>
      <c r="C411" s="6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6"/>
      <c r="C412" s="6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6"/>
      <c r="C413" s="6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6"/>
      <c r="C414" s="6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6"/>
      <c r="C415" s="6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6"/>
      <c r="C416" s="6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6"/>
      <c r="C417" s="6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6"/>
      <c r="C418" s="6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6"/>
      <c r="C419" s="6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6"/>
      <c r="C420" s="6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6"/>
      <c r="C421" s="6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6"/>
      <c r="C422" s="6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6"/>
      <c r="C423" s="6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6"/>
      <c r="C424" s="6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6"/>
      <c r="C425" s="6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6"/>
      <c r="C426" s="6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6"/>
      <c r="C427" s="6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6"/>
      <c r="C428" s="6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6"/>
      <c r="C429" s="6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6"/>
      <c r="C430" s="6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6"/>
      <c r="C431" s="6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6"/>
      <c r="C432" s="6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6"/>
      <c r="C433" s="6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6"/>
      <c r="C434" s="6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6"/>
      <c r="C435" s="6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6"/>
      <c r="C436" s="6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6"/>
      <c r="C437" s="6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6"/>
      <c r="C438" s="6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6"/>
      <c r="C439" s="6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6"/>
      <c r="C440" s="6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6"/>
      <c r="C441" s="6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6"/>
      <c r="C442" s="6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6"/>
      <c r="C443" s="6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6"/>
      <c r="C444" s="6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6"/>
      <c r="C445" s="6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6"/>
      <c r="C446" s="6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6"/>
      <c r="C447" s="6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6"/>
      <c r="C448" s="6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6"/>
      <c r="C449" s="6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6"/>
      <c r="C450" s="6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6"/>
      <c r="C451" s="6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6"/>
      <c r="C452" s="6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6"/>
      <c r="C453" s="6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6"/>
      <c r="C454" s="6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6"/>
      <c r="C455" s="6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6"/>
      <c r="C456" s="6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6"/>
      <c r="C457" s="6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6"/>
      <c r="C458" s="6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6"/>
      <c r="C459" s="6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6"/>
      <c r="C460" s="6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6"/>
      <c r="C461" s="6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6"/>
      <c r="C462" s="6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6"/>
      <c r="C463" s="6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6"/>
      <c r="C464" s="6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6"/>
      <c r="C465" s="6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6"/>
      <c r="C466" s="6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6"/>
      <c r="C467" s="6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6"/>
      <c r="C468" s="6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6"/>
      <c r="C469" s="6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6"/>
      <c r="C470" s="6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6"/>
      <c r="C471" s="6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6"/>
      <c r="C472" s="6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6"/>
      <c r="C473" s="6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6"/>
      <c r="C474" s="6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6"/>
      <c r="C475" s="6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6"/>
      <c r="C476" s="6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6"/>
      <c r="C477" s="6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6"/>
      <c r="C478" s="6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6"/>
      <c r="C479" s="6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6"/>
      <c r="C480" s="6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6"/>
      <c r="C481" s="6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6"/>
      <c r="C482" s="6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6"/>
      <c r="C483" s="6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6"/>
      <c r="C484" s="6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6"/>
      <c r="C485" s="6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6"/>
      <c r="C486" s="6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6"/>
      <c r="C487" s="6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6"/>
      <c r="C488" s="6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6"/>
      <c r="C489" s="6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6"/>
      <c r="C490" s="6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6"/>
      <c r="C491" s="6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6"/>
      <c r="C492" s="6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6"/>
      <c r="C493" s="6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6"/>
      <c r="C494" s="6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6"/>
      <c r="C495" s="6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6"/>
      <c r="C496" s="6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6"/>
      <c r="C497" s="6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6"/>
      <c r="C498" s="6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6"/>
      <c r="C499" s="6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6"/>
      <c r="C500" s="6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6"/>
      <c r="C501" s="6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6"/>
      <c r="C502" s="6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6"/>
      <c r="C503" s="6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6"/>
      <c r="C504" s="6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6"/>
      <c r="C505" s="6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6"/>
      <c r="C506" s="6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6"/>
      <c r="C507" s="6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6"/>
      <c r="C508" s="6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6"/>
      <c r="C509" s="6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6"/>
      <c r="C510" s="6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6"/>
      <c r="C511" s="6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6"/>
      <c r="C512" s="6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6"/>
      <c r="C513" s="6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6"/>
      <c r="C514" s="6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6"/>
      <c r="C515" s="6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6"/>
      <c r="C516" s="6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6"/>
      <c r="C517" s="6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6"/>
      <c r="C518" s="6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6"/>
      <c r="C519" s="6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6"/>
      <c r="C520" s="6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6"/>
      <c r="C521" s="6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6"/>
      <c r="C522" s="6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6"/>
      <c r="C523" s="6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6"/>
      <c r="C524" s="6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6"/>
      <c r="C525" s="6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6"/>
      <c r="C526" s="6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6"/>
      <c r="C527" s="6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6"/>
      <c r="C528" s="6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6"/>
      <c r="C529" s="6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6"/>
      <c r="C530" s="6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6"/>
      <c r="C531" s="6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6"/>
      <c r="C532" s="6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6"/>
      <c r="C533" s="6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6"/>
      <c r="C534" s="6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6"/>
      <c r="C535" s="6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6"/>
      <c r="C536" s="6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6"/>
      <c r="C537" s="6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6"/>
      <c r="C538" s="6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6"/>
      <c r="C539" s="6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6"/>
      <c r="C540" s="6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6"/>
      <c r="C541" s="6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6"/>
      <c r="C542" s="6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6"/>
      <c r="C543" s="6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6"/>
      <c r="C544" s="6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6"/>
      <c r="C545" s="6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6"/>
      <c r="C546" s="6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6"/>
      <c r="C547" s="6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6"/>
      <c r="C548" s="6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6"/>
      <c r="C549" s="6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6"/>
      <c r="C550" s="6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6"/>
      <c r="C551" s="6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6"/>
      <c r="C552" s="6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6"/>
      <c r="C553" s="6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6"/>
      <c r="C554" s="6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6"/>
      <c r="C555" s="6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6"/>
      <c r="C556" s="6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6"/>
      <c r="C557" s="6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6"/>
      <c r="C558" s="6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6"/>
      <c r="C559" s="6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6"/>
      <c r="C560" s="6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6"/>
      <c r="C561" s="6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6"/>
      <c r="C562" s="6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6"/>
      <c r="C563" s="6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6"/>
      <c r="C564" s="6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6"/>
      <c r="C565" s="6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6"/>
      <c r="C566" s="6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6"/>
      <c r="C567" s="6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6"/>
      <c r="C568" s="6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6"/>
      <c r="C569" s="6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6"/>
      <c r="C570" s="6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6"/>
      <c r="C571" s="6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6"/>
      <c r="C572" s="6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6"/>
      <c r="C573" s="6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6"/>
      <c r="C574" s="6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6"/>
      <c r="C575" s="6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6"/>
      <c r="C576" s="6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6"/>
      <c r="C577" s="6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6"/>
      <c r="C578" s="6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6"/>
      <c r="C579" s="6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6"/>
      <c r="C580" s="6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6"/>
      <c r="C581" s="6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6"/>
      <c r="C582" s="6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6"/>
      <c r="C583" s="6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6"/>
      <c r="C584" s="6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6"/>
      <c r="C585" s="6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6"/>
      <c r="C586" s="6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6"/>
      <c r="C587" s="6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6"/>
      <c r="C588" s="6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6"/>
      <c r="C589" s="6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6"/>
      <c r="C590" s="6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6"/>
      <c r="C591" s="6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6"/>
      <c r="C592" s="6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6"/>
      <c r="C593" s="6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6"/>
      <c r="C594" s="6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6"/>
      <c r="C595" s="6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6"/>
      <c r="C596" s="6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6"/>
      <c r="C597" s="6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6"/>
      <c r="C598" s="6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6"/>
      <c r="C599" s="6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6"/>
      <c r="C600" s="6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6"/>
      <c r="C601" s="6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6"/>
      <c r="C602" s="6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6"/>
      <c r="C603" s="6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6"/>
      <c r="C604" s="6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6"/>
      <c r="C605" s="6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6"/>
      <c r="C606" s="6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6"/>
      <c r="C607" s="6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6"/>
      <c r="C608" s="6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6"/>
      <c r="C609" s="6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6"/>
      <c r="C610" s="6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6"/>
      <c r="C611" s="6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6"/>
      <c r="C612" s="6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6"/>
      <c r="C613" s="6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6"/>
      <c r="C614" s="6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6"/>
      <c r="C615" s="6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6"/>
      <c r="C616" s="6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6"/>
      <c r="C617" s="6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6"/>
      <c r="C618" s="6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6"/>
      <c r="C619" s="6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6"/>
      <c r="C620" s="6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6"/>
      <c r="C621" s="6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6"/>
      <c r="C622" s="6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6"/>
      <c r="C623" s="6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6"/>
      <c r="C624" s="6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6"/>
      <c r="C625" s="6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6"/>
      <c r="C626" s="6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6"/>
      <c r="C627" s="6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6"/>
      <c r="C628" s="6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6"/>
      <c r="C629" s="6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6"/>
      <c r="C630" s="6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6"/>
      <c r="C631" s="6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6"/>
      <c r="C632" s="6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6"/>
      <c r="C633" s="6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6"/>
      <c r="C634" s="6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6"/>
      <c r="C635" s="6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6"/>
      <c r="C636" s="6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6"/>
      <c r="C637" s="6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6"/>
      <c r="C638" s="6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6"/>
      <c r="C639" s="6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6"/>
      <c r="C640" s="6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6"/>
      <c r="C641" s="6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6"/>
      <c r="C642" s="6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6"/>
      <c r="C643" s="6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6"/>
      <c r="C644" s="6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6"/>
      <c r="C645" s="6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6"/>
      <c r="C646" s="6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6"/>
      <c r="C647" s="6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6"/>
      <c r="C648" s="6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6"/>
      <c r="C649" s="6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6"/>
      <c r="C650" s="6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6"/>
      <c r="C651" s="6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6"/>
      <c r="C652" s="6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6"/>
      <c r="C653" s="6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6"/>
      <c r="C654" s="6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6"/>
      <c r="C655" s="6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6"/>
      <c r="C656" s="6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6"/>
      <c r="C657" s="6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6"/>
      <c r="C658" s="6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6"/>
      <c r="C659" s="6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6"/>
      <c r="C660" s="6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6"/>
      <c r="C661" s="6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6"/>
      <c r="C662" s="6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6"/>
      <c r="C663" s="6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6"/>
      <c r="C664" s="6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6"/>
      <c r="C665" s="6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6"/>
      <c r="C666" s="6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6"/>
      <c r="C667" s="6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6"/>
      <c r="C668" s="6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6"/>
      <c r="C669" s="6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6"/>
      <c r="C670" s="6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6"/>
      <c r="C671" s="6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6"/>
      <c r="C672" s="6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6"/>
      <c r="C673" s="6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6"/>
      <c r="C674" s="6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6"/>
      <c r="C675" s="6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6"/>
      <c r="C676" s="6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6"/>
      <c r="C677" s="6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6"/>
      <c r="C678" s="6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6"/>
      <c r="C679" s="6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6"/>
      <c r="C680" s="6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6"/>
      <c r="C681" s="6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6"/>
      <c r="C682" s="6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6"/>
      <c r="C683" s="6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6"/>
      <c r="C684" s="6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6"/>
      <c r="C685" s="6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6"/>
      <c r="C686" s="6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6"/>
      <c r="C687" s="6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6"/>
      <c r="C688" s="6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6"/>
      <c r="C689" s="6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6"/>
      <c r="C690" s="6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6"/>
      <c r="C691" s="6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6"/>
      <c r="C692" s="6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6"/>
      <c r="C693" s="6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6"/>
      <c r="C694" s="6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6"/>
      <c r="C695" s="6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6"/>
      <c r="C696" s="6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6"/>
      <c r="C697" s="6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6"/>
      <c r="C698" s="6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6"/>
      <c r="C699" s="6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6"/>
      <c r="C700" s="6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6"/>
      <c r="C701" s="6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6"/>
      <c r="C702" s="6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6"/>
      <c r="C703" s="6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6"/>
      <c r="C704" s="6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6"/>
      <c r="C705" s="6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6"/>
      <c r="C706" s="6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6"/>
      <c r="C707" s="6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6"/>
      <c r="C708" s="6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6"/>
      <c r="C709" s="6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6"/>
      <c r="C710" s="6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6"/>
      <c r="C711" s="6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6"/>
      <c r="C712" s="6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6"/>
      <c r="C713" s="6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6"/>
      <c r="C714" s="6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6"/>
      <c r="C715" s="6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6"/>
      <c r="C716" s="6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6"/>
      <c r="C717" s="6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6"/>
      <c r="C718" s="6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6"/>
      <c r="C719" s="6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6"/>
      <c r="C720" s="6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6"/>
      <c r="C721" s="6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6"/>
      <c r="C722" s="6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6"/>
      <c r="C723" s="6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6"/>
      <c r="C724" s="6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6"/>
      <c r="C725" s="6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6"/>
      <c r="C726" s="6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6"/>
      <c r="C727" s="6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6"/>
      <c r="C728" s="6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6"/>
      <c r="C729" s="6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6"/>
      <c r="C730" s="6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6"/>
      <c r="C731" s="6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6"/>
      <c r="C732" s="6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6"/>
      <c r="C733" s="6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6"/>
      <c r="C734" s="6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6"/>
      <c r="C735" s="6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6"/>
      <c r="C736" s="6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6"/>
      <c r="C737" s="6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6"/>
      <c r="C738" s="6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6"/>
      <c r="C739" s="6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6"/>
      <c r="C740" s="6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6"/>
      <c r="C741" s="6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6"/>
      <c r="C742" s="6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6"/>
      <c r="C743" s="6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6"/>
      <c r="C744" s="6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6"/>
      <c r="C745" s="6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6"/>
      <c r="C746" s="6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6"/>
      <c r="C747" s="6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6"/>
      <c r="C748" s="6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6"/>
      <c r="C749" s="6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6"/>
      <c r="C750" s="6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6"/>
      <c r="C751" s="6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6"/>
      <c r="C752" s="6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6"/>
      <c r="C753" s="6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6"/>
      <c r="C754" s="6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6"/>
      <c r="C755" s="6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6"/>
      <c r="C756" s="6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6"/>
      <c r="C757" s="6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6"/>
      <c r="C758" s="6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6"/>
      <c r="C759" s="6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6"/>
      <c r="C760" s="6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6"/>
      <c r="C761" s="6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6"/>
      <c r="C762" s="6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6"/>
      <c r="C763" s="6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6"/>
      <c r="C764" s="6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6"/>
      <c r="C765" s="6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6"/>
      <c r="C766" s="6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6"/>
      <c r="C767" s="6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6"/>
      <c r="C768" s="6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6"/>
      <c r="C769" s="6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6"/>
      <c r="C770" s="6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6"/>
      <c r="C771" s="6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6"/>
      <c r="C772" s="6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6"/>
      <c r="C773" s="6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6"/>
      <c r="C774" s="6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6"/>
      <c r="C775" s="6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6"/>
      <c r="C776" s="6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6"/>
      <c r="C777" s="6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6"/>
      <c r="C778" s="6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6"/>
      <c r="C779" s="6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6"/>
      <c r="C780" s="6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6"/>
      <c r="C781" s="6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6"/>
      <c r="C782" s="6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6"/>
      <c r="C783" s="6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6"/>
      <c r="C784" s="6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6"/>
      <c r="C785" s="6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6"/>
      <c r="C786" s="6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6"/>
      <c r="C787" s="6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6"/>
      <c r="C788" s="6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6"/>
      <c r="C789" s="6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6"/>
      <c r="C790" s="6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6"/>
      <c r="C791" s="6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6"/>
      <c r="C792" s="6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6"/>
      <c r="C793" s="6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6"/>
      <c r="C794" s="6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6"/>
      <c r="C795" s="6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6"/>
      <c r="C796" s="6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6"/>
      <c r="C797" s="6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6"/>
      <c r="C798" s="6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6"/>
      <c r="C799" s="6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6"/>
      <c r="C800" s="6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6"/>
      <c r="C801" s="6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6"/>
      <c r="C802" s="6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6"/>
      <c r="C803" s="6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6"/>
      <c r="C804" s="6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6"/>
      <c r="C805" s="6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6"/>
      <c r="C806" s="6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6"/>
      <c r="C807" s="6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6"/>
      <c r="C808" s="6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6"/>
      <c r="C809" s="6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6"/>
      <c r="C810" s="6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6"/>
      <c r="C811" s="6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6"/>
      <c r="C812" s="6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6"/>
      <c r="C813" s="6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6"/>
      <c r="C814" s="6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6"/>
      <c r="C815" s="6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6"/>
      <c r="C816" s="6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6"/>
      <c r="C817" s="6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6"/>
      <c r="C818" s="6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6"/>
      <c r="C819" s="6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6"/>
      <c r="C820" s="6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6"/>
      <c r="C821" s="6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6"/>
      <c r="C822" s="6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6"/>
      <c r="C823" s="6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6"/>
      <c r="C824" s="6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6"/>
      <c r="C825" s="6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6"/>
      <c r="C826" s="6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6"/>
      <c r="C827" s="6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6"/>
      <c r="C828" s="6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6"/>
      <c r="C829" s="6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6"/>
      <c r="C830" s="6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6"/>
      <c r="C831" s="6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6"/>
      <c r="C832" s="6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6"/>
      <c r="C833" s="6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6"/>
      <c r="C834" s="6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6"/>
      <c r="C835" s="6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6"/>
      <c r="C836" s="6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6"/>
      <c r="C837" s="6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6"/>
      <c r="C838" s="6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6"/>
      <c r="C839" s="6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6"/>
      <c r="C840" s="6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6"/>
      <c r="C841" s="6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6"/>
      <c r="C842" s="6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6"/>
      <c r="C843" s="6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6"/>
      <c r="C844" s="6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6"/>
      <c r="C845" s="6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6"/>
      <c r="C846" s="6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6"/>
      <c r="C847" s="6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6"/>
      <c r="C848" s="6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6"/>
      <c r="C849" s="6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6"/>
      <c r="C850" s="6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6"/>
      <c r="C851" s="6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6"/>
      <c r="C852" s="6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6"/>
      <c r="C853" s="6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6"/>
      <c r="C854" s="6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6"/>
      <c r="C855" s="6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6"/>
      <c r="C856" s="6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6"/>
      <c r="C857" s="6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6"/>
      <c r="C858" s="6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6"/>
      <c r="C859" s="6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6"/>
      <c r="C860" s="6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6"/>
      <c r="C861" s="6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6"/>
      <c r="C862" s="6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6"/>
      <c r="C863" s="6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6"/>
      <c r="C864" s="6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6"/>
      <c r="C865" s="6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6"/>
      <c r="C866" s="6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6"/>
      <c r="C867" s="6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6"/>
      <c r="C868" s="6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6"/>
      <c r="C869" s="6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6"/>
      <c r="C870" s="6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6"/>
      <c r="C871" s="6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6"/>
      <c r="C872" s="6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6"/>
      <c r="C873" s="6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6"/>
      <c r="C874" s="6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6"/>
      <c r="C875" s="6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6"/>
      <c r="C876" s="6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6"/>
      <c r="C877" s="6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6"/>
      <c r="C878" s="6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6"/>
      <c r="C879" s="6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6"/>
      <c r="C880" s="6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6"/>
      <c r="C881" s="6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6"/>
      <c r="C882" s="6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6"/>
      <c r="C883" s="6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6"/>
      <c r="C884" s="6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6"/>
      <c r="C885" s="6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6"/>
      <c r="C886" s="6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6"/>
      <c r="C887" s="6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6"/>
      <c r="C888" s="6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6"/>
      <c r="C889" s="6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6"/>
      <c r="C890" s="6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6"/>
      <c r="C891" s="6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6"/>
      <c r="C892" s="6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6"/>
      <c r="C893" s="6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6"/>
      <c r="C894" s="6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6"/>
      <c r="C895" s="6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6"/>
      <c r="C896" s="6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6"/>
      <c r="C897" s="6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6"/>
      <c r="C898" s="6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6"/>
      <c r="C899" s="6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6"/>
      <c r="C900" s="6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6"/>
      <c r="C901" s="6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6"/>
      <c r="C902" s="6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6"/>
      <c r="C903" s="6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6"/>
      <c r="C904" s="6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6"/>
      <c r="C905" s="6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6"/>
      <c r="C906" s="6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6"/>
      <c r="C907" s="6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6"/>
      <c r="C908" s="6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6"/>
      <c r="C909" s="6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6"/>
      <c r="C910" s="6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6"/>
      <c r="C911" s="6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6"/>
      <c r="C912" s="6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6"/>
      <c r="C913" s="6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6"/>
      <c r="C914" s="6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6"/>
      <c r="C915" s="6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6"/>
      <c r="C916" s="6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6"/>
      <c r="C917" s="6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6"/>
      <c r="C918" s="6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6"/>
      <c r="C919" s="6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6"/>
      <c r="C920" s="6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6"/>
      <c r="C921" s="6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6"/>
      <c r="C922" s="6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6"/>
      <c r="C923" s="6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6"/>
      <c r="C924" s="6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6"/>
      <c r="C925" s="6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6"/>
      <c r="C926" s="6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6"/>
      <c r="C927" s="6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6"/>
      <c r="C928" s="6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6"/>
      <c r="C929" s="6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6"/>
      <c r="C930" s="6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6"/>
      <c r="C931" s="6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6"/>
      <c r="C932" s="6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6"/>
      <c r="C933" s="6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6"/>
      <c r="C934" s="6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6"/>
      <c r="C935" s="6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6"/>
      <c r="C936" s="6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6"/>
      <c r="C937" s="6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6"/>
      <c r="C938" s="6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6"/>
      <c r="C939" s="6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6"/>
      <c r="C940" s="6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6"/>
      <c r="C941" s="6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6"/>
      <c r="C942" s="6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6"/>
      <c r="C943" s="6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6"/>
      <c r="C944" s="6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6"/>
      <c r="C945" s="6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6"/>
      <c r="C946" s="6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6"/>
      <c r="C947" s="6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6"/>
      <c r="C948" s="6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6"/>
      <c r="C949" s="6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6"/>
      <c r="C950" s="6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6"/>
      <c r="C951" s="6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6"/>
      <c r="C952" s="6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6"/>
      <c r="C953" s="6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6"/>
      <c r="C954" s="6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6"/>
      <c r="C955" s="6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6"/>
      <c r="C956" s="6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6"/>
      <c r="C957" s="6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6"/>
      <c r="C958" s="6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6"/>
      <c r="C959" s="6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6"/>
      <c r="C960" s="6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6"/>
      <c r="C961" s="6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6"/>
      <c r="C962" s="6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6"/>
      <c r="C963" s="6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6"/>
      <c r="C964" s="6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6"/>
      <c r="C965" s="6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6"/>
      <c r="C966" s="6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6"/>
      <c r="C967" s="6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6"/>
      <c r="C968" s="6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6"/>
      <c r="C969" s="6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6"/>
      <c r="C970" s="6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6"/>
      <c r="C971" s="6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6"/>
      <c r="C972" s="6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6"/>
      <c r="C973" s="6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6"/>
      <c r="C974" s="6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6"/>
      <c r="C975" s="6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6"/>
      <c r="C976" s="6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6"/>
      <c r="C977" s="6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6"/>
      <c r="C978" s="6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6"/>
      <c r="C979" s="6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6"/>
      <c r="C980" s="6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6"/>
      <c r="C981" s="6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6"/>
      <c r="C982" s="6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6"/>
      <c r="C983" s="6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6"/>
      <c r="C984" s="6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6"/>
      <c r="C985" s="6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6"/>
      <c r="C986" s="6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6"/>
      <c r="C987" s="6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6"/>
      <c r="C988" s="6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6"/>
      <c r="C989" s="6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6"/>
      <c r="C990" s="6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6"/>
      <c r="C991" s="6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6"/>
      <c r="C992" s="6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6"/>
      <c r="C993" s="6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6"/>
      <c r="C994" s="6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6"/>
      <c r="C995" s="6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6"/>
      <c r="C996" s="6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6"/>
      <c r="C997" s="6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6"/>
      <c r="C998" s="6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A10" workbookViewId="0">
      <selection activeCell="C11" sqref="C11"/>
    </sheetView>
  </sheetViews>
  <sheetFormatPr defaultColWidth="12.59765625" defaultRowHeight="15" customHeight="1" x14ac:dyDescent="0.25"/>
  <cols>
    <col min="1" max="1" width="27.8984375" customWidth="1"/>
    <col min="2" max="2" width="11.59765625" style="38" customWidth="1"/>
    <col min="3" max="3" width="24.3984375" customWidth="1"/>
    <col min="4" max="4" width="12" style="38" customWidth="1"/>
    <col min="5" max="8" width="7.59765625" customWidth="1"/>
    <col min="9" max="9" width="8.5" customWidth="1"/>
    <col min="10" max="26" width="7.59765625" customWidth="1"/>
  </cols>
  <sheetData>
    <row r="1" spans="1:4" ht="15.6" x14ac:dyDescent="0.3">
      <c r="A1" s="8" t="s">
        <v>24</v>
      </c>
      <c r="B1" s="33"/>
      <c r="C1" s="8"/>
      <c r="D1" s="3"/>
    </row>
    <row r="2" spans="1:4" ht="15.6" x14ac:dyDescent="0.3">
      <c r="A2" s="39" t="s">
        <v>98</v>
      </c>
      <c r="B2" s="40"/>
      <c r="C2" s="9"/>
      <c r="D2" s="3"/>
    </row>
    <row r="3" spans="1:4" ht="15.6" x14ac:dyDescent="0.3">
      <c r="A3" s="10" t="s">
        <v>25</v>
      </c>
      <c r="B3" s="35"/>
      <c r="C3" s="10"/>
      <c r="D3" s="35"/>
    </row>
    <row r="4" spans="1:4" ht="15.6" x14ac:dyDescent="0.3">
      <c r="A4" s="11" t="s">
        <v>26</v>
      </c>
      <c r="B4" s="34" t="s">
        <v>27</v>
      </c>
      <c r="C4" s="11" t="s">
        <v>26</v>
      </c>
      <c r="D4" s="34" t="s">
        <v>27</v>
      </c>
    </row>
    <row r="5" spans="1:4" ht="15.6" x14ac:dyDescent="0.3">
      <c r="A5" s="12" t="s">
        <v>28</v>
      </c>
      <c r="B5" s="3">
        <v>1567500</v>
      </c>
      <c r="C5" s="9" t="s">
        <v>29</v>
      </c>
      <c r="D5" s="36">
        <v>11590600</v>
      </c>
    </row>
    <row r="6" spans="1:4" ht="15.6" x14ac:dyDescent="0.3">
      <c r="A6" s="9" t="s">
        <v>92</v>
      </c>
      <c r="B6" s="3">
        <f>6020500-200000-500000+89250+111800-211900-118195+102000+68000-152500-30000-434+1842815</f>
        <v>7021336</v>
      </c>
      <c r="C6" s="9" t="s">
        <v>30</v>
      </c>
      <c r="D6" s="56">
        <f>1542500+25000+20000</f>
        <v>1587500</v>
      </c>
    </row>
    <row r="7" spans="1:4" ht="15.6" x14ac:dyDescent="0.3">
      <c r="A7" s="9" t="s">
        <v>31</v>
      </c>
      <c r="B7" s="3">
        <f>45200+1500</f>
        <v>46700</v>
      </c>
      <c r="C7" s="9"/>
      <c r="D7" s="3"/>
    </row>
    <row r="8" spans="1:4" ht="15.6" x14ac:dyDescent="0.3">
      <c r="A8" s="9" t="s">
        <v>32</v>
      </c>
      <c r="B8" s="36">
        <f>43600+250</f>
        <v>43850</v>
      </c>
    </row>
    <row r="9" spans="1:4" ht="15.6" x14ac:dyDescent="0.3">
      <c r="A9" s="9" t="s">
        <v>33</v>
      </c>
      <c r="B9" s="36">
        <f>51200+2000</f>
        <v>53200</v>
      </c>
      <c r="C9" s="9"/>
      <c r="D9" s="3"/>
    </row>
    <row r="10" spans="1:4" ht="15.6" x14ac:dyDescent="0.3">
      <c r="A10" s="9" t="s">
        <v>34</v>
      </c>
      <c r="B10" s="36">
        <f>102900+500</f>
        <v>103400</v>
      </c>
      <c r="C10" s="9"/>
      <c r="D10" s="3"/>
    </row>
    <row r="11" spans="1:4" ht="15.6" x14ac:dyDescent="0.3">
      <c r="A11" s="9" t="s">
        <v>35</v>
      </c>
      <c r="B11" s="36">
        <f>22500+5000</f>
        <v>27500</v>
      </c>
      <c r="C11" s="9"/>
      <c r="D11" s="3"/>
    </row>
    <row r="12" spans="1:4" ht="15.6" x14ac:dyDescent="0.3">
      <c r="A12" s="9" t="s">
        <v>36</v>
      </c>
      <c r="B12" s="36">
        <f>798500+25000+1500</f>
        <v>825000</v>
      </c>
      <c r="C12" s="9"/>
      <c r="D12" s="3"/>
    </row>
    <row r="13" spans="1:4" ht="15.6" x14ac:dyDescent="0.3">
      <c r="A13" s="9" t="s">
        <v>37</v>
      </c>
      <c r="B13" s="36">
        <f>56700+150</f>
        <v>56850</v>
      </c>
      <c r="C13" s="9"/>
      <c r="D13" s="3"/>
    </row>
    <row r="14" spans="1:4" ht="15.6" x14ac:dyDescent="0.3">
      <c r="A14" s="9" t="s">
        <v>38</v>
      </c>
      <c r="B14" s="36">
        <f>25500+6500</f>
        <v>32000</v>
      </c>
      <c r="C14" s="9"/>
      <c r="D14" s="3"/>
    </row>
    <row r="15" spans="1:4" ht="15.6" x14ac:dyDescent="0.3">
      <c r="A15" s="9" t="s">
        <v>39</v>
      </c>
      <c r="B15" s="36">
        <f>125400+12000</f>
        <v>137400</v>
      </c>
      <c r="C15" s="9"/>
      <c r="D15" s="3"/>
    </row>
    <row r="16" spans="1:4" ht="15.6" x14ac:dyDescent="0.3">
      <c r="A16" s="9" t="s">
        <v>40</v>
      </c>
      <c r="B16" s="36">
        <f>87600+11000</f>
        <v>98600</v>
      </c>
      <c r="C16" s="9"/>
      <c r="D16" s="3"/>
    </row>
    <row r="17" spans="1:9" ht="15.6" x14ac:dyDescent="0.3">
      <c r="A17" s="9" t="s">
        <v>41</v>
      </c>
      <c r="B17" s="36">
        <f>+'Bal -sheet'!D16+'Bal -sheet'!D19+'Bal -sheet'!D22+'Bal -sheet'!D25+'Bal -sheet'!D30+'Bal -sheet'!D35+'Bal -sheet'!D38+'Bal -sheet'!D41</f>
        <v>191877.1</v>
      </c>
      <c r="C17" s="9"/>
      <c r="D17" s="3"/>
    </row>
    <row r="18" spans="1:9" ht="15.6" x14ac:dyDescent="0.3">
      <c r="A18" s="8" t="s">
        <v>42</v>
      </c>
      <c r="B18" s="36">
        <f>+D20-B5-B17-B15-B14-B12-B11-B9-B8-B7-B6-B16-B13-B10</f>
        <v>2972886.9000000004</v>
      </c>
      <c r="C18" s="9"/>
      <c r="D18" s="3"/>
    </row>
    <row r="19" spans="1:9" ht="15.6" x14ac:dyDescent="0.3">
      <c r="A19" s="8"/>
      <c r="B19" s="36"/>
      <c r="C19" s="9"/>
      <c r="D19" s="3"/>
      <c r="F19" s="55"/>
    </row>
    <row r="20" spans="1:9" ht="15.6" x14ac:dyDescent="0.3">
      <c r="A20" s="9"/>
      <c r="B20" s="37">
        <f>SUM(B5:B18)</f>
        <v>13178100</v>
      </c>
      <c r="C20" s="9"/>
      <c r="D20" s="37">
        <f>SUM(D5:D18)</f>
        <v>13178100</v>
      </c>
    </row>
    <row r="21" spans="1:9" ht="15.75" customHeight="1" x14ac:dyDescent="0.25"/>
    <row r="22" spans="1:9" ht="15.75" customHeight="1" x14ac:dyDescent="0.25"/>
    <row r="23" spans="1:9" ht="15.75" customHeight="1" x14ac:dyDescent="0.3">
      <c r="G23" s="4"/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3">
      <c r="I27" s="4"/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7"/>
  <sheetViews>
    <sheetView tabSelected="1" topLeftCell="A28" workbookViewId="0">
      <selection activeCell="B38" sqref="B38"/>
    </sheetView>
  </sheetViews>
  <sheetFormatPr defaultColWidth="12.59765625" defaultRowHeight="15" customHeight="1" x14ac:dyDescent="0.25"/>
  <cols>
    <col min="1" max="1" width="22.69921875" customWidth="1"/>
    <col min="2" max="2" width="10.09765625" style="38" customWidth="1"/>
    <col min="3" max="3" width="18.59765625" customWidth="1"/>
    <col min="4" max="4" width="11.09765625" style="38" customWidth="1"/>
    <col min="5" max="5" width="10.8984375" style="38" customWidth="1"/>
    <col min="6" max="7" width="7.59765625" customWidth="1"/>
    <col min="8" max="8" width="8.5" bestFit="1" customWidth="1"/>
    <col min="9" max="9" width="10.3984375" customWidth="1"/>
    <col min="10" max="26" width="7.59765625" customWidth="1"/>
  </cols>
  <sheetData>
    <row r="1" spans="1:9" ht="13.8" x14ac:dyDescent="0.25">
      <c r="A1" s="25" t="s">
        <v>0</v>
      </c>
      <c r="B1" s="51"/>
      <c r="C1" s="26"/>
      <c r="D1" s="41"/>
      <c r="E1" s="41"/>
    </row>
    <row r="2" spans="1:9" ht="13.8" x14ac:dyDescent="0.25">
      <c r="A2" s="27" t="s">
        <v>99</v>
      </c>
      <c r="B2" s="49"/>
      <c r="C2" s="26"/>
      <c r="D2" s="49"/>
      <c r="E2" s="49"/>
    </row>
    <row r="3" spans="1:9" ht="13.8" x14ac:dyDescent="0.25">
      <c r="A3" s="28" t="s">
        <v>43</v>
      </c>
      <c r="B3" s="42" t="s">
        <v>27</v>
      </c>
      <c r="C3" s="28" t="s">
        <v>26</v>
      </c>
      <c r="D3" s="42"/>
      <c r="E3" s="42" t="s">
        <v>27</v>
      </c>
    </row>
    <row r="4" spans="1:9" ht="13.8" x14ac:dyDescent="0.25">
      <c r="A4" s="26" t="s">
        <v>44</v>
      </c>
      <c r="B4" s="41">
        <f>750000+850000+250500+387115-6+1+100000</f>
        <v>2337610</v>
      </c>
      <c r="C4" s="26" t="s">
        <v>45</v>
      </c>
      <c r="D4" s="41"/>
      <c r="E4" s="41">
        <v>5457326</v>
      </c>
    </row>
    <row r="5" spans="1:9" ht="27.6" x14ac:dyDescent="0.25">
      <c r="A5" s="32" t="s">
        <v>46</v>
      </c>
      <c r="B5" s="41">
        <f>670200+500</f>
        <v>670700</v>
      </c>
      <c r="C5" s="26" t="s">
        <v>47</v>
      </c>
      <c r="D5" s="41"/>
      <c r="E5" s="43">
        <f>+'P &amp; L'!B18</f>
        <v>2972886.9000000004</v>
      </c>
    </row>
    <row r="6" spans="1:9" ht="13.8" x14ac:dyDescent="0.25">
      <c r="A6" s="26" t="s">
        <v>48</v>
      </c>
      <c r="B6" s="41"/>
      <c r="C6" s="26"/>
      <c r="D6" s="41"/>
      <c r="E6" s="43"/>
    </row>
    <row r="7" spans="1:9" ht="13.8" x14ac:dyDescent="0.25">
      <c r="A7" s="26" t="s">
        <v>49</v>
      </c>
      <c r="B7" s="43">
        <f>+E8-B5-B4-B6</f>
        <v>5421902.9000000004</v>
      </c>
      <c r="C7" s="26"/>
      <c r="D7" s="41"/>
      <c r="E7" s="41"/>
    </row>
    <row r="8" spans="1:9" ht="13.8" x14ac:dyDescent="0.25">
      <c r="A8" s="26"/>
      <c r="B8" s="44">
        <f>SUM(B4:B7)</f>
        <v>8430212.9000000004</v>
      </c>
      <c r="C8" s="26"/>
      <c r="D8" s="41"/>
      <c r="E8" s="44">
        <f>SUM(E4:E7)</f>
        <v>8430212.9000000004</v>
      </c>
    </row>
    <row r="9" spans="1:9" ht="13.8" x14ac:dyDescent="0.25">
      <c r="A9" s="26"/>
      <c r="B9" s="43"/>
      <c r="C9" s="26"/>
      <c r="D9" s="41"/>
      <c r="E9" s="43"/>
    </row>
    <row r="10" spans="1:9" ht="13.8" x14ac:dyDescent="0.25">
      <c r="A10" s="27" t="s">
        <v>100</v>
      </c>
      <c r="B10" s="42"/>
      <c r="C10" s="26"/>
      <c r="D10" s="41"/>
      <c r="E10" s="41"/>
    </row>
    <row r="11" spans="1:9" ht="13.8" x14ac:dyDescent="0.25">
      <c r="A11" s="54" t="s">
        <v>50</v>
      </c>
      <c r="B11" s="46"/>
      <c r="C11" s="28" t="s">
        <v>51</v>
      </c>
      <c r="D11" s="52"/>
      <c r="E11" s="53" t="s">
        <v>27</v>
      </c>
    </row>
    <row r="12" spans="1:9" ht="13.8" x14ac:dyDescent="0.25">
      <c r="A12" s="30" t="s">
        <v>52</v>
      </c>
      <c r="B12" s="41"/>
      <c r="C12" s="30" t="s">
        <v>53</v>
      </c>
      <c r="D12" s="41"/>
      <c r="E12" s="41"/>
    </row>
    <row r="13" spans="1:9" ht="13.8" x14ac:dyDescent="0.25">
      <c r="A13" s="26" t="s">
        <v>54</v>
      </c>
      <c r="B13" s="43">
        <f>+B7</f>
        <v>5421902.9000000004</v>
      </c>
      <c r="C13" s="26" t="s">
        <v>55</v>
      </c>
      <c r="D13" s="41">
        <v>165080</v>
      </c>
      <c r="E13" s="43"/>
    </row>
    <row r="14" spans="1:9" ht="13.8" x14ac:dyDescent="0.25">
      <c r="A14" s="26"/>
      <c r="B14" s="43"/>
      <c r="C14" s="26" t="s">
        <v>56</v>
      </c>
      <c r="D14" s="41">
        <v>100000</v>
      </c>
      <c r="E14" s="43"/>
    </row>
    <row r="15" spans="1:9" ht="13.8" x14ac:dyDescent="0.25">
      <c r="A15" s="26"/>
      <c r="B15" s="43"/>
      <c r="C15" s="26"/>
      <c r="D15" s="47">
        <f>+D14+D13</f>
        <v>265080</v>
      </c>
      <c r="E15" s="43"/>
    </row>
    <row r="16" spans="1:9" ht="14.4" x14ac:dyDescent="0.3">
      <c r="A16" s="26"/>
      <c r="B16" s="43"/>
      <c r="C16" s="26" t="s">
        <v>57</v>
      </c>
      <c r="D16" s="48">
        <f>+D15*0.05</f>
        <v>13254</v>
      </c>
      <c r="E16" s="43">
        <f>+D15-D16</f>
        <v>251826</v>
      </c>
      <c r="F16" s="6"/>
      <c r="I16">
        <v>180576</v>
      </c>
    </row>
    <row r="17" spans="1:6" ht="14.4" x14ac:dyDescent="0.3">
      <c r="A17" s="26"/>
      <c r="B17" s="43"/>
      <c r="C17" s="26"/>
      <c r="D17" s="43"/>
      <c r="E17" s="43"/>
      <c r="F17" s="6"/>
    </row>
    <row r="18" spans="1:6" ht="14.4" x14ac:dyDescent="0.3">
      <c r="A18" s="26"/>
      <c r="B18" s="43"/>
      <c r="C18" s="26" t="s">
        <v>58</v>
      </c>
      <c r="D18" s="41">
        <v>916957</v>
      </c>
      <c r="E18" s="43"/>
      <c r="F18" s="6"/>
    </row>
    <row r="19" spans="1:6" ht="14.4" x14ac:dyDescent="0.3">
      <c r="A19" s="26"/>
      <c r="B19" s="43"/>
      <c r="C19" s="26" t="s">
        <v>57</v>
      </c>
      <c r="D19" s="48">
        <f>D18*0.05</f>
        <v>45847.850000000006</v>
      </c>
      <c r="E19" s="43">
        <f>D18-D19</f>
        <v>871109.15</v>
      </c>
      <c r="F19" s="6"/>
    </row>
    <row r="20" spans="1:6" ht="14.4" x14ac:dyDescent="0.3">
      <c r="A20" s="26"/>
      <c r="B20" s="43"/>
      <c r="C20" s="26"/>
      <c r="D20" s="43"/>
      <c r="E20" s="43"/>
      <c r="F20" s="6"/>
    </row>
    <row r="21" spans="1:6" ht="14.4" x14ac:dyDescent="0.3">
      <c r="A21" s="26"/>
      <c r="B21" s="43"/>
      <c r="C21" s="26" t="s">
        <v>59</v>
      </c>
      <c r="D21" s="41">
        <v>436258</v>
      </c>
      <c r="E21" s="43"/>
      <c r="F21" s="1"/>
    </row>
    <row r="22" spans="1:6" ht="15.75" customHeight="1" x14ac:dyDescent="0.25">
      <c r="A22" s="26"/>
      <c r="B22" s="43"/>
      <c r="C22" s="26" t="s">
        <v>57</v>
      </c>
      <c r="D22" s="48">
        <f>D21*0.05</f>
        <v>21812.9</v>
      </c>
      <c r="E22" s="43">
        <f>D21-D22</f>
        <v>414445.1</v>
      </c>
    </row>
    <row r="23" spans="1:6" ht="15.75" customHeight="1" x14ac:dyDescent="0.25">
      <c r="A23" s="26"/>
      <c r="B23" s="43"/>
      <c r="C23" s="26"/>
      <c r="D23" s="43"/>
      <c r="E23" s="43"/>
    </row>
    <row r="24" spans="1:6" ht="15.75" customHeight="1" x14ac:dyDescent="0.25">
      <c r="A24" s="26"/>
      <c r="B24" s="43"/>
      <c r="C24" s="26" t="s">
        <v>60</v>
      </c>
      <c r="D24" s="41">
        <v>919149</v>
      </c>
      <c r="E24" s="43"/>
    </row>
    <row r="25" spans="1:6" ht="15.75" customHeight="1" x14ac:dyDescent="0.25">
      <c r="A25" s="25"/>
      <c r="B25" s="41"/>
      <c r="C25" s="26" t="s">
        <v>57</v>
      </c>
      <c r="D25" s="48">
        <f>D24*0.05</f>
        <v>45957.450000000004</v>
      </c>
      <c r="E25" s="43">
        <f>+D24-D25</f>
        <v>873191.55</v>
      </c>
    </row>
    <row r="26" spans="1:6" ht="15.75" customHeight="1" x14ac:dyDescent="0.25">
      <c r="A26" s="25"/>
      <c r="B26" s="41"/>
      <c r="C26" s="26"/>
      <c r="D26" s="43"/>
      <c r="E26" s="43"/>
    </row>
    <row r="27" spans="1:6" ht="15.75" customHeight="1" x14ac:dyDescent="0.25">
      <c r="A27" s="25"/>
      <c r="B27" s="41"/>
      <c r="C27" s="26" t="s">
        <v>61</v>
      </c>
      <c r="D27" s="41">
        <v>492500</v>
      </c>
      <c r="E27" s="43"/>
    </row>
    <row r="28" spans="1:6" ht="15.75" customHeight="1" x14ac:dyDescent="0.25">
      <c r="A28" s="25"/>
      <c r="B28" s="41"/>
      <c r="C28" s="26" t="s">
        <v>104</v>
      </c>
      <c r="D28" s="49">
        <v>250000</v>
      </c>
      <c r="E28" s="43"/>
    </row>
    <row r="29" spans="1:6" ht="15.75" customHeight="1" x14ac:dyDescent="0.25">
      <c r="A29" s="25"/>
      <c r="B29" s="41"/>
      <c r="C29" s="26"/>
      <c r="D29" s="41">
        <f>+D27+D28</f>
        <v>742500</v>
      </c>
      <c r="E29" s="43"/>
    </row>
    <row r="30" spans="1:6" ht="15.75" customHeight="1" x14ac:dyDescent="0.25">
      <c r="A30" s="25"/>
      <c r="B30" s="41"/>
      <c r="C30" s="26" t="s">
        <v>62</v>
      </c>
      <c r="D30" s="46">
        <f>+D29*0.05</f>
        <v>37125</v>
      </c>
      <c r="E30" s="43">
        <f>+D29-D30</f>
        <v>705375</v>
      </c>
    </row>
    <row r="31" spans="1:6" ht="15.75" customHeight="1" x14ac:dyDescent="0.25">
      <c r="A31" s="30" t="s">
        <v>94</v>
      </c>
      <c r="B31" s="41"/>
      <c r="C31" s="26"/>
      <c r="D31" s="41"/>
      <c r="E31" s="43"/>
    </row>
    <row r="32" spans="1:6" ht="15.75" customHeight="1" x14ac:dyDescent="0.25">
      <c r="A32" s="26" t="s">
        <v>93</v>
      </c>
      <c r="B32" s="41">
        <f>5240000-150000</f>
        <v>5090000</v>
      </c>
      <c r="C32" s="26" t="s">
        <v>63</v>
      </c>
      <c r="D32" s="41">
        <v>361714</v>
      </c>
      <c r="E32" s="43"/>
    </row>
    <row r="33" spans="1:5" ht="15.75" customHeight="1" x14ac:dyDescent="0.25">
      <c r="A33" s="26"/>
      <c r="B33" s="41"/>
      <c r="C33" s="26" t="s">
        <v>56</v>
      </c>
      <c r="D33" s="46">
        <v>110000</v>
      </c>
      <c r="E33" s="43"/>
    </row>
    <row r="34" spans="1:5" ht="15.75" customHeight="1" x14ac:dyDescent="0.25">
      <c r="A34" s="26"/>
      <c r="B34" s="41"/>
      <c r="C34" s="26"/>
      <c r="D34" s="41">
        <f>+D33+D32</f>
        <v>471714</v>
      </c>
      <c r="E34" s="43"/>
    </row>
    <row r="35" spans="1:5" ht="15.75" customHeight="1" x14ac:dyDescent="0.25">
      <c r="A35" s="26"/>
      <c r="B35" s="41"/>
      <c r="C35" s="26" t="s">
        <v>57</v>
      </c>
      <c r="D35" s="48">
        <f>+D34*0.05</f>
        <v>23585.7</v>
      </c>
      <c r="E35" s="43">
        <f>+D34-D35</f>
        <v>448128.3</v>
      </c>
    </row>
    <row r="36" spans="1:5" ht="15.75" customHeight="1" x14ac:dyDescent="0.25">
      <c r="A36" s="26"/>
      <c r="B36" s="41"/>
      <c r="C36" s="26"/>
      <c r="D36" s="43"/>
      <c r="E36" s="43"/>
    </row>
    <row r="37" spans="1:5" ht="15.75" customHeight="1" x14ac:dyDescent="0.25">
      <c r="A37" s="26"/>
      <c r="B37" s="41"/>
      <c r="C37" s="26" t="s">
        <v>64</v>
      </c>
      <c r="D37" s="41">
        <v>38968</v>
      </c>
      <c r="E37" s="43"/>
    </row>
    <row r="38" spans="1:5" ht="15.75" customHeight="1" x14ac:dyDescent="0.25">
      <c r="A38" s="26"/>
      <c r="B38" s="41"/>
      <c r="C38" s="26" t="s">
        <v>57</v>
      </c>
      <c r="D38" s="48">
        <f>+D37*0.05</f>
        <v>1948.4</v>
      </c>
      <c r="E38" s="43">
        <f>+D37-D38</f>
        <v>37019.599999999999</v>
      </c>
    </row>
    <row r="39" spans="1:5" ht="15.75" customHeight="1" x14ac:dyDescent="0.25">
      <c r="A39" s="30" t="s">
        <v>95</v>
      </c>
      <c r="B39" s="41"/>
      <c r="C39" s="26"/>
      <c r="D39" s="43"/>
      <c r="E39" s="43"/>
    </row>
    <row r="40" spans="1:5" ht="15.75" customHeight="1" x14ac:dyDescent="0.25">
      <c r="A40" s="26" t="s">
        <v>65</v>
      </c>
      <c r="B40" s="43">
        <f>240000-30000-10000</f>
        <v>200000</v>
      </c>
      <c r="C40" s="26" t="s">
        <v>66</v>
      </c>
      <c r="D40" s="41">
        <v>46916</v>
      </c>
      <c r="E40" s="43"/>
    </row>
    <row r="41" spans="1:5" ht="15.75" customHeight="1" x14ac:dyDescent="0.25">
      <c r="A41" s="26" t="s">
        <v>114</v>
      </c>
      <c r="B41" s="43">
        <f>1094146+500</f>
        <v>1094646</v>
      </c>
      <c r="C41" s="26" t="s">
        <v>57</v>
      </c>
      <c r="D41" s="48">
        <f>+D40*0.05</f>
        <v>2345.8000000000002</v>
      </c>
      <c r="E41" s="43">
        <f>+D40-D41</f>
        <v>44570.2</v>
      </c>
    </row>
    <row r="42" spans="1:5" ht="15.75" customHeight="1" x14ac:dyDescent="0.25">
      <c r="A42" s="26"/>
      <c r="B42" s="43"/>
      <c r="C42" s="26"/>
      <c r="D42" s="41"/>
      <c r="E42" s="43"/>
    </row>
    <row r="43" spans="1:5" ht="15.75" customHeight="1" x14ac:dyDescent="0.25">
      <c r="A43" s="26"/>
      <c r="B43" s="43"/>
      <c r="C43" s="26" t="s">
        <v>67</v>
      </c>
      <c r="D43" s="41"/>
      <c r="E43" s="43">
        <v>949500</v>
      </c>
    </row>
    <row r="44" spans="1:5" ht="15.75" customHeight="1" x14ac:dyDescent="0.25">
      <c r="A44" s="26"/>
      <c r="B44" s="43"/>
      <c r="C44" s="26"/>
      <c r="D44" s="41"/>
      <c r="E44" s="43"/>
    </row>
    <row r="45" spans="1:5" ht="15.75" customHeight="1" x14ac:dyDescent="0.25">
      <c r="A45" s="26"/>
      <c r="B45" s="43"/>
      <c r="C45" s="26" t="s">
        <v>68</v>
      </c>
      <c r="D45" s="41"/>
      <c r="E45" s="43">
        <v>5400000</v>
      </c>
    </row>
    <row r="46" spans="1:5" ht="15.75" customHeight="1" x14ac:dyDescent="0.25">
      <c r="A46" s="26"/>
      <c r="B46" s="43"/>
      <c r="C46" s="26"/>
      <c r="D46" s="41"/>
      <c r="E46" s="43"/>
    </row>
    <row r="47" spans="1:5" ht="15.75" customHeight="1" x14ac:dyDescent="0.25">
      <c r="A47" s="29"/>
      <c r="B47" s="50"/>
      <c r="C47" s="30" t="s">
        <v>69</v>
      </c>
      <c r="D47" s="41"/>
      <c r="E47" s="41"/>
    </row>
    <row r="48" spans="1:5" ht="15.75" customHeight="1" x14ac:dyDescent="0.25">
      <c r="A48" s="29"/>
      <c r="B48" s="50"/>
      <c r="C48" s="30" t="s">
        <v>70</v>
      </c>
      <c r="D48" s="41"/>
      <c r="E48" s="41"/>
    </row>
    <row r="49" spans="1:9" ht="15.75" customHeight="1" x14ac:dyDescent="0.25">
      <c r="A49" s="29"/>
      <c r="B49" s="50"/>
      <c r="C49" s="26" t="s">
        <v>71</v>
      </c>
      <c r="D49" s="41"/>
      <c r="E49" s="43">
        <f>27600+25115+28285+14500</f>
        <v>95500</v>
      </c>
    </row>
    <row r="50" spans="1:9" ht="15.75" customHeight="1" x14ac:dyDescent="0.25">
      <c r="A50" s="29"/>
      <c r="B50" s="50"/>
      <c r="C50" s="26" t="s">
        <v>72</v>
      </c>
      <c r="D50" s="41"/>
      <c r="E50" s="41">
        <f>+'P &amp; L'!D6</f>
        <v>1587500</v>
      </c>
    </row>
    <row r="51" spans="1:9" ht="15.75" customHeight="1" x14ac:dyDescent="0.25">
      <c r="A51" s="29"/>
      <c r="B51" s="50"/>
      <c r="C51" s="26" t="s">
        <v>73</v>
      </c>
      <c r="D51" s="41"/>
      <c r="E51" s="41">
        <f>150000+423003-45000-250000-1+434-52-150000</f>
        <v>128384</v>
      </c>
    </row>
    <row r="52" spans="1:9" ht="15.75" customHeight="1" x14ac:dyDescent="0.25">
      <c r="A52" s="29"/>
      <c r="B52" s="50"/>
      <c r="C52" s="26"/>
      <c r="D52" s="41"/>
      <c r="E52" s="41"/>
    </row>
    <row r="53" spans="1:9" ht="15.75" customHeight="1" x14ac:dyDescent="0.25">
      <c r="A53" s="29"/>
      <c r="B53" s="50"/>
      <c r="C53" s="26"/>
      <c r="D53" s="41"/>
      <c r="E53" s="41"/>
    </row>
    <row r="54" spans="1:9" ht="15.75" customHeight="1" x14ac:dyDescent="0.25">
      <c r="A54" s="26"/>
      <c r="B54" s="44">
        <f>SUM(B13:B51)</f>
        <v>11806548.9</v>
      </c>
      <c r="C54" s="26"/>
      <c r="D54" s="41"/>
      <c r="E54" s="44">
        <f>SUM(E13:E52)</f>
        <v>11806548.9</v>
      </c>
      <c r="H54" s="55"/>
      <c r="I54" s="55"/>
    </row>
    <row r="55" spans="1:9" ht="15.75" customHeight="1" x14ac:dyDescent="0.3">
      <c r="A55" s="31"/>
      <c r="B55" s="45"/>
      <c r="C55" s="29"/>
      <c r="D55" s="50"/>
      <c r="E55" s="45"/>
    </row>
    <row r="56" spans="1:9" ht="15.75" customHeight="1" x14ac:dyDescent="0.3">
      <c r="E56" s="7"/>
    </row>
    <row r="57" spans="1:9" ht="15.75" customHeight="1" x14ac:dyDescent="0.3">
      <c r="E57" s="7"/>
    </row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3">
      <c r="B63" s="7"/>
      <c r="E63" s="7"/>
    </row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6"/>
  <sheetViews>
    <sheetView workbookViewId="0">
      <selection activeCell="D15" sqref="D15"/>
    </sheetView>
  </sheetViews>
  <sheetFormatPr defaultColWidth="12.59765625" defaultRowHeight="15" customHeight="1" x14ac:dyDescent="0.25"/>
  <cols>
    <col min="1" max="1" width="7.59765625" customWidth="1"/>
    <col min="2" max="2" width="15.3984375" customWidth="1"/>
    <col min="3" max="3" width="6.3984375" customWidth="1"/>
    <col min="4" max="4" width="11" customWidth="1"/>
    <col min="5" max="5" width="9.59765625" customWidth="1"/>
    <col min="6" max="6" width="7.59765625" customWidth="1"/>
    <col min="7" max="7" width="8" customWidth="1"/>
    <col min="8" max="8" width="11.5" customWidth="1"/>
    <col min="9" max="26" width="7.59765625" customWidth="1"/>
  </cols>
  <sheetData>
    <row r="1" spans="1:8" ht="15.6" x14ac:dyDescent="0.3">
      <c r="A1" s="8" t="s">
        <v>0</v>
      </c>
      <c r="B1" s="8"/>
      <c r="C1" s="8"/>
      <c r="D1" s="8"/>
      <c r="E1" s="1"/>
      <c r="F1" s="1"/>
      <c r="G1" s="1"/>
      <c r="H1" s="1"/>
    </row>
    <row r="2" spans="1:8" ht="14.4" x14ac:dyDescent="0.3">
      <c r="A2" s="74" t="s">
        <v>101</v>
      </c>
      <c r="B2" s="75"/>
      <c r="C2" s="75"/>
      <c r="D2" s="75"/>
      <c r="E2" s="1"/>
      <c r="F2" s="1"/>
      <c r="G2" s="1"/>
      <c r="H2" s="1"/>
    </row>
    <row r="3" spans="1:8" ht="14.4" x14ac:dyDescent="0.3">
      <c r="A3" s="13" t="s">
        <v>74</v>
      </c>
      <c r="B3" s="13"/>
      <c r="C3" s="1"/>
      <c r="D3" s="1"/>
      <c r="E3" s="1"/>
      <c r="F3" s="1"/>
      <c r="G3" s="1"/>
      <c r="H3" s="1"/>
    </row>
    <row r="4" spans="1:8" ht="15.6" x14ac:dyDescent="0.3">
      <c r="A4" s="14" t="s">
        <v>75</v>
      </c>
      <c r="B4" s="14" t="s">
        <v>76</v>
      </c>
      <c r="C4" s="14" t="s">
        <v>77</v>
      </c>
      <c r="D4" s="14" t="s">
        <v>78</v>
      </c>
      <c r="E4" s="14" t="s">
        <v>79</v>
      </c>
      <c r="F4" s="14" t="s">
        <v>80</v>
      </c>
      <c r="G4" s="14" t="s">
        <v>77</v>
      </c>
      <c r="H4" s="14" t="s">
        <v>81</v>
      </c>
    </row>
    <row r="5" spans="1:8" ht="15.6" x14ac:dyDescent="0.3">
      <c r="A5" s="14" t="s">
        <v>82</v>
      </c>
      <c r="B5" s="14"/>
      <c r="C5" s="14" t="s">
        <v>83</v>
      </c>
      <c r="D5" s="14" t="s">
        <v>102</v>
      </c>
      <c r="E5" s="14"/>
      <c r="F5" s="14"/>
      <c r="G5" s="14"/>
      <c r="H5" s="14" t="s">
        <v>103</v>
      </c>
    </row>
    <row r="6" spans="1:8" ht="15.6" x14ac:dyDescent="0.3">
      <c r="A6" s="15">
        <v>1</v>
      </c>
      <c r="B6" s="16" t="s">
        <v>55</v>
      </c>
      <c r="C6" s="17">
        <v>0.4</v>
      </c>
      <c r="D6" s="18">
        <v>57284</v>
      </c>
      <c r="E6" s="15">
        <f>+'Bal -sheet'!D14</f>
        <v>100000</v>
      </c>
      <c r="F6" s="15">
        <f t="shared" ref="F6:F7" si="0">+E6+D6</f>
        <v>157284</v>
      </c>
      <c r="G6" s="19">
        <f t="shared" ref="G6:G13" si="1">+F6*C6</f>
        <v>62913.600000000006</v>
      </c>
      <c r="H6" s="19">
        <f t="shared" ref="H6:H15" si="2">+F6-G6</f>
        <v>94370.4</v>
      </c>
    </row>
    <row r="7" spans="1:8" ht="15.6" x14ac:dyDescent="0.3">
      <c r="A7" s="15">
        <v>2</v>
      </c>
      <c r="B7" s="16" t="s">
        <v>58</v>
      </c>
      <c r="C7" s="17">
        <v>0.4</v>
      </c>
      <c r="D7" s="18">
        <v>465560</v>
      </c>
      <c r="E7" s="15">
        <v>0</v>
      </c>
      <c r="F7" s="15">
        <f t="shared" si="0"/>
        <v>465560</v>
      </c>
      <c r="G7" s="19">
        <f t="shared" si="1"/>
        <v>186224</v>
      </c>
      <c r="H7" s="19">
        <f t="shared" si="2"/>
        <v>279336</v>
      </c>
    </row>
    <row r="8" spans="1:8" ht="15.6" x14ac:dyDescent="0.3">
      <c r="A8" s="15">
        <v>3</v>
      </c>
      <c r="B8" s="16" t="s">
        <v>59</v>
      </c>
      <c r="C8" s="17">
        <v>0.1</v>
      </c>
      <c r="D8" s="18">
        <v>584707</v>
      </c>
      <c r="E8" s="15">
        <v>0</v>
      </c>
      <c r="F8" s="15">
        <f t="shared" ref="F8:F15" si="3">+D8+E8</f>
        <v>584707</v>
      </c>
      <c r="G8" s="19">
        <f t="shared" si="1"/>
        <v>58470.700000000004</v>
      </c>
      <c r="H8" s="19">
        <f t="shared" si="2"/>
        <v>526236.30000000005</v>
      </c>
    </row>
    <row r="9" spans="1:8" ht="15.6" x14ac:dyDescent="0.3">
      <c r="A9" s="15">
        <v>4</v>
      </c>
      <c r="B9" s="16" t="s">
        <v>60</v>
      </c>
      <c r="C9" s="17">
        <v>0.15</v>
      </c>
      <c r="D9" s="18">
        <v>1108547</v>
      </c>
      <c r="E9" s="15">
        <v>0</v>
      </c>
      <c r="F9" s="15">
        <f t="shared" si="3"/>
        <v>1108547</v>
      </c>
      <c r="G9" s="19">
        <f t="shared" si="1"/>
        <v>166282.04999999999</v>
      </c>
      <c r="H9" s="19">
        <f t="shared" si="2"/>
        <v>942264.95</v>
      </c>
    </row>
    <row r="10" spans="1:8" ht="15.6" x14ac:dyDescent="0.3">
      <c r="A10" s="15">
        <v>5</v>
      </c>
      <c r="B10" s="16" t="s">
        <v>63</v>
      </c>
      <c r="C10" s="17">
        <v>0.15</v>
      </c>
      <c r="D10" s="18">
        <v>302993</v>
      </c>
      <c r="E10" s="15">
        <f>+'Bal -sheet'!D33</f>
        <v>110000</v>
      </c>
      <c r="F10" s="15">
        <f t="shared" si="3"/>
        <v>412993</v>
      </c>
      <c r="G10" s="19">
        <f t="shared" si="1"/>
        <v>61948.95</v>
      </c>
      <c r="H10" s="19">
        <f t="shared" si="2"/>
        <v>351044.05</v>
      </c>
    </row>
    <row r="11" spans="1:8" ht="15.6" x14ac:dyDescent="0.3">
      <c r="A11" s="15">
        <v>6</v>
      </c>
      <c r="B11" s="16" t="s">
        <v>84</v>
      </c>
      <c r="C11" s="17">
        <v>0.15</v>
      </c>
      <c r="D11" s="18">
        <v>26361</v>
      </c>
      <c r="E11" s="15">
        <v>0</v>
      </c>
      <c r="F11" s="15">
        <f t="shared" si="3"/>
        <v>26361</v>
      </c>
      <c r="G11" s="19">
        <f t="shared" si="1"/>
        <v>3954.1499999999996</v>
      </c>
      <c r="H11" s="19">
        <f t="shared" si="2"/>
        <v>22406.85</v>
      </c>
    </row>
    <row r="12" spans="1:8" ht="15.6" x14ac:dyDescent="0.3">
      <c r="A12" s="15">
        <v>7</v>
      </c>
      <c r="B12" s="16" t="s">
        <v>85</v>
      </c>
      <c r="C12" s="17">
        <v>0.15</v>
      </c>
      <c r="D12" s="18">
        <v>31738</v>
      </c>
      <c r="E12" s="15">
        <v>0</v>
      </c>
      <c r="F12" s="15">
        <f t="shared" si="3"/>
        <v>31738</v>
      </c>
      <c r="G12" s="19">
        <f t="shared" si="1"/>
        <v>4760.7</v>
      </c>
      <c r="H12" s="19">
        <f t="shared" si="2"/>
        <v>26977.3</v>
      </c>
    </row>
    <row r="13" spans="1:8" ht="15.6" x14ac:dyDescent="0.3">
      <c r="A13" s="15">
        <v>8</v>
      </c>
      <c r="B13" s="16" t="s">
        <v>86</v>
      </c>
      <c r="C13" s="17">
        <v>0.05</v>
      </c>
      <c r="D13" s="18">
        <v>773781</v>
      </c>
      <c r="E13" s="18">
        <v>0</v>
      </c>
      <c r="F13" s="15">
        <f t="shared" si="3"/>
        <v>773781</v>
      </c>
      <c r="G13" s="19">
        <f t="shared" si="1"/>
        <v>38689.050000000003</v>
      </c>
      <c r="H13" s="19">
        <f t="shared" si="2"/>
        <v>735091.95</v>
      </c>
    </row>
    <row r="14" spans="1:8" ht="15.6" x14ac:dyDescent="0.3">
      <c r="A14" s="15">
        <v>9</v>
      </c>
      <c r="B14" s="16" t="s">
        <v>91</v>
      </c>
      <c r="C14" s="17">
        <v>0.1</v>
      </c>
      <c r="D14" s="18">
        <v>4386150</v>
      </c>
      <c r="E14" s="18">
        <v>0</v>
      </c>
      <c r="F14" s="18">
        <f t="shared" si="3"/>
        <v>4386150</v>
      </c>
      <c r="G14" s="22">
        <f>+F14*C14</f>
        <v>438615</v>
      </c>
      <c r="H14" s="22">
        <f t="shared" si="2"/>
        <v>3947535</v>
      </c>
    </row>
    <row r="15" spans="1:8" ht="15.6" x14ac:dyDescent="0.3">
      <c r="A15" s="15">
        <v>10</v>
      </c>
      <c r="B15" s="16" t="s">
        <v>61</v>
      </c>
      <c r="C15" s="17">
        <v>0.15</v>
      </c>
      <c r="D15" s="18">
        <v>397375</v>
      </c>
      <c r="E15" s="18">
        <f>+'Bal -sheet'!D28</f>
        <v>250000</v>
      </c>
      <c r="F15" s="18">
        <f t="shared" si="3"/>
        <v>647375</v>
      </c>
      <c r="G15" s="18">
        <f>+F15*0.15</f>
        <v>97106.25</v>
      </c>
      <c r="H15" s="22">
        <f t="shared" si="2"/>
        <v>550268.75</v>
      </c>
    </row>
    <row r="16" spans="1:8" ht="14.4" x14ac:dyDescent="0.3">
      <c r="A16" s="20"/>
      <c r="B16" s="20" t="s">
        <v>80</v>
      </c>
      <c r="C16" s="24"/>
      <c r="D16" s="20">
        <f>SUM(D6:D15)</f>
        <v>8134496</v>
      </c>
      <c r="E16" s="20">
        <f>SUM(E6:E14)</f>
        <v>210000</v>
      </c>
      <c r="F16" s="20">
        <f>SUM(F6:F15)</f>
        <v>8594496</v>
      </c>
      <c r="G16" s="21">
        <f>SUM(G6:G15)</f>
        <v>1118964.45</v>
      </c>
      <c r="H16" s="21">
        <f>SUM(H6:H15)</f>
        <v>7475531.5499999998</v>
      </c>
    </row>
    <row r="17" spans="1:8" ht="15.75" customHeight="1" x14ac:dyDescent="0.3">
      <c r="A17" s="1"/>
      <c r="B17" s="1"/>
      <c r="C17" s="23"/>
      <c r="D17" s="1"/>
      <c r="E17" s="1"/>
      <c r="F17" s="1"/>
      <c r="G17" s="1"/>
      <c r="H17" s="1"/>
    </row>
    <row r="18" spans="1:8" ht="15.75" customHeight="1" x14ac:dyDescent="0.3">
      <c r="C18" s="1"/>
    </row>
    <row r="19" spans="1:8" ht="15.75" customHeight="1" x14ac:dyDescent="0.25"/>
    <row r="20" spans="1:8" ht="15.75" customHeight="1" x14ac:dyDescent="0.25"/>
    <row r="21" spans="1:8" ht="15.75" customHeight="1" x14ac:dyDescent="0.25"/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1">
    <mergeCell ref="A2:D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SOI</vt:lpstr>
      <vt:lpstr>P &amp; L</vt:lpstr>
      <vt:lpstr>Bal -sheet</vt:lpstr>
      <vt:lpstr>tax dep</vt:lpstr>
      <vt:lpstr>'P &amp; L'!Print_Area</vt:lpstr>
      <vt:lpstr>SOI!Print_Area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comp11</dc:creator>
  <cp:lastModifiedBy>Shubham Bhole</cp:lastModifiedBy>
  <cp:lastPrinted>2022-12-24T07:21:35Z</cp:lastPrinted>
  <dcterms:created xsi:type="dcterms:W3CDTF">2014-03-20T16:40:36Z</dcterms:created>
  <dcterms:modified xsi:type="dcterms:W3CDTF">2023-01-16T13:47:36Z</dcterms:modified>
</cp:coreProperties>
</file>