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projcet china set\China-Set-Trains-0.1.6.146\docs\"/>
    </mc:Choice>
  </mc:AlternateContent>
  <xr:revisionPtr revIDLastSave="0" documentId="13_ncr:1_{6BFD9517-179B-4F6A-A836-87ECC49C59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co" sheetId="1" r:id="rId1"/>
    <sheet name="Coaches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3" l="1"/>
  <c r="T3" i="3"/>
  <c r="W3" i="1"/>
  <c r="S3" i="1"/>
  <c r="P3" i="1"/>
  <c r="V3" i="1" l="1"/>
  <c r="S3" i="3"/>
  <c r="V3" i="3" s="1"/>
  <c r="Q3" i="3"/>
  <c r="R3" i="3" s="1"/>
  <c r="R3" i="1"/>
  <c r="Z3" i="1"/>
  <c r="AH3" i="1"/>
  <c r="O3" i="1"/>
  <c r="U3" i="1" l="1"/>
  <c r="T3" i="1"/>
  <c r="Y3" i="1"/>
  <c r="X3" i="1"/>
</calcChain>
</file>

<file path=xl/sharedStrings.xml><?xml version="1.0" encoding="utf-8"?>
<sst xmlns="http://schemas.openxmlformats.org/spreadsheetml/2006/main" count="113" uniqueCount="91">
  <si>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</si>
  <si>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</si>
  <si>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</si>
  <si>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</si>
  <si>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</si>
  <si>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</si>
  <si>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</si>
  <si>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</si>
  <si>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</si>
  <si>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</si>
  <si>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</si>
  <si>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</si>
  <si>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</si>
  <si>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</si>
  <si>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</si>
  <si>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</si>
  <si>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</si>
  <si>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</si>
  <si>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</si>
  <si>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</si>
  <si>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</si>
  <si>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</si>
  <si>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</si>
  <si>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</si>
  <si>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</si>
  <si>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</si>
  <si>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</si>
  <si>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</si>
  <si>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</si>
  <si>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Diesel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</si>
  <si>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</si>
  <si>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</si>
  <si>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</si>
  <si>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</si>
  <si>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</si>
  <si>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</si>
  <si>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</si>
  <si>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</si>
  <si>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</si>
  <si>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</si>
  <si>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</si>
  <si>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CC_PASSENGERS</t>
    <phoneticPr fontId="2" type="noConversion"/>
  </si>
  <si>
    <t>inf</t>
    <phoneticPr fontId="2" type="noConversion"/>
  </si>
  <si>
    <t>middle_len</t>
    <phoneticPr fontId="2" type="noConversion"/>
  </si>
  <si>
    <t>back_len</t>
    <phoneticPr fontId="2" type="noConversion"/>
  </si>
  <si>
    <t>df4k</t>
    <phoneticPr fontId="2" type="noConversion"/>
  </si>
  <si>
    <t>DF4K</t>
    <phoneticPr fontId="2" type="noConversion"/>
  </si>
  <si>
    <t>DF4 (Dongfeng 4 Diesel Locomotive, Passenger Version)</t>
    <phoneticPr fontId="2" type="noConversion"/>
  </si>
  <si>
    <t>车辆名简写</t>
    <phoneticPr fontId="2" type="noConversion"/>
  </si>
  <si>
    <t>车辆id</t>
    <phoneticPr fontId="2" type="noConversion"/>
  </si>
  <si>
    <t>车辆全称（英语）</t>
    <phoneticPr fontId="2" type="noConversion"/>
  </si>
  <si>
    <t>能源种类</t>
    <phoneticPr fontId="2" type="noConversion"/>
  </si>
  <si>
    <t>初始年份</t>
    <phoneticPr fontId="2" type="noConversion"/>
  </si>
  <si>
    <t>车厢寿命</t>
    <phoneticPr fontId="2" type="noConversion"/>
  </si>
  <si>
    <t>车辆面世后
(60-x)年退市</t>
    <phoneticPr fontId="2" type="noConversion"/>
  </si>
  <si>
    <t>可靠性下降速度</t>
    <phoneticPr fontId="2" type="noConversion"/>
  </si>
  <si>
    <t>最大速度</t>
    <phoneticPr fontId="2" type="noConversion"/>
  </si>
  <si>
    <t>总重量</t>
    <phoneticPr fontId="2" type="noConversion"/>
  </si>
  <si>
    <t>煤水车重量
仅蒸汽机车</t>
    <phoneticPr fontId="2" type="noConversion"/>
  </si>
  <si>
    <t>功率
（马力）</t>
    <phoneticPr fontId="2" type="noConversion"/>
  </si>
  <si>
    <t>前部重量
仅蒸汽机车</t>
    <phoneticPr fontId="2" type="noConversion"/>
  </si>
  <si>
    <t>牵引力系数
自动生成</t>
    <phoneticPr fontId="2" type="noConversion"/>
  </si>
  <si>
    <t>最大牵引力
起动牵引力</t>
    <phoneticPr fontId="2" type="noConversion"/>
  </si>
  <si>
    <t>购买价格
初步计算
自动生成</t>
    <phoneticPr fontId="2" type="noConversion"/>
  </si>
  <si>
    <t>自动生成</t>
    <phoneticPr fontId="2" type="noConversion"/>
  </si>
  <si>
    <t>运行费用
初步计算
自动生成</t>
    <phoneticPr fontId="2" type="noConversion"/>
  </si>
  <si>
    <t>总长度
填1-16
整数</t>
    <phoneticPr fontId="2" type="noConversion"/>
  </si>
  <si>
    <t>等JF和wuwu填</t>
    <phoneticPr fontId="2" type="noConversion"/>
  </si>
  <si>
    <t>写下你的笔名</t>
    <phoneticPr fontId="2" type="noConversion"/>
  </si>
  <si>
    <t>购买价格
修正
自动填写</t>
    <phoneticPr fontId="2" type="noConversion"/>
  </si>
  <si>
    <t>运行费用
修正
自动填写</t>
    <phoneticPr fontId="2" type="noConversion"/>
  </si>
  <si>
    <t>购买价格
最终值
自动填写</t>
    <phoneticPr fontId="2" type="noConversion"/>
  </si>
  <si>
    <t>运行费用
最终值</t>
    <phoneticPr fontId="2" type="noConversion"/>
  </si>
  <si>
    <t>模型寿命
不是永不退市
填60就行</t>
    <phoneticPr fontId="2" type="noConversion"/>
  </si>
  <si>
    <t>车厢简称</t>
    <phoneticPr fontId="2" type="noConversion"/>
  </si>
  <si>
    <t>车厢ID</t>
    <phoneticPr fontId="2" type="noConversion"/>
  </si>
  <si>
    <t>车厢全称（英语）</t>
    <phoneticPr fontId="2" type="noConversion"/>
  </si>
  <si>
    <t>面试年份</t>
    <phoneticPr fontId="2" type="noConversion"/>
  </si>
  <si>
    <t>车厢自面世
x年内可购买</t>
    <phoneticPr fontId="2" type="noConversion"/>
  </si>
  <si>
    <t>邮件
还是乘客
还是贵重品</t>
    <phoneticPr fontId="2" type="noConversion"/>
  </si>
  <si>
    <t>容量</t>
    <phoneticPr fontId="2" type="noConversion"/>
  </si>
  <si>
    <t>装载速度
餐车8
行李12
一般16
特殊24</t>
    <phoneticPr fontId="2" type="noConversion"/>
  </si>
  <si>
    <t>车辆保鲜系数</t>
    <phoneticPr fontId="2" type="noConversion"/>
  </si>
  <si>
    <t>车厢重量</t>
    <phoneticPr fontId="2" type="noConversion"/>
  </si>
  <si>
    <t>自动填写</t>
    <phoneticPr fontId="2" type="noConversion"/>
  </si>
  <si>
    <t>购买价格
自动填写</t>
    <phoneticPr fontId="2" type="noConversion"/>
  </si>
  <si>
    <t>运行费用
初步计算
自动填写</t>
    <phoneticPr fontId="2" type="noConversion"/>
  </si>
  <si>
    <t>运行费用
修正值
自动填写</t>
    <phoneticPr fontId="2" type="noConversion"/>
  </si>
  <si>
    <t>运行费用
最终结果
自动填写</t>
    <phoneticPr fontId="2" type="noConversion"/>
  </si>
  <si>
    <t>是否机供</t>
    <phoneticPr fontId="2" type="noConversion"/>
  </si>
  <si>
    <t>bitmask(2)?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</si>
</sst>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"/>
  <sheetViews>
    <sheetView tabSelected="1" workbookViewId="0">
      <pane ySplit="2" topLeftCell="A3" activePane="bottomLeft" state="frozen"/>
      <selection pane="bottomLeft"/>
    </sheetView>
  </sheetViews>
  <sheetFormatPr defaultRowHeight="14.25" x14ac:dyDescent="0.2"/>
  <cols>
    <col min="1" max="1" width="10.5" bestFit="1" customWidth="1"/>
    <col min="4" max="4" width="50.75" bestFit="1" customWidth="1"/>
    <col min="8" max="8" width="14.125" customWidth="1"/>
    <col min="9" max="9" width="11.375" customWidth="1"/>
    <col min="14" max="14" width="13.5" bestFit="1" customWidth="1"/>
    <col min="15" max="15" width="11.75" bestFit="1" customWidth="1"/>
    <col min="16" max="16" width="10.625" customWidth="1"/>
    <col min="30" max="30" width="10.875" bestFit="1" customWidth="1"/>
    <col min="31" max="33" width="8.625" style="1"/>
    <col min="34" max="35" width="8.625" style="2"/>
    <col min="36" max="36" width="11.875" customWidth="1"/>
  </cols>
  <sheetData>
    <row r="1" spans="1:36" ht="57" x14ac:dyDescent="0.2">
      <c r="A1" t="s">
        <v>48</v>
      </c>
      <c r="B1" t="s">
        <v>49</v>
      </c>
      <c r="D1" t="s">
        <v>50</v>
      </c>
      <c r="E1" t="s">
        <v>51</v>
      </c>
      <c r="F1" t="s">
        <v>52</v>
      </c>
      <c r="G1" t="s">
        <v>53</v>
      </c>
      <c r="H1" s="4" t="s">
        <v>73</v>
      </c>
      <c r="I1" s="4" t="s">
        <v>54</v>
      </c>
      <c r="J1" t="s">
        <v>55</v>
      </c>
      <c r="K1" t="s">
        <v>56</v>
      </c>
      <c r="L1" s="4" t="s">
        <v>59</v>
      </c>
      <c r="M1" t="s">
        <v>57</v>
      </c>
      <c r="N1" s="4" t="s">
        <v>58</v>
      </c>
      <c r="O1" s="4" t="s">
        <v>60</v>
      </c>
      <c r="P1" s="4" t="s">
        <v>61</v>
      </c>
      <c r="Q1" s="4" t="s">
        <v>62</v>
      </c>
      <c r="R1" s="4" t="s">
        <v>63</v>
      </c>
      <c r="S1" s="4" t="s">
        <v>69</v>
      </c>
      <c r="T1" s="4" t="s">
        <v>71</v>
      </c>
      <c r="U1" s="4" t="s">
        <v>64</v>
      </c>
      <c r="V1" s="4" t="s">
        <v>65</v>
      </c>
      <c r="W1" s="4" t="s">
        <v>70</v>
      </c>
      <c r="X1" s="4" t="s">
        <v>72</v>
      </c>
      <c r="Y1" s="4" t="s">
        <v>64</v>
      </c>
      <c r="Z1" s="4" t="s">
        <v>66</v>
      </c>
      <c r="AA1" s="3" t="s">
        <v>67</v>
      </c>
      <c r="AB1" s="3"/>
      <c r="AC1" s="3"/>
      <c r="AD1" t="s">
        <v>89</v>
      </c>
      <c r="AJ1" t="s">
        <v>68</v>
      </c>
    </row>
    <row r="2" spans="1:3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37</v>
      </c>
      <c r="J2" t="s">
        <v>8</v>
      </c>
      <c r="K2" t="s">
        <v>9</v>
      </c>
      <c r="L2" t="s">
        <v>34</v>
      </c>
      <c r="M2" t="s">
        <v>30</v>
      </c>
      <c r="N2" t="s">
        <v>31</v>
      </c>
      <c r="O2" t="s">
        <v>32</v>
      </c>
      <c r="P2" t="s">
        <v>17</v>
      </c>
      <c r="Q2" t="s">
        <v>33</v>
      </c>
      <c r="R2" t="s">
        <v>18</v>
      </c>
      <c r="U2" t="s">
        <v>26</v>
      </c>
      <c r="V2" t="s">
        <v>19</v>
      </c>
      <c r="Y2" t="s">
        <v>25</v>
      </c>
      <c r="Z2" t="s">
        <v>35</v>
      </c>
      <c r="AA2" t="s">
        <v>36</v>
      </c>
      <c r="AB2" t="s">
        <v>43</v>
      </c>
      <c r="AC2" t="s">
        <v>44</v>
      </c>
      <c r="AD2" t="s">
        <v>90</v>
      </c>
      <c r="AE2" s="1" t="s">
        <v>20</v>
      </c>
      <c r="AF2" s="1" t="s">
        <v>21</v>
      </c>
      <c r="AG2" s="1" t="s">
        <v>22</v>
      </c>
      <c r="AH2" s="2" t="s">
        <v>23</v>
      </c>
      <c r="AI2" s="2" t="s">
        <v>27</v>
      </c>
      <c r="AJ2" t="s">
        <v>24</v>
      </c>
    </row>
    <row r="3" spans="1:36" x14ac:dyDescent="0.2">
      <c r="A3" t="s">
        <v>46</v>
      </c>
      <c r="B3" t="s">
        <v>45</v>
      </c>
      <c r="D3" t="s">
        <v>47</v>
      </c>
      <c r="E3" t="s">
        <v>29</v>
      </c>
      <c r="F3">
        <v>1969</v>
      </c>
      <c r="G3">
        <v>30</v>
      </c>
      <c r="H3">
        <v>60</v>
      </c>
      <c r="I3">
        <v>40</v>
      </c>
      <c r="J3">
        <v>32</v>
      </c>
      <c r="K3">
        <v>120</v>
      </c>
      <c r="L3">
        <v>2610</v>
      </c>
      <c r="M3">
        <v>138</v>
      </c>
      <c r="O3">
        <f t="shared" ref="O3" si="0">M3-N3</f>
        <v>138</v>
      </c>
      <c r="P3">
        <f>Q3/M3/9.8</f>
        <v>0.24179236912156163</v>
      </c>
      <c r="Q3">
        <v>327</v>
      </c>
      <c r="R3">
        <f t="shared" ref="R3" si="1">MEDIAN(255, ROUND((M3/10+SQRT(K3)/20+SQRT(L3)+P3+20-J3), 0), 0)</f>
        <v>54</v>
      </c>
      <c r="S3" t="str">
        <f>IF(K3&lt;120,"-15",IF(K3&lt;140,"-10",IF(K3&lt;160,"-5","0")))</f>
        <v>-10</v>
      </c>
      <c r="T3">
        <f>R3+S3</f>
        <v>44</v>
      </c>
      <c r="U3">
        <f>R3*50000/16</f>
        <v>168750</v>
      </c>
      <c r="V3">
        <f>MEDIAN(0, 255, ROUND(SQRT(K3)/100+SQRT(L3)+P3+40/J3-2,0))</f>
        <v>51</v>
      </c>
      <c r="W3" t="str">
        <f>IF(K3&lt;120,"-8",IF(K3&lt;140,"-5",IF(K3&lt;160,"-2","0")))</f>
        <v>-5</v>
      </c>
      <c r="X3">
        <f>V3+W3</f>
        <v>46</v>
      </c>
      <c r="Y3">
        <f>IF(E3="Steam", V3*350/16*12, IF(E3="Diesel", V3*325/16*12,  V3*300/16*12))</f>
        <v>12431.25</v>
      </c>
      <c r="Z3">
        <f t="shared" ref="Z3" si="2">AA3+AB3+AC3</f>
        <v>10</v>
      </c>
      <c r="AA3">
        <v>1</v>
      </c>
      <c r="AB3">
        <v>8</v>
      </c>
      <c r="AC3">
        <v>1</v>
      </c>
      <c r="AH3" s="2" t="e">
        <f t="shared" ref="AH3" si="3">AVERAGE(AE3:AG3)</f>
        <v>#DIV/0!</v>
      </c>
    </row>
  </sheetData>
  <mergeCells count="1">
    <mergeCell ref="AA1:AC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AB3"/>
  <sheetViews>
    <sheetView topLeftCell="E1" workbookViewId="0">
      <pane ySplit="2" topLeftCell="A3" activePane="bottomLeft" state="frozen"/>
      <selection pane="bottomLeft" activeCell="Z1" sqref="Z1"/>
    </sheetView>
  </sheetViews>
  <sheetFormatPr defaultRowHeight="14.25" x14ac:dyDescent="0.2"/>
  <cols>
    <col min="4" max="4" width="52.25" bestFit="1" customWidth="1"/>
    <col min="7" max="7" width="11.25" customWidth="1"/>
    <col min="9" max="9" width="10.75" customWidth="1"/>
  </cols>
  <sheetData>
    <row r="1" spans="1:28" ht="71.25" x14ac:dyDescent="0.2">
      <c r="A1" t="s">
        <v>74</v>
      </c>
      <c r="B1" t="s">
        <v>75</v>
      </c>
      <c r="D1" t="s">
        <v>76</v>
      </c>
      <c r="E1" t="s">
        <v>77</v>
      </c>
      <c r="F1" t="s">
        <v>53</v>
      </c>
      <c r="G1" s="4" t="s">
        <v>78</v>
      </c>
      <c r="H1" t="s">
        <v>56</v>
      </c>
      <c r="I1" s="4" t="s">
        <v>79</v>
      </c>
      <c r="M1" t="s">
        <v>80</v>
      </c>
      <c r="N1" s="4" t="s">
        <v>81</v>
      </c>
      <c r="O1" t="s">
        <v>82</v>
      </c>
      <c r="P1" t="s">
        <v>83</v>
      </c>
      <c r="Q1" s="4" t="s">
        <v>85</v>
      </c>
      <c r="R1" t="s">
        <v>84</v>
      </c>
      <c r="S1" s="4" t="s">
        <v>86</v>
      </c>
      <c r="T1" s="4" t="s">
        <v>87</v>
      </c>
      <c r="U1" s="4" t="s">
        <v>88</v>
      </c>
      <c r="V1" s="4" t="s">
        <v>84</v>
      </c>
    </row>
    <row r="2" spans="1:28" x14ac:dyDescent="0.2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28</v>
      </c>
      <c r="Q2" t="s">
        <v>18</v>
      </c>
      <c r="R2" t="s">
        <v>26</v>
      </c>
      <c r="S2" t="s">
        <v>19</v>
      </c>
      <c r="V2" t="s">
        <v>25</v>
      </c>
      <c r="W2" s="1" t="s">
        <v>20</v>
      </c>
      <c r="X2" s="1" t="s">
        <v>21</v>
      </c>
      <c r="Y2" s="1" t="s">
        <v>22</v>
      </c>
      <c r="Z2" s="2" t="s">
        <v>23</v>
      </c>
      <c r="AA2" s="2" t="s">
        <v>27</v>
      </c>
      <c r="AB2" t="s">
        <v>24</v>
      </c>
    </row>
    <row r="3" spans="1:28" x14ac:dyDescent="0.2">
      <c r="A3" t="s">
        <v>39</v>
      </c>
      <c r="B3" t="s">
        <v>38</v>
      </c>
      <c r="D3" t="s">
        <v>40</v>
      </c>
      <c r="E3">
        <v>1992</v>
      </c>
      <c r="F3">
        <v>30</v>
      </c>
      <c r="G3" t="s">
        <v>42</v>
      </c>
      <c r="H3">
        <v>120</v>
      </c>
      <c r="I3" t="s">
        <v>41</v>
      </c>
      <c r="M3">
        <v>118</v>
      </c>
      <c r="N3">
        <v>16</v>
      </c>
      <c r="O3">
        <v>200</v>
      </c>
      <c r="P3">
        <v>47.3</v>
      </c>
      <c r="Q3">
        <f>MEDIAN(0,255,ROUND(P3/20+SQRT(H3)/40+SQRT(M3)/2+(SQRT(O3)-SQRT(185)), 0))</f>
        <v>9</v>
      </c>
      <c r="R3">
        <f>Q3*50000/16</f>
        <v>28125</v>
      </c>
      <c r="S3">
        <f>MEDIAN(0,255,ROUND(SQRT(H3)/200+SQRT(M3)/2+(SQRT(O3)-SQRT(185)),0))</f>
        <v>6</v>
      </c>
      <c r="T3" t="str">
        <f>IF(H3&lt;139,"0",IF(H3&lt;159,"1","2"))</f>
        <v>0</v>
      </c>
      <c r="U3">
        <f>S3+T3</f>
        <v>6</v>
      </c>
      <c r="V3">
        <f>S3*300/16*12</f>
        <v>1350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Loco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诚睿 李</cp:lastModifiedBy>
  <dcterms:created xsi:type="dcterms:W3CDTF">2015-06-05T18:17:20Z</dcterms:created>
  <dcterms:modified xsi:type="dcterms:W3CDTF">2024-01-29T15:56:30Z</dcterms:modified>
</cp:coreProperties>
</file>