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VR Mall\"/>
    </mc:Choice>
  </mc:AlternateContent>
  <xr:revisionPtr revIDLastSave="0" documentId="13_ncr:1_{6CAAEFD5-9220-4FF1-B663-C928F24E3DE1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_CIQHiddenCacheSheet" sheetId="8" state="veryHidden" r:id="rId1"/>
    <sheet name="Cover Page" sheetId="9" r:id="rId2"/>
    <sheet name="Valuation " sheetId="25" r:id="rId3"/>
    <sheet name="Investment Offer" sheetId="34" r:id="rId4"/>
    <sheet name="Comparable Analysis Method" sheetId="1" r:id="rId5"/>
    <sheet name="Berkus Method" sheetId="10" r:id="rId6"/>
    <sheet name="Scorecard Method" sheetId="13" r:id="rId7"/>
    <sheet name="Risk Summutation Method" sheetId="26" r:id="rId8"/>
    <sheet name=" DCF " sheetId="42" r:id="rId9"/>
    <sheet name="Venture Capital Method " sheetId="18" r:id="rId10"/>
    <sheet name="Returns Analysis " sheetId="43" r:id="rId11"/>
  </sheets>
  <externalReferences>
    <externalReference r:id="rId12"/>
  </externalReferences>
  <definedNames>
    <definedName name="Basic_Shares" localSheetId="8">#REF!</definedName>
    <definedName name="Basic_Shares" localSheetId="3">#REF!</definedName>
    <definedName name="Basic_Shares" localSheetId="10">'Returns Analysis '!#REF!</definedName>
    <definedName name="Basic_Shares" localSheetId="7">#REF!</definedName>
    <definedName name="Basic_Shares" localSheetId="2">#REF!</definedName>
    <definedName name="Basic_Shares">#REF!</definedName>
    <definedName name="CapEx_Toggle" localSheetId="8">#REF!</definedName>
    <definedName name="CapEx_Toggle" localSheetId="3">#REF!</definedName>
    <definedName name="CapEx_Toggle" localSheetId="10">'Returns Analysis '!#REF!</definedName>
    <definedName name="CapEx_Toggle" localSheetId="7">#REF!</definedName>
    <definedName name="CapEx_Toggle" localSheetId="2">#REF!</definedName>
    <definedName name="CapEx_Toggle">#REF!</definedName>
    <definedName name="CIQWBGuid" hidden="1">"2cd8126d-26c3-430c-b7fa-a069e3a1fc62"</definedName>
    <definedName name="Circ_Ref" localSheetId="8">#REF!</definedName>
    <definedName name="Circ_Ref" localSheetId="3">#REF!</definedName>
    <definedName name="Circ_Ref" localSheetId="10">'Returns Analysis '!#REF!</definedName>
    <definedName name="Circ_Ref" localSheetId="7">#REF!</definedName>
    <definedName name="Circ_Ref" localSheetId="2">#REF!</definedName>
    <definedName name="Circ_Ref">#REF!</definedName>
    <definedName name="Company_Name" localSheetId="8">' DCF '!$E$10</definedName>
    <definedName name="Company_Name" localSheetId="3">'[1] DCF valuation'!$E$8</definedName>
    <definedName name="Company_name" localSheetId="10">'Returns Analysis '!#REF!</definedName>
    <definedName name="Company_Name" localSheetId="9">'[1] DCF valuation'!$E$8</definedName>
    <definedName name="Company_Name">#REF!</definedName>
    <definedName name="Diluted_Shares" localSheetId="8">#REF!</definedName>
    <definedName name="Diluted_Shares" localSheetId="3">#REF!</definedName>
    <definedName name="Diluted_Shares" localSheetId="10">'Returns Analysis '!#REF!</definedName>
    <definedName name="Diluted_Shares" localSheetId="7">#REF!</definedName>
    <definedName name="Diluted_Shares" localSheetId="2">#REF!</definedName>
    <definedName name="Diluted_Shares">#REF!</definedName>
    <definedName name="Discount_Rate" localSheetId="8">' DCF '!$K$11</definedName>
    <definedName name="Discount_Rate" localSheetId="3">'[1] DCF valuation'!$K$9</definedName>
    <definedName name="Discount_Rate" localSheetId="10">#REF!</definedName>
    <definedName name="Discount_Rate" localSheetId="9">'[1] DCF valuation'!$K$9</definedName>
    <definedName name="Discount_Rate">#REF!</definedName>
    <definedName name="Expense_Toggle" localSheetId="8">#REF!</definedName>
    <definedName name="Expense_Toggle" localSheetId="3">#REF!</definedName>
    <definedName name="Expense_Toggle" localSheetId="10">'Returns Analysis '!#REF!</definedName>
    <definedName name="Expense_Toggle" localSheetId="7">#REF!</definedName>
    <definedName name="Expense_Toggle" localSheetId="2">#REF!</definedName>
    <definedName name="Expense_Toggle">#REF!</definedName>
    <definedName name="Hist_Year" localSheetId="8">#REF!</definedName>
    <definedName name="Hist_Year" localSheetId="3">#REF!</definedName>
    <definedName name="Hist_Year" localSheetId="10">'Returns Analysis '!#REF!</definedName>
    <definedName name="Hist_Year" localSheetId="7">#REF!</definedName>
    <definedName name="Hist_Year" localSheetId="2">#REF!</definedName>
    <definedName name="Hist_Year">#REF!</definedName>
    <definedName name="Investor_Ownership" localSheetId="8">#REF!</definedName>
    <definedName name="Investor_Ownership" localSheetId="3">#REF!</definedName>
    <definedName name="Investor_Ownership" localSheetId="10">'Returns Analysis '!#REF!</definedName>
    <definedName name="Investor_Ownership" localSheetId="7">#REF!</definedName>
    <definedName name="Investor_Ownership" localSheetId="2">#REF!</definedName>
    <definedName name="Investor_Ownership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1" hidden="1">41666.7099189815</definedName>
    <definedName name="IQ_NAMES_REVISION_DATE_" hidden="1">41743.6402893519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BO_Exit_Date" localSheetId="8">#REF!</definedName>
    <definedName name="LBO_Exit_Date" localSheetId="3">#REF!</definedName>
    <definedName name="LBO_Exit_Date" localSheetId="10">'Returns Analysis '!#REF!</definedName>
    <definedName name="LBO_Exit_Date" localSheetId="7">#REF!</definedName>
    <definedName name="LBO_Exit_Date" localSheetId="2">#REF!</definedName>
    <definedName name="LBO_Exit_Date">#REF!</definedName>
    <definedName name="LBO_Exit_Multiple" localSheetId="8">#REF!</definedName>
    <definedName name="LBO_Exit_Multiple" localSheetId="3">#REF!</definedName>
    <definedName name="LBO_Exit_Multiple" localSheetId="10">'Returns Analysis '!#REF!</definedName>
    <definedName name="LBO_Exit_Multiple" localSheetId="7">#REF!</definedName>
    <definedName name="LBO_Exit_Multiple" localSheetId="2">#REF!</definedName>
    <definedName name="LBO_Exit_Multiple">#REF!</definedName>
    <definedName name="LIBOR_Units" localSheetId="8">#REF!</definedName>
    <definedName name="LIBOR_Units" localSheetId="3">#REF!</definedName>
    <definedName name="LIBOR_Units" localSheetId="10">'Returns Analysis '!#REF!</definedName>
    <definedName name="LIBOR_Units" localSheetId="7">#REF!</definedName>
    <definedName name="LIBOR_Units" localSheetId="2">#REF!</definedName>
    <definedName name="LIBOR_Units">#REF!</definedName>
    <definedName name="LTM_EBITDA" localSheetId="8">#REF!</definedName>
    <definedName name="LTM_EBITDA" localSheetId="3">#REF!</definedName>
    <definedName name="LTM_EBITDA" localSheetId="10">'Returns Analysis '!#REF!</definedName>
    <definedName name="LTM_EBITDA" localSheetId="7">#REF!</definedName>
    <definedName name="LTM_EBITDA" localSheetId="2">#REF!</definedName>
    <definedName name="LTM_EBITDA">#REF!</definedName>
    <definedName name="Min_Cash" localSheetId="8">#REF!</definedName>
    <definedName name="Min_Cash" localSheetId="3">#REF!</definedName>
    <definedName name="Min_Cash" localSheetId="10">'Returns Analysis '!#REF!</definedName>
    <definedName name="Min_Cash" localSheetId="7">#REF!</definedName>
    <definedName name="Min_Cash" localSheetId="2">#REF!</definedName>
    <definedName name="Min_Cash">#REF!</definedName>
    <definedName name="Multiples_Method" localSheetId="8">' DCF '!$F$13</definedName>
    <definedName name="Multiples_Method" localSheetId="10">#REF!</definedName>
    <definedName name="Multiples_Method">#REF!</definedName>
    <definedName name="Num_Store_Toggle" localSheetId="8">#REF!</definedName>
    <definedName name="Num_Store_Toggle" localSheetId="3">#REF!</definedName>
    <definedName name="Num_Store_Toggle" localSheetId="10">'Returns Analysis '!#REF!</definedName>
    <definedName name="Num_Store_Toggle" localSheetId="7">#REF!</definedName>
    <definedName name="Num_Store_Toggle" localSheetId="2">#REF!</definedName>
    <definedName name="Num_Store_Toggle">#REF!</definedName>
    <definedName name="Offer_Price" localSheetId="8">#REF!</definedName>
    <definedName name="Offer_Price" localSheetId="3">#REF!</definedName>
    <definedName name="Offer_Price" localSheetId="10">'Returns Analysis '!#REF!</definedName>
    <definedName name="Offer_Price" localSheetId="7">#REF!</definedName>
    <definedName name="Offer_Price" localSheetId="2">#REF!</definedName>
    <definedName name="Offer_Price">#REF!</definedName>
    <definedName name="PPE_Useful_Life" localSheetId="8">#REF!</definedName>
    <definedName name="PPE_Useful_Life" localSheetId="3">#REF!</definedName>
    <definedName name="PPE_Useful_Life" localSheetId="10">'Returns Analysis '!#REF!</definedName>
    <definedName name="PPE_Useful_Life" localSheetId="7">#REF!</definedName>
    <definedName name="PPE_Useful_Life" localSheetId="2">#REF!</definedName>
    <definedName name="PPE_Useful_Life">#REF!</definedName>
    <definedName name="PPE_Writeup" localSheetId="8">#REF!</definedName>
    <definedName name="PPE_Writeup" localSheetId="3">#REF!</definedName>
    <definedName name="PPE_Writeup" localSheetId="10">'Returns Analysis '!#REF!</definedName>
    <definedName name="PPE_Writeup" localSheetId="7">#REF!</definedName>
    <definedName name="PPE_Writeup" localSheetId="2">#REF!</definedName>
    <definedName name="PPE_Writeup">#REF!</definedName>
    <definedName name="_xlnm.Print_Area" localSheetId="8">' DCF '!$A$1:$R$352</definedName>
    <definedName name="_xlnm.Print_Area" localSheetId="1">'Cover Page'!$A$1:$P$21</definedName>
    <definedName name="_xlnm.Print_Area" localSheetId="10">'Returns Analysis '!$A$1:$L$27</definedName>
    <definedName name="Refinance_Debt" localSheetId="8">#REF!</definedName>
    <definedName name="Refinance_Debt" localSheetId="3">#REF!</definedName>
    <definedName name="Refinance_Debt" localSheetId="10">'Returns Analysis '!#REF!</definedName>
    <definedName name="Refinance_Debt" localSheetId="7">#REF!</definedName>
    <definedName name="Refinance_Debt" localSheetId="2">#REF!</definedName>
    <definedName name="Refinance_Debt">#REF!</definedName>
    <definedName name="Revolver" localSheetId="8">#REF!</definedName>
    <definedName name="Revolver" localSheetId="3">#REF!</definedName>
    <definedName name="Revolver" localSheetId="10">'Returns Analysis '!#REF!</definedName>
    <definedName name="Revolver" localSheetId="7">#REF!</definedName>
    <definedName name="Revolver" localSheetId="2">#REF!</definedName>
    <definedName name="Revolver">#REF!</definedName>
    <definedName name="Revolver_Undrawn_Fee" localSheetId="8">#REF!</definedName>
    <definedName name="Revolver_Undrawn_Fee" localSheetId="3">#REF!</definedName>
    <definedName name="Revolver_Undrawn_Fee" localSheetId="10">'Returns Analysis '!#REF!</definedName>
    <definedName name="Revolver_Undrawn_Fee" localSheetId="7">#REF!</definedName>
    <definedName name="Revolver_Undrawn_Fee" localSheetId="2">#REF!</definedName>
    <definedName name="Revolver_Undrawn_Fee">#REF!</definedName>
    <definedName name="Rollover_Shares" localSheetId="8">#REF!</definedName>
    <definedName name="Rollover_Shares" localSheetId="3">#REF!</definedName>
    <definedName name="Rollover_Shares" localSheetId="10">'Returns Analysis '!#REF!</definedName>
    <definedName name="Rollover_Shares" localSheetId="7">#REF!</definedName>
    <definedName name="Rollover_Shares" localSheetId="2">#REF!</definedName>
    <definedName name="Rollover_Shares">#REF!</definedName>
    <definedName name="Sales_per_Store_Toggle" localSheetId="8">#REF!</definedName>
    <definedName name="Sales_per_Store_Toggle" localSheetId="3">#REF!</definedName>
    <definedName name="Sales_per_Store_Toggle" localSheetId="10">'Returns Analysis '!#REF!</definedName>
    <definedName name="Sales_per_Store_Toggle" localSheetId="7">#REF!</definedName>
    <definedName name="Sales_per_Store_Toggle" localSheetId="2">#REF!</definedName>
    <definedName name="Sales_per_Store_Toggle">#REF!</definedName>
    <definedName name="Share_Price" localSheetId="8">' DCF '!$G$11</definedName>
    <definedName name="Share_Price" localSheetId="10">'Returns Analysis '!#REF!</definedName>
    <definedName name="Share_Price">#REF!</definedName>
    <definedName name="Tax_Rate" localSheetId="8">' DCF '!$K$10</definedName>
    <definedName name="Tax_Rate" localSheetId="3">'[1] DCF valuation'!$K$8</definedName>
    <definedName name="Tax_Rate" localSheetId="10">'Returns Analysis '!#REF!</definedName>
    <definedName name="Tax_Rate" localSheetId="9">'[1] DCF valuation'!$K$8</definedName>
    <definedName name="Tax_Rate">#REF!</definedName>
    <definedName name="Terminal_Growth_Rate" localSheetId="8">' DCF '!$K$15</definedName>
    <definedName name="Terminal_Growth_Rate" localSheetId="3">'[1] DCF valuation'!$K$13</definedName>
    <definedName name="Terminal_Growth_Rate" localSheetId="10">#REF!</definedName>
    <definedName name="Terminal_Growth_Rate" localSheetId="9">'[1] DCF valuation'!$K$13</definedName>
    <definedName name="Terminal_Growth_Rate">#REF!</definedName>
    <definedName name="Terminal_Multiple" localSheetId="8">' DCF '!$F$15</definedName>
    <definedName name="Terminal_Multiple" localSheetId="3">'[1] DCF valuation'!$F$13</definedName>
    <definedName name="Terminal_Multiple" localSheetId="10">#REF!</definedName>
    <definedName name="Terminal_Multiple" localSheetId="9">'[1] DCF valuation'!$F$13</definedName>
    <definedName name="Terminal_Multiple">#REF!</definedName>
    <definedName name="Units" localSheetId="8">#REF!</definedName>
    <definedName name="Units" localSheetId="3">#REF!</definedName>
    <definedName name="Units" localSheetId="10">'Returns Analysis '!#REF!</definedName>
    <definedName name="Units" localSheetId="7">#REF!</definedName>
    <definedName name="Units" localSheetId="2">#REF!</definedName>
    <definedName name="Unit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5" i="42" l="1"/>
  <c r="G315" i="42"/>
  <c r="G305" i="42"/>
  <c r="H303" i="42"/>
  <c r="I303" i="42"/>
  <c r="J303" i="42"/>
  <c r="K303" i="42"/>
  <c r="G303" i="42"/>
  <c r="G284" i="42"/>
  <c r="G272" i="42"/>
  <c r="G265" i="42"/>
  <c r="K218" i="42"/>
  <c r="G218" i="42"/>
  <c r="K201" i="42"/>
  <c r="G201" i="42"/>
  <c r="H198" i="42"/>
  <c r="I198" i="42"/>
  <c r="J198" i="42"/>
  <c r="K198" i="42"/>
  <c r="G198" i="42"/>
  <c r="G196" i="42"/>
  <c r="K182" i="42"/>
  <c r="G182" i="42"/>
  <c r="K72" i="42"/>
  <c r="G72" i="42"/>
  <c r="G184" i="42"/>
  <c r="G187" i="42" s="1"/>
  <c r="H187" i="42"/>
  <c r="I187" i="42"/>
  <c r="J187" i="42"/>
  <c r="K187" i="42"/>
  <c r="H182" i="42"/>
  <c r="I182" i="42"/>
  <c r="J182" i="42"/>
  <c r="J23" i="43"/>
  <c r="I23" i="43"/>
  <c r="H23" i="43"/>
  <c r="G23" i="43"/>
  <c r="C6" i="18" l="1"/>
  <c r="K10" i="43" s="1"/>
  <c r="H300" i="42"/>
  <c r="I300" i="42" s="1"/>
  <c r="J300" i="42" s="1"/>
  <c r="K300" i="42" s="1"/>
  <c r="H281" i="42"/>
  <c r="I281" i="42" s="1"/>
  <c r="J281" i="42" s="1"/>
  <c r="K281" i="42" s="1"/>
  <c r="H262" i="42"/>
  <c r="I262" i="42" s="1"/>
  <c r="J262" i="42" s="1"/>
  <c r="K262" i="42" s="1"/>
  <c r="H257" i="42"/>
  <c r="I257" i="42" s="1"/>
  <c r="J257" i="42" s="1"/>
  <c r="K257" i="42" s="1"/>
  <c r="H252" i="42"/>
  <c r="I252" i="42" s="1"/>
  <c r="J252" i="42" s="1"/>
  <c r="K252" i="42" s="1"/>
  <c r="H247" i="42"/>
  <c r="I247" i="42" s="1"/>
  <c r="J247" i="42" s="1"/>
  <c r="K247" i="42" s="1"/>
  <c r="H242" i="42"/>
  <c r="I242" i="42" s="1"/>
  <c r="J242" i="42" s="1"/>
  <c r="K242" i="42" s="1"/>
  <c r="H237" i="42"/>
  <c r="I237" i="42" s="1"/>
  <c r="J237" i="42" s="1"/>
  <c r="K237" i="42" s="1"/>
  <c r="H232" i="42"/>
  <c r="I232" i="42" s="1"/>
  <c r="J232" i="42" s="1"/>
  <c r="K232" i="42" s="1"/>
  <c r="G233" i="42"/>
  <c r="H227" i="42"/>
  <c r="I227" i="42" s="1"/>
  <c r="J227" i="42" s="1"/>
  <c r="K227" i="42" s="1"/>
  <c r="H222" i="42"/>
  <c r="I222" i="42" s="1"/>
  <c r="J222" i="42" s="1"/>
  <c r="K222" i="42" s="1"/>
  <c r="G263" i="42"/>
  <c r="G258" i="42"/>
  <c r="I263" i="42" l="1"/>
  <c r="H263" i="42"/>
  <c r="J263" i="42" l="1"/>
  <c r="K263" i="42"/>
  <c r="H258" i="42"/>
  <c r="I258" i="42" l="1"/>
  <c r="J258" i="42" l="1"/>
  <c r="K258" i="42"/>
  <c r="E15" i="1" l="1"/>
  <c r="H293" i="42"/>
  <c r="I293" i="42" s="1"/>
  <c r="J293" i="42" s="1"/>
  <c r="K293" i="42" s="1"/>
  <c r="H288" i="42"/>
  <c r="I288" i="42" s="1"/>
  <c r="J288" i="42" s="1"/>
  <c r="K288" i="42" s="1"/>
  <c r="G282" i="42"/>
  <c r="H276" i="42"/>
  <c r="I276" i="42" s="1"/>
  <c r="J276" i="42" s="1"/>
  <c r="K276" i="42" s="1"/>
  <c r="H269" i="42"/>
  <c r="I269" i="42" s="1"/>
  <c r="J269" i="42" s="1"/>
  <c r="K269" i="42" s="1"/>
  <c r="G243" i="42"/>
  <c r="H214" i="42"/>
  <c r="I214" i="42" s="1"/>
  <c r="J214" i="42" s="1"/>
  <c r="K214" i="42" s="1"/>
  <c r="H209" i="42"/>
  <c r="I209" i="42" s="1"/>
  <c r="J209" i="42" s="1"/>
  <c r="K209" i="42" s="1"/>
  <c r="H204" i="42"/>
  <c r="I204" i="42" s="1"/>
  <c r="J204" i="42" s="1"/>
  <c r="K204" i="42" s="1"/>
  <c r="G277" i="42" l="1"/>
  <c r="H282" i="42"/>
  <c r="G248" i="42"/>
  <c r="H248" i="42"/>
  <c r="H238" i="42"/>
  <c r="G238" i="42"/>
  <c r="I282" i="42" l="1"/>
  <c r="I243" i="42"/>
  <c r="H243" i="42"/>
  <c r="J243" i="42"/>
  <c r="K243" i="42"/>
  <c r="I248" i="42"/>
  <c r="I238" i="42"/>
  <c r="J282" i="42" l="1"/>
  <c r="J248" i="42"/>
  <c r="K248" i="42"/>
  <c r="J238" i="42"/>
  <c r="K238" i="42"/>
  <c r="K282" i="42" l="1"/>
  <c r="E11" i="1"/>
  <c r="E12" i="1"/>
  <c r="E10" i="1"/>
  <c r="E9" i="1"/>
  <c r="E8" i="1"/>
  <c r="E7" i="1"/>
  <c r="E6" i="1"/>
  <c r="E5" i="1"/>
  <c r="H228" i="42" l="1"/>
  <c r="G228" i="42" l="1"/>
  <c r="H223" i="42"/>
  <c r="G223" i="42"/>
  <c r="G270" i="42"/>
  <c r="G112" i="42"/>
  <c r="G157" i="42" s="1"/>
  <c r="G115" i="42"/>
  <c r="G160" i="42" s="1"/>
  <c r="H69" i="42"/>
  <c r="I69" i="42" s="1"/>
  <c r="J69" i="42" s="1"/>
  <c r="K69" i="42" s="1"/>
  <c r="K115" i="42" s="1"/>
  <c r="K160" i="42" s="1"/>
  <c r="H66" i="42"/>
  <c r="I66" i="42" s="1"/>
  <c r="J66" i="42" s="1"/>
  <c r="K66" i="42" s="1"/>
  <c r="K112" i="42" s="1"/>
  <c r="K157" i="42" s="1"/>
  <c r="H294" i="42" l="1"/>
  <c r="I228" i="42"/>
  <c r="I223" i="42"/>
  <c r="H253" i="42"/>
  <c r="G253" i="42"/>
  <c r="G294" i="42"/>
  <c r="H301" i="42"/>
  <c r="H296" i="42" s="1"/>
  <c r="G301" i="42"/>
  <c r="G296" i="42" s="1"/>
  <c r="H289" i="42"/>
  <c r="G289" i="42"/>
  <c r="I115" i="42"/>
  <c r="I160" i="42" s="1"/>
  <c r="H112" i="42"/>
  <c r="H157" i="42" s="1"/>
  <c r="H115" i="42"/>
  <c r="H160" i="42" s="1"/>
  <c r="J115" i="42"/>
  <c r="J160" i="42" s="1"/>
  <c r="I112" i="42"/>
  <c r="I157" i="42" s="1"/>
  <c r="J112" i="42"/>
  <c r="J157" i="42" s="1"/>
  <c r="G309" i="42"/>
  <c r="H343" i="42"/>
  <c r="I343" i="42"/>
  <c r="J343" i="42"/>
  <c r="K343" i="42"/>
  <c r="G216" i="42"/>
  <c r="G211" i="42"/>
  <c r="G106" i="42"/>
  <c r="G151" i="42" s="1"/>
  <c r="G85" i="42"/>
  <c r="G130" i="42" s="1"/>
  <c r="G76" i="42"/>
  <c r="H63" i="42"/>
  <c r="I63" i="42" s="1"/>
  <c r="J63" i="42" s="1"/>
  <c r="K63" i="42" s="1"/>
  <c r="K109" i="42" s="1"/>
  <c r="K154" i="42" s="1"/>
  <c r="G94" i="42"/>
  <c r="G139" i="42" s="1"/>
  <c r="G82" i="42"/>
  <c r="G79" i="42"/>
  <c r="G124" i="42" s="1"/>
  <c r="G103" i="42"/>
  <c r="G148" i="42" s="1"/>
  <c r="G100" i="42"/>
  <c r="G145" i="42" s="1"/>
  <c r="G97" i="42"/>
  <c r="G142" i="42" s="1"/>
  <c r="G91" i="42"/>
  <c r="G136" i="42" s="1"/>
  <c r="G88" i="42"/>
  <c r="G133" i="42" s="1"/>
  <c r="I37" i="42"/>
  <c r="J37" i="42"/>
  <c r="K37" i="42"/>
  <c r="H37" i="42"/>
  <c r="H284" i="42" l="1"/>
  <c r="J228" i="42"/>
  <c r="K228" i="42"/>
  <c r="J223" i="42"/>
  <c r="K223" i="42"/>
  <c r="I253" i="42"/>
  <c r="I294" i="42"/>
  <c r="H270" i="42"/>
  <c r="H265" i="42" s="1"/>
  <c r="I301" i="42"/>
  <c r="I296" i="42" s="1"/>
  <c r="I270" i="42"/>
  <c r="I265" i="42" s="1"/>
  <c r="I289" i="42"/>
  <c r="G121" i="42"/>
  <c r="G343" i="42"/>
  <c r="G127" i="42"/>
  <c r="G109" i="42"/>
  <c r="G154" i="42" s="1"/>
  <c r="H60" i="42"/>
  <c r="I60" i="42" s="1"/>
  <c r="J60" i="42" s="1"/>
  <c r="K60" i="42" s="1"/>
  <c r="K106" i="42" s="1"/>
  <c r="K151" i="42" s="1"/>
  <c r="H109" i="42"/>
  <c r="H154" i="42" s="1"/>
  <c r="I109" i="42"/>
  <c r="I154" i="42" s="1"/>
  <c r="J109" i="42"/>
  <c r="J154" i="42" s="1"/>
  <c r="G117" i="42" l="1"/>
  <c r="G162" i="42"/>
  <c r="G165" i="42" s="1"/>
  <c r="I284" i="42"/>
  <c r="J253" i="42"/>
  <c r="K253" i="42"/>
  <c r="J294" i="42"/>
  <c r="K294" i="42"/>
  <c r="K301" i="42"/>
  <c r="K296" i="42" s="1"/>
  <c r="J301" i="42"/>
  <c r="J296" i="42" s="1"/>
  <c r="J270" i="42"/>
  <c r="J265" i="42" s="1"/>
  <c r="K270" i="42"/>
  <c r="K265" i="42" s="1"/>
  <c r="J289" i="42"/>
  <c r="K289" i="42"/>
  <c r="H277" i="42"/>
  <c r="I277" i="42"/>
  <c r="H216" i="42"/>
  <c r="H211" i="42"/>
  <c r="J106" i="42"/>
  <c r="J151" i="42" s="1"/>
  <c r="I106" i="42"/>
  <c r="I151" i="42" s="1"/>
  <c r="H106" i="42"/>
  <c r="H151" i="42" s="1"/>
  <c r="K284" i="42" l="1"/>
  <c r="J284" i="42"/>
  <c r="J277" i="42"/>
  <c r="K277" i="42"/>
  <c r="I216" i="42"/>
  <c r="I211" i="42"/>
  <c r="K216" i="42" l="1"/>
  <c r="J216" i="42"/>
  <c r="J211" i="42"/>
  <c r="K211" i="42"/>
  <c r="H54" i="42" l="1"/>
  <c r="H57" i="42"/>
  <c r="H103" i="42" s="1"/>
  <c r="H148" i="42" s="1"/>
  <c r="H327" i="42"/>
  <c r="G327" i="42"/>
  <c r="H323" i="42"/>
  <c r="H319" i="42"/>
  <c r="K313" i="42"/>
  <c r="G313" i="42"/>
  <c r="K309" i="42"/>
  <c r="J309" i="42"/>
  <c r="I309" i="42"/>
  <c r="H309" i="42"/>
  <c r="H315" i="42" l="1"/>
  <c r="K305" i="42"/>
  <c r="I54" i="42"/>
  <c r="H100" i="42"/>
  <c r="H145" i="42" s="1"/>
  <c r="I57" i="42"/>
  <c r="G323" i="42"/>
  <c r="G319" i="42"/>
  <c r="H313" i="42"/>
  <c r="H305" i="42" s="1"/>
  <c r="I313" i="42"/>
  <c r="I305" i="42" s="1"/>
  <c r="H272" i="42"/>
  <c r="I103" i="42" l="1"/>
  <c r="I148" i="42" s="1"/>
  <c r="J54" i="42"/>
  <c r="I100" i="42"/>
  <c r="I145" i="42" s="1"/>
  <c r="J57" i="42"/>
  <c r="J103" i="42" s="1"/>
  <c r="J148" i="42" s="1"/>
  <c r="G169" i="42"/>
  <c r="G192" i="42" s="1"/>
  <c r="I327" i="42"/>
  <c r="I323" i="42"/>
  <c r="I319" i="42"/>
  <c r="J313" i="42"/>
  <c r="J305" i="42" s="1"/>
  <c r="I272" i="42"/>
  <c r="J272" i="42"/>
  <c r="G175" i="42" l="1"/>
  <c r="K54" i="42"/>
  <c r="J100" i="42"/>
  <c r="J145" i="42" s="1"/>
  <c r="K57" i="42"/>
  <c r="K103" i="42" s="1"/>
  <c r="K148" i="42" s="1"/>
  <c r="I315" i="42"/>
  <c r="J327" i="42"/>
  <c r="K327" i="42"/>
  <c r="J323" i="42"/>
  <c r="K323" i="42"/>
  <c r="J319" i="42"/>
  <c r="K319" i="42"/>
  <c r="K272" i="42"/>
  <c r="K100" i="42" l="1"/>
  <c r="K145" i="42" s="1"/>
  <c r="J315" i="42"/>
  <c r="H42" i="42" l="1"/>
  <c r="H39" i="42"/>
  <c r="H85" i="42" s="1"/>
  <c r="H130" i="42" s="1"/>
  <c r="H36" i="42"/>
  <c r="H82" i="42" s="1"/>
  <c r="H127" i="42" s="1"/>
  <c r="H30" i="42"/>
  <c r="H88" i="42" l="1"/>
  <c r="H133" i="42" s="1"/>
  <c r="I42" i="42"/>
  <c r="I88" i="42" s="1"/>
  <c r="I133" i="42" s="1"/>
  <c r="I30" i="42"/>
  <c r="H76" i="42"/>
  <c r="I36" i="42"/>
  <c r="I82" i="42" s="1"/>
  <c r="I127" i="42" s="1"/>
  <c r="I39" i="42"/>
  <c r="I85" i="42" s="1"/>
  <c r="I130" i="42" s="1"/>
  <c r="H121" i="42" l="1"/>
  <c r="J36" i="42"/>
  <c r="J82" i="42" s="1"/>
  <c r="J127" i="42" s="1"/>
  <c r="J42" i="42"/>
  <c r="J30" i="42"/>
  <c r="I76" i="42"/>
  <c r="J39" i="42"/>
  <c r="J85" i="42" s="1"/>
  <c r="J130" i="42" s="1"/>
  <c r="I121" i="42" l="1"/>
  <c r="K42" i="42"/>
  <c r="K88" i="42" s="1"/>
  <c r="K133" i="42" s="1"/>
  <c r="J88" i="42"/>
  <c r="J133" i="42" s="1"/>
  <c r="K36" i="42"/>
  <c r="K82" i="42" s="1"/>
  <c r="K127" i="42" s="1"/>
  <c r="K39" i="42"/>
  <c r="K85" i="42" s="1"/>
  <c r="K130" i="42" s="1"/>
  <c r="K30" i="42"/>
  <c r="J76" i="42"/>
  <c r="J121" i="42" l="1"/>
  <c r="K76" i="42"/>
  <c r="K121" i="42" l="1"/>
  <c r="H45" i="42"/>
  <c r="I45" i="42" l="1"/>
  <c r="J45" i="42" l="1"/>
  <c r="K45" i="42" l="1"/>
  <c r="K233" i="42" l="1"/>
  <c r="J233" i="42"/>
  <c r="J218" i="42" s="1"/>
  <c r="I233" i="42"/>
  <c r="I218" i="42" s="1"/>
  <c r="H233" i="42"/>
  <c r="H218" i="42" s="1"/>
  <c r="H51" i="42"/>
  <c r="H97" i="42" s="1"/>
  <c r="H142" i="42" s="1"/>
  <c r="H48" i="42"/>
  <c r="H33" i="42"/>
  <c r="H28" i="42"/>
  <c r="I28" i="42" s="1"/>
  <c r="J28" i="42" s="1"/>
  <c r="K28" i="42" s="1"/>
  <c r="H25" i="42"/>
  <c r="I25" i="42" s="1"/>
  <c r="J25" i="42" s="1"/>
  <c r="K25" i="42" s="1"/>
  <c r="B8" i="42"/>
  <c r="H72" i="42" l="1"/>
  <c r="H79" i="42"/>
  <c r="G206" i="42"/>
  <c r="I48" i="42"/>
  <c r="I51" i="42"/>
  <c r="I97" i="42" s="1"/>
  <c r="I142" i="42" s="1"/>
  <c r="I33" i="42"/>
  <c r="G329" i="42" l="1"/>
  <c r="C10" i="18" s="1"/>
  <c r="F20" i="43" s="1"/>
  <c r="F23" i="43" s="1"/>
  <c r="I72" i="42"/>
  <c r="H124" i="42"/>
  <c r="I79" i="42"/>
  <c r="H73" i="42"/>
  <c r="I206" i="42"/>
  <c r="I201" i="42" s="1"/>
  <c r="H206" i="42"/>
  <c r="J51" i="42"/>
  <c r="J97" i="42" s="1"/>
  <c r="J142" i="42" s="1"/>
  <c r="J48" i="42"/>
  <c r="J206" i="42"/>
  <c r="J201" i="42" s="1"/>
  <c r="K206" i="42"/>
  <c r="J33" i="42"/>
  <c r="H201" i="42" l="1"/>
  <c r="J72" i="42"/>
  <c r="I329" i="42"/>
  <c r="I124" i="42"/>
  <c r="J79" i="42"/>
  <c r="I73" i="42"/>
  <c r="K51" i="42"/>
  <c r="K97" i="42" s="1"/>
  <c r="K142" i="42" s="1"/>
  <c r="K48" i="42"/>
  <c r="J329" i="42"/>
  <c r="K329" i="42"/>
  <c r="K33" i="42"/>
  <c r="H329" i="42" l="1"/>
  <c r="G331" i="42"/>
  <c r="G332" i="42" s="1"/>
  <c r="J124" i="42"/>
  <c r="K79" i="42"/>
  <c r="J73" i="42"/>
  <c r="C5" i="34" l="1"/>
  <c r="K124" i="42"/>
  <c r="K73" i="42"/>
  <c r="G350" i="42"/>
  <c r="G334" i="42"/>
  <c r="G336" i="42" s="1"/>
  <c r="G347" i="42" l="1"/>
  <c r="E7" i="13" l="1"/>
  <c r="E7" i="26" l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D11" i="10"/>
  <c r="E8" i="13"/>
  <c r="E10" i="13"/>
  <c r="E11" i="13"/>
  <c r="E13" i="13"/>
  <c r="E12" i="13"/>
  <c r="E9" i="13"/>
  <c r="E14" i="13" l="1"/>
  <c r="C7" i="25"/>
  <c r="C4" i="26"/>
  <c r="C21" i="26" s="1"/>
  <c r="C4" i="13"/>
  <c r="C6" i="25"/>
  <c r="E6" i="25" s="1"/>
  <c r="C9" i="25" l="1"/>
  <c r="C16" i="13"/>
  <c r="C8" i="25" l="1"/>
  <c r="E7" i="25"/>
  <c r="E9" i="25" l="1"/>
  <c r="E8" i="25" l="1"/>
  <c r="H91" i="42"/>
  <c r="I91" i="42"/>
  <c r="J91" i="42"/>
  <c r="K91" i="42"/>
  <c r="K136" i="42" l="1"/>
  <c r="J136" i="42"/>
  <c r="I136" i="42"/>
  <c r="H136" i="42"/>
  <c r="H94" i="42" l="1"/>
  <c r="H117" i="42" s="1"/>
  <c r="I94" i="42"/>
  <c r="I117" i="42" s="1"/>
  <c r="J94" i="42"/>
  <c r="J117" i="42" s="1"/>
  <c r="K94" i="42"/>
  <c r="K117" i="42" s="1"/>
  <c r="K139" i="42" l="1"/>
  <c r="H139" i="42"/>
  <c r="H162" i="42" s="1"/>
  <c r="H118" i="42"/>
  <c r="I139" i="42"/>
  <c r="J139" i="42"/>
  <c r="J162" i="42" l="1"/>
  <c r="J165" i="42" s="1"/>
  <c r="I162" i="42"/>
  <c r="K162" i="42"/>
  <c r="K165" i="42" s="1"/>
  <c r="J118" i="42"/>
  <c r="K118" i="42"/>
  <c r="I118" i="42"/>
  <c r="H165" i="42" l="1"/>
  <c r="H169" i="42" s="1"/>
  <c r="I165" i="42"/>
  <c r="K163" i="42"/>
  <c r="H163" i="42"/>
  <c r="H192" i="42" l="1"/>
  <c r="H170" i="42"/>
  <c r="H175" i="42"/>
  <c r="I169" i="42"/>
  <c r="I192" i="42" s="1"/>
  <c r="I163" i="42"/>
  <c r="J163" i="42"/>
  <c r="I196" i="42" l="1"/>
  <c r="H196" i="42"/>
  <c r="H199" i="42" s="1"/>
  <c r="I175" i="42"/>
  <c r="J169" i="42"/>
  <c r="J192" i="42" s="1"/>
  <c r="I170" i="42"/>
  <c r="I331" i="42" l="1"/>
  <c r="I332" i="42" s="1"/>
  <c r="J196" i="42"/>
  <c r="H331" i="42"/>
  <c r="H332" i="42" s="1"/>
  <c r="J170" i="42"/>
  <c r="J175" i="42"/>
  <c r="K169" i="42"/>
  <c r="K192" i="42" s="1"/>
  <c r="J199" i="42" l="1"/>
  <c r="K196" i="42"/>
  <c r="I350" i="42"/>
  <c r="I334" i="42"/>
  <c r="I336" i="42" s="1"/>
  <c r="I347" i="42" s="1"/>
  <c r="H334" i="42"/>
  <c r="H336" i="42" s="1"/>
  <c r="H347" i="42" s="1"/>
  <c r="H348" i="42" s="1"/>
  <c r="H350" i="42"/>
  <c r="H351" i="42" s="1"/>
  <c r="I199" i="42"/>
  <c r="K175" i="42"/>
  <c r="K170" i="42"/>
  <c r="K199" i="42" l="1"/>
  <c r="J331" i="42"/>
  <c r="J334" i="42" s="1"/>
  <c r="J336" i="42" s="1"/>
  <c r="J347" i="42" s="1"/>
  <c r="J348" i="42" s="1"/>
  <c r="I351" i="42"/>
  <c r="I348" i="42"/>
  <c r="J350" i="42" l="1"/>
  <c r="J351" i="42" s="1"/>
  <c r="J332" i="42"/>
  <c r="K331" i="42"/>
  <c r="K332" i="42" l="1"/>
  <c r="K334" i="42"/>
  <c r="K336" i="42" s="1"/>
  <c r="K347" i="42" s="1"/>
  <c r="K20" i="42" s="1"/>
  <c r="K350" i="42"/>
  <c r="F16" i="42" s="1"/>
  <c r="C5" i="18" l="1"/>
  <c r="K11" i="43" s="1"/>
  <c r="K13" i="43" s="1"/>
  <c r="K351" i="42"/>
  <c r="F20" i="42"/>
  <c r="K16" i="42"/>
  <c r="K17" i="42" s="1"/>
  <c r="K348" i="42"/>
  <c r="K15" i="43" l="1"/>
  <c r="K16" i="43" s="1"/>
  <c r="K19" i="42"/>
  <c r="K21" i="42" s="1"/>
  <c r="C11" i="25" s="1"/>
  <c r="E11" i="25" s="1"/>
  <c r="F19" i="42"/>
  <c r="F21" i="42" s="1"/>
  <c r="C10" i="25" s="1"/>
  <c r="E10" i="25" s="1"/>
  <c r="F17" i="42"/>
  <c r="C7" i="18"/>
  <c r="C12" i="18" s="1"/>
  <c r="K23" i="42" l="1"/>
  <c r="C12" i="25"/>
  <c r="E12" i="25" s="1"/>
  <c r="E14" i="25" s="1"/>
  <c r="C6" i="34" s="1"/>
  <c r="C8" i="34" s="1"/>
  <c r="K22" i="43" s="1"/>
  <c r="K23" i="43" s="1"/>
  <c r="C13" i="18"/>
  <c r="C14" i="18"/>
  <c r="F23" i="42"/>
  <c r="F26" i="43" l="1"/>
  <c r="F25" i="43"/>
  <c r="C15" i="18"/>
  <c r="C16" i="18"/>
  <c r="C17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BIWS</author>
  </authors>
  <commentList>
    <comment ref="G81" authorId="0" shapeId="0" xr:uid="{0F6BAA31-EC71-441C-9350-EA7167AB6C0C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2" authorId="0" shapeId="0" xr:uid="{23A66B28-67EF-40EA-A738-EBFCC54CE31D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4" authorId="0" shapeId="0" xr:uid="{86E849F2-636E-4030-86CA-76234A86060C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5" authorId="0" shapeId="0" xr:uid="{4FE04A8F-6680-491A-89E1-A299A977249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40 of 10-K.</t>
        </r>
      </text>
    </comment>
    <comment ref="G87" authorId="0" shapeId="0" xr:uid="{5977E2DB-02AE-428F-B297-CC0AD478E728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Company's estimates on pg. 40 of 10-K would imply ~1.5%, but we disagree and are using a higher %.</t>
        </r>
      </text>
    </comment>
    <comment ref="G92" authorId="0" shapeId="0" xr:uid="{4A0B21D3-003C-47D0-A3C5-9563889D2E11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Gradually declines over time as existing assets are depreciated away and hit end of useful lives.</t>
        </r>
      </text>
    </comment>
    <comment ref="G340" authorId="0" shapeId="0" xr:uid="{40F87FD1-22FD-4235-99FD-777D790AF5E5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H340" authorId="0" shapeId="0" xr:uid="{3C76C049-B2AE-44B6-B64B-1AF36FECFF62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I340" authorId="0" shapeId="0" xr:uid="{8BF184DB-E7BC-45ED-ABC0-3CE3CFC3C92A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G341" authorId="0" shapeId="0" xr:uid="{F8D60F4A-41B2-4F2D-A674-A3D078864DC4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H341" authorId="0" shapeId="0" xr:uid="{46D995BA-90E2-4C95-9F6A-66DCDF0E83FD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I341" authorId="0" shapeId="0" xr:uid="{28452348-F6D4-4DEA-9AB9-DCE47CCF2253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J341" authorId="0" shapeId="0" xr:uid="{28753CB8-28C0-412A-A61F-E207B29417DB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  <comment ref="K341" authorId="0" shapeId="0" xr:uid="{68343A0E-B6CC-42BC-8C83-A1510A5EEBF3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schedule on pg. 42 of 10-K.</t>
        </r>
      </text>
    </comment>
  </commentList>
</comments>
</file>

<file path=xl/sharedStrings.xml><?xml version="1.0" encoding="utf-8"?>
<sst xmlns="http://schemas.openxmlformats.org/spreadsheetml/2006/main" count="643" uniqueCount="289">
  <si>
    <t>Company Name</t>
  </si>
  <si>
    <t>Average</t>
  </si>
  <si>
    <t>Median</t>
  </si>
  <si>
    <t>AwABTAVMT0NBTAFI/////wFQPgAAACxDSVEuTkFTREFRR1M6TU5TVC5JUV9NQVJLRVRDQVAuMy8xOS8yMDE0LlVTRAEAAACxPgUAAgAAAAsxMTYxNy45NzY3NAEGAAAABQAAAAExAQAAAAoxNjYxMjI3MjI2AwAAAAMxNjACAAAABjEwMDA1NAQAAAABMAcAAAAJMy8xOS8yMDE0TEhDuK8R0QhT00YnshHRCDFDSVEuTkFTREFRR1M6TU5TVC5JUV9OSV9OT1JNLjIwMDAuMy8xOS8yMDE0Li4uVVNEAQAAALE+BQACAAAACjM1Ny40ODY4NzUBCAAAAAUAAAABMQEAAAAKMTY2MTIyNzE2MQMAAAADMTYwAgAAAAQ0Mzc4BAAAAAEwBwAAAAkzLzE5LzIwMTQIAAAACjEyLzMxLzIwMTMJAAAAATBw0vpIsRHRCFPTRieyEdEIHUNJUS5OWVNFOktPLklRX01BUktFVENBUC4uVVNEAQAAABJoAAACAAAADDE2ODA0MC43NTkwMgEGAAAABQAAAAExAQAAAAoxNjYwNzU3ODQzAwAAAAMxNjACAAAABjEwMDA1NAQAAAABMAcAAAAJMy8xOS8yMDE0TEhDuK8R0Qg3fBTtsRHRCDNDSVEuTllTRTpEUFMuSVFfRElMVVRfRVBTX05PUk0uMjAwMC4zLzE5LzIwMTQuLi5VU0QBAAAAxxqNAAIAAAAIMy4wMzE3ODQBCAAAAAUAAAABMQEAAAAKMTY1OTQyMTUwMQMAAAADMTYwAgAAAAQ0MzgwBAAAAAEwBwAAAAkzLzE5LzIwMTQIAAAACjEyLzMxLzIwMTMJAAAAATCD2ZMZsRHRCIC3mhmxEdEIKkNJUS5OWVNFOlBFUC5JUV9ESUxVVF9FUFNfTk9</t>
  </si>
  <si>
    <t>STS4yMDAwLi4uLlVTRAEAAABWgAAAAgAAAAgzLjYwMTI4MgEIAAAABQAAAAExAQAAAAoxNjU4MzQyMjU4AwAAAAMxNjACAAAABDQzODAEAAAAATAHAAAACTMvMTkvMjAxNAgAAAAKMTIvMjgvMjAxMwkAAAABMOXbLBexEdEIN300F7ER0QgmQ0lRLk5BU0RBUUdTOk1OU1QuSVFfVEVWLjMvMTkvMjAxNC5VU0QBAAAAsT4FAAIAAAALMTEwMDQuMzgwNzQBBgAAAAUAAAABMQEAAAAKMTY2MTIyNzIyNgMAAAADMTYwAgAAAAYxMDAwNjAEAAAAATAHAAAACTMvMTkvMjAxNBQVWmCwEdEIMYVGJ7IR0QggQ0lRLk5ZU0U6UEVQLklRX0VCSVQuMjAwMC4uLi5VU0QBAAAAVoAAAAIAAAAEOTg3OAEIAAAABQAAAAExAQAAAAoxNjU4MzQyMjU4AwAAAAMxNjACAAAAAzQwMAQAAAABMAcAAAAJMy8xOS8yMDE0CAAAAAoxMi8yOC8yMDEzCQAAAAEw16lM67AR0QiQ61LrsBHRCB5DSVEuT1RDUEs6SlNEQS5JUV9DT01QQU5ZX05BTUUBAAAAaFYGAAMAAAAOSm9uZXMgU29kYSBDby4ADZZ0O68R0QidZhXtsRHRCCxDSVEuTkFTREFRR1M6RklaWi5JUV9NQVJLRVRDQVAuMy8xOS8yMDE0LlVTRAEAAACa6AQAAgAAAAk5NjQuMTg5NzMBBgAAAAUAAAABMQEAAAAKMTY2MTQwMzUyNAMAAAADMTYwAgAAAAYxMDAwNTQEAAAAATAHAAAACTMvMTkvMjAxNExIQ7ivEdEIU9NGJ7IR0QguQ0lRLk5BU0RBUUdTOkZJWlouSVFfRUJJVC4yMDAwLj</t>
  </si>
  <si>
    <t>MvMTkvMjAxNC4uLlVTRAEAAACa6AQAAgAAAAY2Ni4xMzkBCAAAAAUAAAABMQEAAAAKMTY2MTQwMzg0NQMAAAADMTYwAgAAAAM0MDAEAAAAATAHAAAACTMvMTkvMjAxNAgAAAAJMS8yNS8yMDE0CQAAAAEw+/vx7rAR0QhCrEYnshHRCDNDSVEuTllTRTpQRVAuSVFfRElMVVRfRVBTX05PUk0uMjAwMC4zLzE5LzIwMTQuLi5VU0QBAAAAVoAAAAIAAAAIMy42MDEyODIBCAAAAAUAAAABMQEAAAAKMTY1ODM0MjI1OAMAAAADMTYwAgAAAAQ0MzgwBAAAAAEwBwAAAAkzLzE5LzIwMTQIAAAACjEyLzI4LzIwMTMJAAAAATDl2ywXsRHRCDd9NBexEdEIJ0NJUS5OWVNFOkRQUy5JUV9NQVJLRVRDQVAuMy8xOS8yMDE0LlVTRAEAAADHGo0AAgAAAAsxMDMyNS44ODkzOAEGAAAABQAAAAExAQAAAAoxNjU5NDIxNjE1AwAAAAMxNjACAAAABjEwMDA1NAQAAAABMAcAAAAJMy8xOS8yMDE0TEhDuK8R0QhCrEYnshHRCCxDSVEuTllTRTpQRVAuSVFfTklfTk9STS4yMDAwLjMvMTkvMjAxNC4uLlVTRAEAAABWgAAAAgAAAAQ1NjE4AQgAAAAFAAAAATEBAAAACjE2NTgzNDIyNTgDAAAAAzE2MAIAAAAENDM3OAQAAAABMAcAAAAJMy8xOS8yMDE0CAAAAAoxMi8yOC8yMDEzCQAAAAEwLkDjPrER0QhCrEYnshHRCCNDSVEuT1RDUEs6SlNEQS5JUV9URVYuMy8xOS8yMDE0LlVTRAEAAABoVgYAAgAAAAkxNi4zNzE3OTEBBgAAAAUAAAABMQEAA</t>
  </si>
  <si>
    <t>AAKMTY2MTY3NTAwNgMAAAADMTYwAgAAAAYxMDAwNjAEAAAAATAHAAAACTMvMTkvMjAxNBQVWmCwEdEISKMU7bER0QgpQ0lRLk5ZU0U6S08uSVFfRElMVVRfRVBTX05PUk0uMjAwMC4uLi5VU0QBAAAAEmgAAAIAAAAIMS42MzY4MzcBCAAAAAUAAAABMQEAAAAKMTY2MDc1NjM1NQMAAAADMTYwAgAAAAQ0MzgwBAAAAAEwBwAAAAkzLzE5LzIwMTQIAAAACjEyLzMxLzIwMTMJAAAAATCD2ZMZsRHRCG+QmhmxEdEIM0NJUS5OQVNEQVFHUzpNTlNULklRX1RPVEFMX1JFVi4yMDAwLjMvMTkvMjAxNC4uLlVTRAEAAACxPgUAAgAAAAgyMjQ2LjQyOAEIAAAABQAAAAExAQAAAAoxNjYxMjI3MTYxAwAAAAMxNjACAAAAAjI4BAAAAAEwBwAAAAkzLzE5LzIwMTQIAAAACjEyLzMxLzIwMTMJAAAAATBcdHmtsBHRCFPTRieyEdEIJkNJUS5OQVNEQVFHUzpGSVpaLklRX1RFVi4zLzE5LzIwMTQuVVNEAQAAAJroBAACAAAACTk2Ny41MjQ3MwEGAAAABQAAAAExAQAAAAoxNjYxNDAzNTI0AwAAAAMxNjACAAAABjEwMDA2MAQAAAABMAcAAAAJMy8xOS8yMDE0FBVaYLAR0QgxhUYnshHRCCxDSVEuTllTRTpEUFMuSVFfTklfTk9STS4yMDAwLjMvMTkvMjAxNC4uLlVTRAEAAADHGo0AAgAAAAM2MjABCAAAAAUAAAABMQEAAAAKMTY1OTQyMTUwMQMAAAADMTYwAgAAAAQ0Mzc4BAAAAAEwBwAAAAkzLzE5LzIwMTQIAAAACjEyLzMxLzIwMTMJ</t>
  </si>
  <si>
    <t>AAAAATBw0vpIsRHRCEKsRieyEdEII0NJUS5OWVNFOlBFUC5JUV9OSV9OT1JNLjIwMDAuLi4uVVNEAQAAAFaAAAACAAAABDU2MTgBCAAAAAUAAAABMQEAAAAKMTY1ODM0MjI1OAMAAAADMTYwAgAAAAQ0Mzc4BAAAAAEwBwAAAAkzLzE5LzIwMTQIAAAACjEyLzI4LzIwMTMJAAAAATAuQOM+sRHRCE1s6j6xEdEILkNJUS5OWVNFOkRQUy5JUV9UT1RBTF9SRVYuMjAwMC4zLzE5LzIwMTQuLi5VU0QBAAAAxxqNAAIAAAAENTk5NwEIAAAABQAAAAExAQAAAAoxNjU5NDIxNTAxAwAAAAMxNjACAAAAAjI4BAAAAAEwBwAAAAkzLzE5LzIwMTQIAAAACjEyLzMxLzIwMTMJAAAAATBcdHmtsBHRCFPTRieyEdEIK0NJUS5OWVNFOlBFUC5JUV9MQVNUU0FMRVBSSUNFLjMvMTkvMjAxNC5VU0QBAAAAVoAAAAIAAAAFODEuMzcAp8xSi68R0Qhk+kYnshHRCDNDSVEuTkFTREFRR1M6RklaWi5JUV9UT1RBTF9SRVYuMjAwMC4zLzE5LzIwMTQuLi5VU0QBAAAAmugEAAIAAAAGNjQ0LjY2AQgAAAAFAAAAATEBAAAACjE2NjE0MDM4NDUDAAAAAzE2MAIAAAACMjgEAAAAATAHAAAACTMvMTkvMjAxNAgAAAAJMS8yNS8yMDE0CQAAAAEwXHR5rbAR0QhT00YnshHRCCtDSVEuTllTRTpEUFMuSVFfRUJJVERBLjIwMDAuMy8xOS8yMDE0Li4uVVNEAQAAAMcajQACAAAABDEzMTkBCAAAAAUAAAABMQEAAAAKMTY1OTQyMTUwMQMAAAADMTYwAgAAAAQ</t>
  </si>
  <si>
    <t>0MDUxBAAAAAEwBwAAAAkzLzE5LzIwMTQIAAAACjEyLzMxLzIwMTMJAAAAATDu+DTdsBHRCDGFRieyEdEIIENJUS5OWVNFOktPLklRX1RFVi4zLzE5LzIwMTQuVVNEAQAAABJoAAACAAAADDE4NTEyMS43NTkwMgEGAAAABQAAAAExAQAAAAoxNjYwNzU3ODQzAwAAAAMxNjACAAAABjEwMDA2MAQAAAABMAcAAAAJMy8xOS8yMDE0FBVaYLAR0QggXkYnshHRCDVDSVEuT1RDUEs6SlNEQS5JUV9ESUxVVF9FUFNfTk9STS4yMDAwLjMvMTkvMjAxNC4uLlVTRAEAAABoVgYAAgAAAAktMC4wMjk2MDMBCAAAAAUAAAABMQEAAAAKMTY2MjUxMTgyNgMAAAADMTYwAgAAAAQ0MzgwBAAAAAEwBwAAAAkzLzE5LzIwMTQIAAAACjEyLzMxLzIwMTMJAAAAATCD2ZMZsRHRCJHemhmxEdEIG0NJUS5OWVNFOktPLklRX0NPTVBBTllfTkFNRQEAAAASaAAAAwAAABVUaGUgQ29jYS1Db2xhIENvbXBhbnkADZZ0O68R0Qhk+kYnshHRCDhDSVEuTkFTREFRR1M6RklaWi5JUV9ESUxVVF9FUFNfTk9STS4yMDAwLjMvMTkvMjAxNC4uLlVTRAEAAACa6AQAAgAAAAgwLjg4MTMxOQEIAAAABQAAAAExAQAAAAoxNjYxNDAzODQ1AwAAAAMxNjACAAAABDQzODAEAAAAATAHAAAACTMvMTkvMjAxNAgAAAAJMS8yNS8yMDE0CQAAAAEwg9mTGbER0QiAt5oZsRHRCCZDSVEuTllTRTpLTy5JUV9NQVJLRVRDQVAuMy8xOS8yMDE0LlVTRAEAAAASaAAAAgAAAA</t>
  </si>
  <si>
    <t>wxNjgwNDAuNzU5MDIBBgAAAAUAAAABMQEAAAAKMTY2MDc1Nzg0MwMAAAADMTYwAgAAAAYxMDAwNTQEAAAAATAHAAAACTMvMTkvMjAxNExIQ7ivEdEIQqxGJ7IR0QgqQ0lRLk5ZU0U6S08uSVFfTEFTVFNBTEVQUklDRS4zLzE5LzIwMTQuVVNEAQAAABJoAAACAAAABTM4LjE0AENdCJCvEdEIZPpGJ7IR0QgpQ0lRLk5ZU0U6UEVQLklRX0VCSVQuMjAwMC4zLzE5LzIwMTQuLi5VU0QBAAAAVoAAAAIAAAAEOTg3OAEIAAAABQAAAAExAQAAAAoxNjU4MzQyMjU4AwAAAAMxNjACAAAAAzQwMAQAAAABMAcAAAAJMy8xOS8yMDE0CAAAAAoxMi8yOC8yMDEzCQAAAAEw16lM67AR0QgxhUYnshHRCDJDSVEuTllTRTpLTy5JUV9ESUxVVF9FUFNfTk9STS4yMDAwLjMvMTkvMjAxNC4uLlVTRAEAAAASaAAAAgAAAAgxLjYzNjgzNwEIAAAABQAAAAExAQAAAAoxNjYwNzU2MzU1AwAAAAMxNjACAAAABDQzODAEAAAAATAHAAAACTMvMTkvMjAxNAgAAAAKMTIvMzEvMjAxMwkAAAABMIPZkxmxEdEIgLeaGbER0QgtQ0lRLk9UQ1BLOkpTREEuSVFfTEFTVFNBTEVQUklDRS4zLzE5LzIwMTQuVVNEAQAAAGhWBgACAAAABDAuNDYAQ10IkK8R0QiMPxXtsRHRCCtDSVEuTllTRTpEUFMuSVFfTEFTVFNBTEVQUklDRS4zLzE5LzIwMTQuVVNEAQAAAMcajQACAAAABTUyLjMxAENdCJCvEdEIZPpGJ7IR0QgrQ0lRLk5ZU0U6UEVQLklRX0VCSVREQ</t>
  </si>
  <si>
    <t>S4yMDAwLjMvMTkvMjAxNC4uLlVTRAEAAABWgAAAAgAAAAUxMjM0NAEIAAAABQAAAAExAQAAAAoxNjU4MzQyMjU4AwAAAAMxNjACAAAABDQwNTEEAAAAATAHAAAACTMvMTkvMjAxNAgAAAAKMTIvMjgvMjAxMwkAAAABMBkFBtewEdEIIF5GJ7IR0QgcQ0lRLk5ZU0U6RFBTLklRX0NPTVBBTllfTkFNRQEAAADHGo0AAwAAAB1EciBQZXBwZXIgU25hcHBsZSBHcm91cCwgSW5jLgCV7i1LrxHRCGT6RieyEdEILkNJUS5PVENQSzpKU0RBLklRX05JX05PUk0uMjAwMC4zLzE5LzIwMTQuLi5VU0QBAAAAaFYGAAIAAAAHLTEuMTQyNQEIAAAABQAAAAExAQAAAAoxNjYyNTExODI2AwAAAAMxNjACAAAABDQzNzgEAAAAATAHAAAACTMvMTkvMjAxNAgAAAAKMTIvMzEvMjAxMwkAAAABMHDS+kixEdEISKMU7bER0QgtQ0lRLk5ZU0U6S08uSVFfVE9UQUxfUkVWLjIwMDAuMy8xOS8yMDE0Li4uVVNEAQAAABJoAAACAAAABTQ2ODU0AQgAAAAFAAAAATEBAAAACjE2NjA3NTYzNTUDAAAAAzE2MAIAAAACMjgEAAAAATAHAAAACTMvMTkvMjAxNAgAAAAKMTIvMzEvMjAxMwkAAAABMFx0ea2wEdEIU9NGJ7IR0QgXQ0lRLk5ZU0U6S08uSVFfVEVWLi5VU0QBAAAAEmgAAAIAAAAMMTg1MTIxLjc1OTAyAQYAAAAFAAAAATEBAAAACjE2NjA3NTc4NDMDAAAAAzE2MAIAAAAGMTAwMDYwBAAAAAEwBwAAAAkzLzE5LzIwMTQUFVpgsBHRCCBeRiey</t>
  </si>
  <si>
    <t>EdEIOENJUS5OQVNEQVFHUzpNTlNULklRX0RJTFVUX0VQU19OT1JNLjIwMDAuMy8xOS8yMDE0Li4uVVNEAQAAALE+BQACAAAACDIuMDYxNzg1AQgAAAAFAAAAATEBAAAACjE2NjEyMjcxNjEDAAAAAzE2MAIAAAAENDM4MAQAAAABMAcAAAAJMy8xOS8yMDE0CAAAAAoxMi8zMS8yMDEzCQAAAAEwg9mTGbER0QiAt5oZsRHRCCtDSVEuTllTRTpLTy5JUV9OSV9OT1JNLjIwMDAuMy8xOS8yMDE0Li4uVVNEAQAAABJoAAACAAAABjczODAuNQEIAAAABQAAAAExAQAAAAoxNjYwNzU2MzU1AwAAAAMxNjACAAAABDQzNzgEAAAAATAHAAAACTMvMTkvMjAxNAgAAAAKMTIvMzEvMjAxMwkAAAABMHDS+kixEdEIQqxGJ7IR0QgfQ0lRLk5ZU0U6S08uSVFfRUJJVC4yMDAwLi4uLlVTRAEAAAASaAAAAgAAAAUxMTEyNwEIAAAABQAAAAExAQAAAAoxNjYwNzU2MzU1AwAAAAMxNjACAAAAAzQwMAQAAAABMAcAAAAJMy8xOS8yMDE0CAAAAAoxMi8zMS8yMDEzCQAAAAEw+/vx7rAR0QiAEvrusBHRCCFDSVEuTllTRTpEUFMuSVFfVEVWLjMvMTkvMjAxNC5VU0QBAAAAxxqNAAIAAAALMTI3NjMuODg5MzgBBgAAAAUAAAABMQEAAAAKMTY1OTQyMTYxNQMAAAADMTYwAgAAAAYxMDAwNjAEAAAAATAHAAAACTMvMTkvMjAxNBQVWmCwEdEIMYVGJ7IR0QgwQ0lRLk5BU0RBUUdTOkZJWlouSVFfTEFTVFNBTEVQUklDRS4zLzE5LzIwMTQuVVNEAQA</t>
  </si>
  <si>
    <t>AAJroBAACAAAABTIwLjgxAENdCJCvEdEIZPpGJ7IR0QgwQ0lRLk5BU0RBUUdTOkZJWlouSVFfRUJJVERBLjIwMDAuMy8xOS8yMDE0Li4uVVNEAQAAAJroBAACAAAABjc3LjYxNQEIAAAABQAAAAExAQAAAAoxNjYxNDAzODQ1AwAAAAMxNjACAAAABDQwNTEEAAAAATAHAAAACTMvMTkvMjAxNAgAAAAJMS8yNS8yMDE0CQAAAAEw/x813bAR0QgxhUYnshHRCCtDSVEuT1RDUEs6SlNEQS5JUV9FQklULjIwMDAuMy8xOS8yMDE0Li4uVVNEAQAAAGhWBgACAAAABi0xLjgzOAEIAAAABQAAAAExAQAAAAoxNjYyNTExODI2AwAAAAMxNjACAAAAAzQwMAQAAAABMAcAAAAJMy8xOS8yMDE0CAAAAAoxMi8zMS8yMDEzCQAAAAEw+/vx7rAR0QhZyhTtsRHRCCFDSVEuTkFTREFRR1M6RklaWi5JUV9DT01QQU5ZX05BTUUBAAAAmugEAAMAAAAXTmF0aW9uYWwgQmV2ZXJhZ2UgQ29ycC4ADZZ0O68R0Qhk+kYnshHRCCFDSVEuTllTRTpQRVAuSVFfVEVWLjMvMTkvMjAxNC5VU0QBAAAAVoAAAAIAAAAMMTQzODI0LjA1ODQyAQYAAAAFAAAAATEBAAAACjE2NTgzNDM0MDQDAAAAAzE2MAIAAAAGMTAwMDYwBAAAAAEwBwAAAAkzLzE5LzIwMTR8F0ldsBHRCCBeRieyEdEIMUNJUS5OQVNEQVFHUzpGSVpaLklRX05JX05PUk0uMjAwMC4zLzE5LzIwMTQuLi5VU0QBAAAAmugEAAIAAAAJNDAuOTkwNjI1AQgAAAAFAAAAATEBAAAACjE2NjE0MD</t>
  </si>
  <si>
    <t>M4NDUDAAAAAzE2MAIAAAAENDM3OAQAAAABMAcAAAAJMy8xOS8yMDE0CAAAAAkxLzI1LzIwMTQJAAAAATBw0vpIsRHRCFPTRieyEdEILkNJUS5OQVNEQVFHUzpNTlNULklRX0VCSVQuMjAwMC4zLzE5LzIwMTQuLi5VU0QBAAAAsT4FAAIAAAAHNTgzLjcxNgEIAAAABQAAAAExAQAAAAoxNjYxMjI3MTYxAwAAAAMxNjACAAAAAzQwMAQAAAABMAcAAAAJMy8xOS8yMDE0CAAAAAoxMi8zMS8yMDEzCQAAAAEw+/vx7rAR0QhCrEYnshHRCDBDSVEuT1RDUEs6SlNEQS5JUV9UT1RBTF9SRVYuMjAwMC4zLzE5LzIwMTQuLi5VU0QBAAAAaFYGAAIAAAAGMTMuNjk2AQgAAAAFAAAAATEBAAAACjE2NjI1MTE4MjYDAAAAAzE2MAIAAAACMjgEAAAAATAHAAAACTMvMTkvMjAxNAgAAAAKMTIvMzEvMjAxMwkAAAABMFx0ea2wEdEIexgV7bER0QgoQ0lRLk5ZU0U6S08uSVFfRUJJVC4yMDAwLjMvMTkvMjAxNC4uLlVTRAEAAAASaAAAAgAAAAUxMTEyNwEIAAAABQAAAAExAQAAAAoxNjYwNzU2MzU1AwAAAAMxNjACAAAAAzQwMAQAAAABMAcAAAAJMy8xOS8yMDE0CAAAAAoxMi8zMS8yMDEzCQAAAAEw+/vx7rAR0QgxhUYnshHRCDBDSVEuTkFTREFRR1M6TU5TVC5JUV9MQVNUU0FMRVBSSUNFLjMvMTkvMjAxNC5VU0QBAAAAsT4FAAIAAAAFNjkuNjIAQ10IkK8R0Qhk+kYnshHRCBxDSVEuTllTRTpQRVAuSVFfQ09NUEFOWV9OQU1FAQAAA</t>
  </si>
  <si>
    <t>FaAAAADAAAADVBlcHNpY28sIEluYy4A6ytnM68R0Qh1IUcnshHRCC5DSVEuTllTRTpQRVAuSVFfVE9UQUxfUkVWLjIwMDAuMy8xOS8yMDE0Li4uVVNEAQAAAFaAAAACAAAABTY2NDE1AQgAAAAFAAAAATEBAAAACjE2NTgzNDIyNTgDAAAAAzE2MAIAAAACMjgEAAAAATAHAAAACTMvMTkvMjAxNAgAAAAKMTIvMjgvMjAxMwkAAAABMN56ZauwEdEIU9NGJ7IR0QgtQ0lRLk9UQ1BLOkpTREEuSVFfRUJJVERBLjIwMDAuMy8xOS8yMDE0Li4uVVNEAQAAAGhWBgACAAAABi0xLjYwNgEIAAAABQAAAAExAQAAAAoxNjYyNTExODI2AwAAAAMxNjACAAAABDQwNTEEAAAAATAHAAAACTMvMTkvMjAxNAgAAAAKMTIvMzEvMjAxMwkAAAABMP8fNd2wEdEIavEU7bER0QgqQ0lRLk5ZU0U6S08uSVFfRUJJVERBLjIwMDAuMy8xOS8yMDE0Li4uVVNEAQAAABJoAAACAAAABTEzMTA0AQgAAAAFAAAAATEBAAAACjE2NjA3NTYzNTUDAAAAAzE2MAIAAAAENDA1MQQAAAABMAcAAAAJMy8xOS8yMDE0CAAAAAoxMi8zMS8yMDEzCQAAAAEw7vg03bAR0QggXkYnshHRCCJDSVEuTllTRTpLTy5JUV9OSV9OT1JNLjIwMDAuLi4uVVNEAQAAABJoAAACAAAABjczODAuNQEIAAAABQAAAAExAQAAAAoxNjYwNzU2MzU1AwAAAAMxNjACAAAABDQzNzgEAAAAATAHAAAACTMvMTkvMjAxNAgAAAAKMTIvMzEvMjAxMwkAAAABMHDS+kixEdEIoCUCSbER0Qgw</t>
  </si>
  <si>
    <t>Q0lRLk5BU0RBUUdTOk1OU1QuSVFfRUJJVERBLjIwMDAuMy8xOS8yMDE0Li4uVVNEAQAAALE+BQACAAAABzYwNi40NzgBCAAAAAUAAAABMQEAAAAKMTY2MTIyNzE2MQMAAAADMTYwAgAAAAQ0MDUxBAAAAAEwBwAAAAkzLzE5LzIwMTQIAAAACjEyLzMxLzIwMTMJAAAAATD/HzXdsBHRCDGFRieyEdEIKUNJUS5OWVNFOkRQUy5JUV9FQklULjIwMDAuMy8xOS8yMDE0Li4uVVNEAQAAAMcajQACAAAABDExMDMBCAAAAAUAAAABMQEAAAAKMTY1OTQyMTUwMQMAAAADMTYwAgAAAAM0MDAEAAAAATAHAAAACTMvMTkvMjAxNAgAAAAKMTIvMzEvMjAxMwkAAAABMPv78e6wEdEIQqxGJ7IR0QgpQ0lRLk9UQ1BLOkpTREEuSVFfTUFSS0VUQ0FQLjMvMTkvMjAxNC5VU0QBAAAAaFYGAAIAAAAJMTcuODA2NzkxAQYAAAAFAAAAATEBAAAACjE2NjE2NzUwMDYDAAAAAzE2MAIAAAAGMTAwMDU0BAAAAAEwBwAAAAkzLzE5LzIwMTRMSEO4rxHRCEijFO2xEdEIIUNJUS5OQVNEQVFHUzpNTlNULklRX0NPTVBBTllfTkFNRQEAAACxPgUAAwAAABxNb25zdGVyIEJldmVyYWdlIENvcnBvcmF0aW9uAA2WdDuvEdEIZPpGJ7IR0QgnQ0lRLk5ZU0U6UEVQLklRX01BUktFVENBUC4zLzE5LzIwMTQuVVNEAQAAAFaAAAACAAAADDEyMzg4My4wNTg0MgEGAAAABQAAAAExAQAAAAoxNjU4MzQzNDA0AwAAAAMxNjACAAAABjEwMDA1NAQAAAABMAcAAAA</t>
  </si>
  <si>
    <t>JMy8xOS8yMDE0tJ/1ta8R0QhCrEYnshHRCA==</t>
  </si>
  <si>
    <t>Strictly Confidential</t>
  </si>
  <si>
    <t>Notes</t>
  </si>
  <si>
    <t>All content is Copyright material of INVESTO</t>
  </si>
  <si>
    <t>http://investo.ge/</t>
  </si>
  <si>
    <t>© INVESTO®. All rights reserved.</t>
  </si>
  <si>
    <t>Min</t>
  </si>
  <si>
    <t xml:space="preserve">Max </t>
  </si>
  <si>
    <t>Value Driver</t>
  </si>
  <si>
    <t>Add to Pre-Money Valuation</t>
  </si>
  <si>
    <t>Assigned Value</t>
  </si>
  <si>
    <t>1. Sound Idea (basic value, product risk)</t>
  </si>
  <si>
    <t>2. Prototype (reduces technology risk)</t>
  </si>
  <si>
    <t>3. Quality Management Team (reduces execution risk)</t>
  </si>
  <si>
    <t>4. Strategic Relationships (reduces market risk and competitive risk)</t>
  </si>
  <si>
    <t>5. Product Rollout or Sales (reduces financial or production risk)</t>
  </si>
  <si>
    <t xml:space="preserve"> </t>
  </si>
  <si>
    <t xml:space="preserve">Comparable Company Analysis Method Valuation </t>
  </si>
  <si>
    <t xml:space="preserve">Checklist / Berkus Valuation Method </t>
  </si>
  <si>
    <t>Weight</t>
  </si>
  <si>
    <t>Venture Score</t>
  </si>
  <si>
    <t>Factor</t>
  </si>
  <si>
    <t xml:space="preserve">Scorecard Valuation Method </t>
  </si>
  <si>
    <t xml:space="preserve">1. Strength of management team </t>
  </si>
  <si>
    <t xml:space="preserve">Comparable Companies valuation </t>
  </si>
  <si>
    <t>2. Size of oportunity</t>
  </si>
  <si>
    <t xml:space="preserve">3. Product &amp; technology </t>
  </si>
  <si>
    <t xml:space="preserve">4. Competitive Environment </t>
  </si>
  <si>
    <t>5. Marketing &amp; sales channels / partnerships</t>
  </si>
  <si>
    <t>6. Need for aditional investments</t>
  </si>
  <si>
    <t>7. Other</t>
  </si>
  <si>
    <t>Company Name:</t>
  </si>
  <si>
    <t>Effective Tax Rate:</t>
  </si>
  <si>
    <t>Terminal Value - Multiples Method:</t>
  </si>
  <si>
    <t>Terminal Value - Perpetuity Growth Method:</t>
  </si>
  <si>
    <t>Baseline Terminal FCF Growth Rate:</t>
  </si>
  <si>
    <t>Baseline Terminal Value:</t>
  </si>
  <si>
    <t>Implied Terminal FCF Growth Rate:</t>
  </si>
  <si>
    <t>Implied Terminal EBITDA Multiple:</t>
  </si>
  <si>
    <t>(+) PV of Terminal Value:</t>
  </si>
  <si>
    <t>(+) Sum of PV of Free Cash Flows:</t>
  </si>
  <si>
    <t>Implied Enterprise Value:</t>
  </si>
  <si>
    <t>% Implied EV from Terminal Value:</t>
  </si>
  <si>
    <t>Projected</t>
  </si>
  <si>
    <t>Units:</t>
  </si>
  <si>
    <t>Growth Rate:</t>
  </si>
  <si>
    <t>%</t>
  </si>
  <si>
    <t>Quantity</t>
  </si>
  <si>
    <t>Total marketing expenses :</t>
  </si>
  <si>
    <t>Total Operating Expenses :</t>
  </si>
  <si>
    <t>Operating Income:</t>
  </si>
  <si>
    <t>Operating Margin:</t>
  </si>
  <si>
    <t>(-) Cash Taxes:</t>
  </si>
  <si>
    <t>Net Operating Profit After Tax (NOPAT):</t>
  </si>
  <si>
    <t>Adjustments for Non-Cash Charges:</t>
  </si>
  <si>
    <t>Depreciation &amp; Amortization:</t>
  </si>
  <si>
    <t>Net Change in Working Capital:</t>
  </si>
  <si>
    <t>Unlevered Free Cash Flow:</t>
  </si>
  <si>
    <t>EBITDA:</t>
  </si>
  <si>
    <t>Management Team salaries  :</t>
  </si>
  <si>
    <t>Terminal Year EBITDA</t>
  </si>
  <si>
    <t xml:space="preserve">EBITDA Multiple </t>
  </si>
  <si>
    <t>Exit Value</t>
  </si>
  <si>
    <t>Time to exit</t>
  </si>
  <si>
    <t>IRR</t>
  </si>
  <si>
    <t>Investment Amount</t>
  </si>
  <si>
    <t>Number of existing shares</t>
  </si>
  <si>
    <t>Post-Money</t>
  </si>
  <si>
    <t>Pre-Money</t>
  </si>
  <si>
    <t>Ownership fraction of investors</t>
  </si>
  <si>
    <t>Ownership fraction of entrepreneurs</t>
  </si>
  <si>
    <t>Number of new shares</t>
  </si>
  <si>
    <t>Price per share</t>
  </si>
  <si>
    <t>Comparable Analysis Method</t>
  </si>
  <si>
    <t xml:space="preserve">% </t>
  </si>
  <si>
    <t>Berkus Method</t>
  </si>
  <si>
    <t xml:space="preserve">ScoreCard Method </t>
  </si>
  <si>
    <t xml:space="preserve">Venture Capital Method </t>
  </si>
  <si>
    <t>Risk Criteria</t>
  </si>
  <si>
    <t xml:space="preserve">1. Management Risk </t>
  </si>
  <si>
    <t>Risk Condition</t>
  </si>
  <si>
    <t>Risk Value</t>
  </si>
  <si>
    <t>Cummultavie Value</t>
  </si>
  <si>
    <t>2. Stage of The business</t>
  </si>
  <si>
    <t xml:space="preserve">3. Legislation / Political Risk </t>
  </si>
  <si>
    <t xml:space="preserve">high </t>
  </si>
  <si>
    <t xml:space="preserve">4. Manufacturing Risk </t>
  </si>
  <si>
    <t xml:space="preserve">5. Sales Risk </t>
  </si>
  <si>
    <t>6. Fundraising / capital rising Risks</t>
  </si>
  <si>
    <t>7. Competition Risks</t>
  </si>
  <si>
    <t>8. Technology Risks</t>
  </si>
  <si>
    <t>9. Litigation  Risks</t>
  </si>
  <si>
    <t>10. International Risks</t>
  </si>
  <si>
    <t>11. Reputation Risks</t>
  </si>
  <si>
    <t xml:space="preserve">12. Potential lucrative exit </t>
  </si>
  <si>
    <t>Cummulative Risk Wehgted Value</t>
  </si>
  <si>
    <t>$</t>
  </si>
  <si>
    <t>Annual Salaries</t>
  </si>
  <si>
    <t>Sales Team  Salaries :</t>
  </si>
  <si>
    <t>Total Salaries :</t>
  </si>
  <si>
    <t xml:space="preserve">Pre Money Value </t>
  </si>
  <si>
    <t>Post Money Value</t>
  </si>
  <si>
    <t>Weighted Averge Percent %</t>
  </si>
  <si>
    <t xml:space="preserve">Low </t>
  </si>
  <si>
    <t>Growth Rate %</t>
  </si>
  <si>
    <t>Requested Investment</t>
  </si>
  <si>
    <t>Ownership Fraction To Investors</t>
  </si>
  <si>
    <t>Valuation Methods</t>
  </si>
  <si>
    <t xml:space="preserve"> Investments</t>
  </si>
  <si>
    <t xml:space="preserve">DCF Method - Multiple Method </t>
  </si>
  <si>
    <t>DCF Method - Perpetuity Growth Method</t>
  </si>
  <si>
    <t>Risk Factor Summation Method</t>
  </si>
  <si>
    <t xml:space="preserve">Risk  Summation  Method </t>
  </si>
  <si>
    <t xml:space="preserve">Quantity </t>
  </si>
  <si>
    <t xml:space="preserve">Number Of CEO </t>
  </si>
  <si>
    <t>Number Of Months</t>
  </si>
  <si>
    <t>Discount Rate (WACC):</t>
  </si>
  <si>
    <t xml:space="preserve">Number Of Months </t>
  </si>
  <si>
    <t>Monthly Salaries</t>
  </si>
  <si>
    <t xml:space="preserve">Number Of Back End Developers </t>
  </si>
  <si>
    <t>Back End Developers Salaries</t>
  </si>
  <si>
    <t xml:space="preserve"> Total Adressable Market T.A.M </t>
  </si>
  <si>
    <t>Number Of Companies</t>
  </si>
  <si>
    <t>Servicable Obtainable Market S.O.M</t>
  </si>
  <si>
    <t xml:space="preserve">Total Revenue </t>
  </si>
  <si>
    <t xml:space="preserve">Growth Rate </t>
  </si>
  <si>
    <t>Development Team  Salaries :</t>
  </si>
  <si>
    <t>Number Of Front End Developers</t>
  </si>
  <si>
    <t>Front End Developers Salaries</t>
  </si>
  <si>
    <t>Marketing  Team  Salaries :</t>
  </si>
  <si>
    <t>Office &amp; Business Process Expenses :</t>
  </si>
  <si>
    <t>Office Rent Annual Costs</t>
  </si>
  <si>
    <t>Office Rent Monthly Costs</t>
  </si>
  <si>
    <t>Content Marketing Annual Costs</t>
  </si>
  <si>
    <t>Paid Article Monthly  Costs</t>
  </si>
  <si>
    <t>Paid Article Annual Costs</t>
  </si>
  <si>
    <t>Google Adwords &amp; SEO Monthly  Costs</t>
  </si>
  <si>
    <t>Google Adwords &amp; SEO Annual Costs</t>
  </si>
  <si>
    <t>Growth Rate :</t>
  </si>
  <si>
    <t>Servicable Avaliable Market - S.A.M</t>
  </si>
  <si>
    <t>Number Of Active Months Of Subscription</t>
  </si>
  <si>
    <t xml:space="preserve">  Investment Offer </t>
  </si>
  <si>
    <t>Iliquidity Discount</t>
  </si>
  <si>
    <t xml:space="preserve">Total Number Of Active E - commerce  Companies  - Georgia : </t>
  </si>
  <si>
    <t xml:space="preserve">Total Number Of Active E - commerce  Companies  - Azerbaijan  : </t>
  </si>
  <si>
    <t xml:space="preserve">Total Number Of Active E - commerce  Companies  - Armenia  : </t>
  </si>
  <si>
    <t xml:space="preserve">Total Number Of Active E - commerce  Companies  - Turkey  : </t>
  </si>
  <si>
    <t xml:space="preserve">Total Number Of Active E - commerce  Companies  - Uzbekistan  : </t>
  </si>
  <si>
    <t xml:space="preserve">Total Number Of Active E - commerce  Companies  - Tajikistan  : </t>
  </si>
  <si>
    <t xml:space="preserve">Total Number Of Active E - commerce  Companies  - Kyrgzystan  : </t>
  </si>
  <si>
    <t xml:space="preserve">Total Number Of Active E - commerce  Companies  - Kazakhstan  : </t>
  </si>
  <si>
    <t xml:space="preserve">Total Number Of Active E - commerce  Companies  - Moldova  : </t>
  </si>
  <si>
    <t xml:space="preserve">Total Number Of Active E - commerce  Companies  - Belarus  : </t>
  </si>
  <si>
    <t xml:space="preserve">Total Number Of Active E - commerce  Companies  - Bulgaria   : </t>
  </si>
  <si>
    <t xml:space="preserve">Total Number Of Active E - commerce  Companies  - Romania   : </t>
  </si>
  <si>
    <t xml:space="preserve">Acquired Share  % Of   E-Commerce Companies - Romania : </t>
  </si>
  <si>
    <t>Annual Attrition of Existing  Companies:</t>
  </si>
  <si>
    <t xml:space="preserve">Revenue -  Companies Subscription </t>
  </si>
  <si>
    <t>Number Of CFO</t>
  </si>
  <si>
    <t>Number Of CMO</t>
  </si>
  <si>
    <t xml:space="preserve">(-) Capital Expenditures: </t>
  </si>
  <si>
    <t>Servers Infrastructure</t>
  </si>
  <si>
    <t>PC's</t>
  </si>
  <si>
    <t>Utility   Monthly Costs</t>
  </si>
  <si>
    <t>Utility  Annual Costs</t>
  </si>
  <si>
    <t>Social Media Advertsing  Monthly  Costs</t>
  </si>
  <si>
    <t xml:space="preserve">Total Number Of Active E - commerce  Companies  - Albania   : </t>
  </si>
  <si>
    <t xml:space="preserve">Total Number Of Active E - commerce  Companies  - Slovenia   : </t>
  </si>
  <si>
    <t>Number Of  Marrketing Managers</t>
  </si>
  <si>
    <t xml:space="preserve"> Marketing Managers Salaries</t>
  </si>
  <si>
    <t xml:space="preserve">Number Of Digital Marketing Managers </t>
  </si>
  <si>
    <t>Digital Marketing Managers  Salaries</t>
  </si>
  <si>
    <t>Customer Success team   Salaries :</t>
  </si>
  <si>
    <t>Number Of  Customer Success team Leaders</t>
  </si>
  <si>
    <t>Accountant  team   Salaries :</t>
  </si>
  <si>
    <t>Number Of  Accountants</t>
  </si>
  <si>
    <t>Accountants  Salaries</t>
  </si>
  <si>
    <t>Number Of  Customer Success team Specialists</t>
  </si>
  <si>
    <t>Customer Success Team Leaders Salaries</t>
  </si>
  <si>
    <t>Customer Success Specialists Salaries</t>
  </si>
  <si>
    <t>Number Of Senior UX/UI Designers</t>
  </si>
  <si>
    <t>Senior UX/UI Designers Salaries</t>
  </si>
  <si>
    <t xml:space="preserve">Number Of Middle Back End Developers </t>
  </si>
  <si>
    <t>Middle Back End Developers Salaries</t>
  </si>
  <si>
    <t xml:space="preserve">Number Of Senior Back End Developers </t>
  </si>
  <si>
    <t>Senior Back End Developers Salaries</t>
  </si>
  <si>
    <t>Number Of Senior  Front End Developers</t>
  </si>
  <si>
    <t>Senior Front End Developers Salaries</t>
  </si>
  <si>
    <t>Number Of Middle  Front End Developers</t>
  </si>
  <si>
    <t>Middle  Front End Developers Salaries</t>
  </si>
  <si>
    <t>Start-up Valuation - VR MALL</t>
  </si>
  <si>
    <t>© 2025 INVESTO   All rights reserved. </t>
  </si>
  <si>
    <t>VR MALL   Valuation</t>
  </si>
  <si>
    <t xml:space="preserve"> Valuation</t>
  </si>
  <si>
    <t>Weighted Average Valuation</t>
  </si>
  <si>
    <t xml:space="preserve">VR MALL   Valuation </t>
  </si>
  <si>
    <t>VR MALL  Valuation</t>
  </si>
  <si>
    <t>0-500,000</t>
  </si>
  <si>
    <t>ByondXR</t>
  </si>
  <si>
    <t>Obsess</t>
  </si>
  <si>
    <t>Emperia</t>
  </si>
  <si>
    <t>Somnium Space</t>
  </si>
  <si>
    <t xml:space="preserve">VR MALL - Valuation </t>
  </si>
  <si>
    <t xml:space="preserve">VR Mall  Valuation </t>
  </si>
  <si>
    <t xml:space="preserve">VR Mall Valuation </t>
  </si>
  <si>
    <t>VR MALL</t>
  </si>
  <si>
    <t>VR Mall PROJECTIONS</t>
  </si>
  <si>
    <t>Quantity Of New Registered   Companies   On VR Mall</t>
  </si>
  <si>
    <t>Average Monthly Subscription Price</t>
  </si>
  <si>
    <t>Number Of Sales Managers</t>
  </si>
  <si>
    <t>Sales Managers Salaries</t>
  </si>
  <si>
    <t>Number Of Senior Unity Developers</t>
  </si>
  <si>
    <t>Senior Unity Developers Salaries</t>
  </si>
  <si>
    <t>Number Of System Admins</t>
  </si>
  <si>
    <t>System Admins Salaries</t>
  </si>
  <si>
    <t>Baseline Terminal EBITDA Multiple:</t>
  </si>
  <si>
    <t>Returns Calculations:</t>
  </si>
  <si>
    <t>Units</t>
  </si>
  <si>
    <t>EBITDA Exit Multiple:</t>
  </si>
  <si>
    <t>x</t>
  </si>
  <si>
    <t xml:space="preserve">$ </t>
  </si>
  <si>
    <t>Exit Enterprise Value:</t>
  </si>
  <si>
    <t>Less: Net Debt:</t>
  </si>
  <si>
    <t>Equity Value on Exit:</t>
  </si>
  <si>
    <t>Investor Equity:</t>
  </si>
  <si>
    <t>Returns to Investors:</t>
  </si>
  <si>
    <t>Sponsor Common Equity:</t>
  </si>
  <si>
    <t>Initial Investment:</t>
  </si>
  <si>
    <t>Dividends:</t>
  </si>
  <si>
    <t>Total Cash Flows:</t>
  </si>
  <si>
    <t>Money-on-Money (MoM) Multiple:</t>
  </si>
  <si>
    <t>Internal Rate of Return (IRR):</t>
  </si>
  <si>
    <t xml:space="preserve">Share % Of House Developments, electro tech, acessories, remonts related companies   - Georgia : </t>
  </si>
  <si>
    <t xml:space="preserve">Share % Of House Developments, electro tech, acessories, remonts related companies   - Azerbaijan : </t>
  </si>
  <si>
    <t xml:space="preserve">Share % Of House Developments, electro tech, acessories, remonts related companies   - Armenia : </t>
  </si>
  <si>
    <t xml:space="preserve">Share % Of House Developments, electro tech, acessories, remonts related companies   - Turkey : </t>
  </si>
  <si>
    <t xml:space="preserve">Share % Of House Developments, electro tech, acessories, remonts related companies   - Uzbekistan : </t>
  </si>
  <si>
    <t xml:space="preserve">Share % Of House Developments, electro tech, acessories, remonts related companies   - Tajikistan : </t>
  </si>
  <si>
    <t xml:space="preserve">Share % Of House Developments, electro tech, acessories, remonts related companies   - Kyrgyzstan : </t>
  </si>
  <si>
    <t xml:space="preserve">Share % Of House Developments, electro tech, acessories, remonts related companies   - Kazakhstan : </t>
  </si>
  <si>
    <t xml:space="preserve">Share % Of House Developments, electro tech, acessories, remonts related companies   - Moldova : </t>
  </si>
  <si>
    <t xml:space="preserve">Share % Of House Developments, electro tech, acessories, remonts related companies   - Belarus : </t>
  </si>
  <si>
    <t xml:space="preserve">Share % Of House Developments, electro tech, acessories, remonts related companies   - Bulgaria : </t>
  </si>
  <si>
    <t xml:space="preserve">Share % Of House Developments, electro tech, acessories, remonts related companies   - Romania : </t>
  </si>
  <si>
    <t xml:space="preserve">Share % Of House Developments, electro tech, acessories, remonts related companies   - Albania : </t>
  </si>
  <si>
    <t xml:space="preserve">Share % Of House Developments, electro tech, acessories, remonts related companies   - Slovenia : </t>
  </si>
  <si>
    <t xml:space="preserve">Average Price Of 3D Modelling Of Goods Per Companies </t>
  </si>
  <si>
    <t>Revenue -  3D Modelling</t>
  </si>
  <si>
    <t>Cost Of Goods Sold</t>
  </si>
  <si>
    <t>Net Revenue</t>
  </si>
  <si>
    <t xml:space="preserve">Price of Video Advertising Per Minute </t>
  </si>
  <si>
    <t>Number Of Days Per Year</t>
  </si>
  <si>
    <t>Number Of Active Hours Per Day</t>
  </si>
  <si>
    <t>Minutes Per Hour</t>
  </si>
  <si>
    <t>Revenue -  Video Advertising</t>
  </si>
  <si>
    <t>Price of Banner  Advertising Per Day</t>
  </si>
  <si>
    <t>Revenue -  Banner Advertising</t>
  </si>
  <si>
    <t xml:space="preserve">VR Mall Post Money Valuation </t>
  </si>
  <si>
    <t xml:space="preserve">Acquired Share  % Of    Companies - Georgia : </t>
  </si>
  <si>
    <t xml:space="preserve">Acquired Share  % Of   Companies - Azerbaijan : </t>
  </si>
  <si>
    <t xml:space="preserve">Acquired Share  % Of  Size   Companies - Armenia : </t>
  </si>
  <si>
    <t xml:space="preserve">Acquired Share  % Of    Companies - Turkey : </t>
  </si>
  <si>
    <t xml:space="preserve">Acquired Share  %  Of   Companies - Uzbekistan : </t>
  </si>
  <si>
    <t xml:space="preserve">Acquired Share  % Of    Companies - Tajikistan : </t>
  </si>
  <si>
    <t xml:space="preserve">Acquired Share  % Of    Companies - Kyrgyzstan : </t>
  </si>
  <si>
    <t xml:space="preserve">Acquired Share  % Of    Companies - Kazakhstan : </t>
  </si>
  <si>
    <t xml:space="preserve">Acquired Share  % Of    Companies - Moldova : </t>
  </si>
  <si>
    <t xml:space="preserve">Acquired Share  % Of    Companies - Belarus : </t>
  </si>
  <si>
    <t xml:space="preserve">Acquired Share  % Of    Companies - Bulgaria : </t>
  </si>
  <si>
    <t xml:space="preserve">Acquired Share  % Of    Companies - Albania : </t>
  </si>
  <si>
    <t xml:space="preserve">Acquired Share  % Of    Companies - Slovenia : </t>
  </si>
  <si>
    <t>Total active   Companies:</t>
  </si>
  <si>
    <t>Monthly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</si>
</sst>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(#,##0\)_-;_-* &quot;-&quot;_-;_-@_-"/>
    <numFmt numFmtId="167" formatCode="_ * #,##0_ ;_ * \-#,##0_ ;_ * &quot;-&quot;??_ ;_ @_ "/>
    <numFmt numFmtId="168" formatCode="_-* #,##0.00_-;\(#,##0.00\)_-;_-* &quot;-&quot;_-;_-@_-"/>
    <numFmt numFmtId="169" formatCode="0%;\(0%\)"/>
    <numFmt numFmtId="170" formatCode="_(&quot;$&quot;* #,##0.0_);_(&quot;$&quot;* \(#,##0.0\);_(&quot;$&quot;* &quot;-&quot;?_);_(@_)"/>
    <numFmt numFmtId="171" formatCode="_(0.0\ \x_);\(0.0\ \x\);_(&quot;–&quot;_);_(@_)"/>
    <numFmt numFmtId="172" formatCode="_(0.0%_);\(0.0%\);_(&quot;–&quot;_);_(@_)"/>
    <numFmt numFmtId="173" formatCode="_(* #,##0_);_(* \(#,##0\);_(* &quot;-&quot;?_);_(@_)"/>
    <numFmt numFmtId="174" formatCode="0&quot;E&quot;"/>
    <numFmt numFmtId="175" formatCode="_(* #,##0.0_);_(* \(#,##0.0\);_(* &quot;-&quot;?_);_(@_)"/>
    <numFmt numFmtId="176" formatCode="0.0%;\(0.0%\)"/>
    <numFmt numFmtId="177" formatCode="_-* #,##0.00\ &quot;₾&quot;_-;\-* #,##0.00\ &quot;₾&quot;_-;_-* &quot;-&quot;??\ &quot;₾&quot;_-;_-@_-"/>
    <numFmt numFmtId="178" formatCode="_-* #,##0.00\ _₾_-;\-* #,##0.00\ _₾_-;_-* &quot;-&quot;??\ _₾_-;_-@_-"/>
    <numFmt numFmtId="179" formatCode="0.0%"/>
    <numFmt numFmtId="180" formatCode="_(* #,##0_);_(* \(#,##0\);_(* &quot;-&quot;??_);_(@_)"/>
    <numFmt numFmtId="181" formatCode="0.0000"/>
    <numFmt numFmtId="182" formatCode="_(0%_);\(0%\);_(&quot;–&quot;_);_(@_)"/>
    <numFmt numFmtId="183" formatCode="_(0.00%_);\(0.00%\);_(&quot;–&quot;_);_(@_)"/>
    <numFmt numFmtId="184" formatCode="_(* #,##0.00_);_(* \(#,##0.00\);_(* &quot;-&quot;?_);_(@_)"/>
    <numFmt numFmtId="185" formatCode="_(0.00\ \x_);\(0.00\ \x\);_(&quot;–&quot;_);_(@_)"/>
    <numFmt numFmtId="186" formatCode="0.00%;\(0.00%\)"/>
    <numFmt numFmtId="187" formatCode="_(0.0\x_);\(0.0\x\);_(&quot;–&quot;_);_(@_)"/>
    <numFmt numFmtId="188" formatCode="_(#,##0.0_);\(#,##0.0\);_(&quot;–&quot;_);_(@_)"/>
    <numFmt numFmtId="189" formatCode="_(0.0%_);\(0.0%\);_(&quot;–&quot;_)_%;_(@_)_%"/>
    <numFmt numFmtId="190" formatCode="0.0\ \x"/>
    <numFmt numFmtId="191" formatCode="0.0%;\(0.0%\);&quot;–&quot;;@"/>
    <numFmt numFmtId="192" formatCode="_(0.000%_);\(0.000%\);_(&quot;–&quot;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1"/>
      <color rgb="FF0000FF"/>
      <name val="Arial Narrow"/>
      <family val="2"/>
    </font>
    <font>
      <u/>
      <sz val="10"/>
      <color theme="10"/>
      <name val="Arial"/>
      <family val="2"/>
    </font>
    <font>
      <b/>
      <sz val="22"/>
      <color theme="0"/>
      <name val="Arial Narrow"/>
      <family val="2"/>
    </font>
    <font>
      <b/>
      <u/>
      <sz val="11"/>
      <color theme="0"/>
      <name val="Calibri"/>
      <family val="2"/>
      <scheme val="minor"/>
    </font>
    <font>
      <u/>
      <sz val="10"/>
      <color theme="0"/>
      <name val="Arial"/>
      <family val="2"/>
    </font>
    <font>
      <sz val="12"/>
      <color theme="0"/>
      <name val="Open Sans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2"/>
      <color theme="0"/>
      <name val="Open Sans"/>
      <family val="2"/>
    </font>
    <font>
      <i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16">
    <xf numFmtId="0" fontId="0" fillId="0" borderId="0"/>
    <xf numFmtId="165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0" fillId="0" borderId="0"/>
    <xf numFmtId="0" fontId="24" fillId="0" borderId="0"/>
    <xf numFmtId="165" fontId="24" fillId="0" borderId="0" applyFont="0" applyFill="0" applyBorder="0" applyAlignment="0" applyProtection="0"/>
    <xf numFmtId="0" fontId="4" fillId="4" borderId="2" applyNumberFormat="0" applyFont="0" applyAlignment="0" applyProtection="0"/>
    <xf numFmtId="0" fontId="22" fillId="0" borderId="0"/>
    <xf numFmtId="0" fontId="39" fillId="0" borderId="0"/>
    <xf numFmtId="177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78" fontId="4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166" fontId="5" fillId="2" borderId="0" xfId="1" applyNumberFormat="1" applyFont="1" applyFill="1"/>
    <xf numFmtId="166" fontId="6" fillId="2" borderId="0" xfId="1" applyNumberFormat="1" applyFont="1" applyFill="1"/>
    <xf numFmtId="0" fontId="10" fillId="0" borderId="0" xfId="0" applyFont="1"/>
    <xf numFmtId="0" fontId="11" fillId="0" borderId="0" xfId="0" applyFont="1"/>
    <xf numFmtId="167" fontId="11" fillId="0" borderId="0" xfId="1" applyNumberFormat="1" applyFont="1"/>
    <xf numFmtId="0" fontId="13" fillId="0" borderId="0" xfId="0" applyFont="1"/>
    <xf numFmtId="3" fontId="14" fillId="0" borderId="0" xfId="0" applyNumberFormat="1" applyFont="1" applyAlignment="1">
      <alignment horizontal="center" vertical="center"/>
    </xf>
    <xf numFmtId="0" fontId="21" fillId="0" borderId="0" xfId="7" applyFont="1"/>
    <xf numFmtId="0" fontId="22" fillId="0" borderId="0" xfId="7" applyFont="1" applyAlignment="1">
      <alignment horizontal="right"/>
    </xf>
    <xf numFmtId="0" fontId="23" fillId="0" borderId="0" xfId="7" applyFont="1" applyAlignment="1">
      <alignment horizontal="right"/>
    </xf>
    <xf numFmtId="0" fontId="22" fillId="0" borderId="0" xfId="7" applyFont="1"/>
    <xf numFmtId="0" fontId="20" fillId="0" borderId="0" xfId="7"/>
    <xf numFmtId="0" fontId="22" fillId="0" borderId="0" xfId="7" applyFont="1" applyAlignment="1">
      <alignment horizontal="center"/>
    </xf>
    <xf numFmtId="0" fontId="12" fillId="0" borderId="0" xfId="2" applyFont="1" applyAlignment="1">
      <alignment horizontal="center"/>
    </xf>
    <xf numFmtId="9" fontId="14" fillId="0" borderId="0" xfId="6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0" fontId="22" fillId="0" borderId="0" xfId="11"/>
    <xf numFmtId="0" fontId="27" fillId="0" borderId="0" xfId="11" applyFont="1"/>
    <xf numFmtId="0" fontId="27" fillId="0" borderId="0" xfId="11" applyFont="1" applyAlignment="1">
      <alignment horizontal="left" indent="1"/>
    </xf>
    <xf numFmtId="0" fontId="27" fillId="0" borderId="3" xfId="11" applyFont="1" applyBorder="1" applyAlignment="1">
      <alignment horizontal="left" indent="1"/>
    </xf>
    <xf numFmtId="0" fontId="27" fillId="0" borderId="3" xfId="11" applyFont="1" applyBorder="1"/>
    <xf numFmtId="173" fontId="30" fillId="0" borderId="3" xfId="0" applyNumberFormat="1" applyFont="1" applyBorder="1" applyAlignment="1">
      <alignment horizontal="center"/>
    </xf>
    <xf numFmtId="9" fontId="27" fillId="0" borderId="0" xfId="6" applyFont="1"/>
    <xf numFmtId="0" fontId="31" fillId="0" borderId="0" xfId="11" applyFont="1" applyAlignment="1">
      <alignment horizontal="center"/>
    </xf>
    <xf numFmtId="0" fontId="27" fillId="0" borderId="0" xfId="11" applyFont="1" applyAlignment="1">
      <alignment horizontal="center"/>
    </xf>
    <xf numFmtId="0" fontId="33" fillId="0" borderId="0" xfId="11" applyFont="1" applyAlignment="1">
      <alignment horizontal="center"/>
    </xf>
    <xf numFmtId="173" fontId="30" fillId="0" borderId="0" xfId="0" applyNumberFormat="1" applyFont="1"/>
    <xf numFmtId="0" fontId="34" fillId="0" borderId="0" xfId="11" applyFont="1" applyAlignment="1">
      <alignment horizontal="center"/>
    </xf>
    <xf numFmtId="0" fontId="34" fillId="0" borderId="0" xfId="11" applyFont="1" applyAlignment="1">
      <alignment horizontal="left" indent="1"/>
    </xf>
    <xf numFmtId="173" fontId="31" fillId="0" borderId="0" xfId="0" applyNumberFormat="1" applyFont="1"/>
    <xf numFmtId="0" fontId="33" fillId="0" borderId="0" xfId="11" applyFont="1" applyAlignment="1">
      <alignment horizontal="left" indent="1"/>
    </xf>
    <xf numFmtId="170" fontId="27" fillId="0" borderId="0" xfId="11" applyNumberFormat="1" applyFont="1"/>
    <xf numFmtId="0" fontId="36" fillId="0" borderId="0" xfId="11" applyFont="1" applyAlignment="1">
      <alignment horizontal="center"/>
    </xf>
    <xf numFmtId="166" fontId="37" fillId="2" borderId="0" xfId="1" applyNumberFormat="1" applyFont="1" applyFill="1"/>
    <xf numFmtId="166" fontId="6" fillId="3" borderId="0" xfId="1" applyNumberFormat="1" applyFont="1" applyFill="1"/>
    <xf numFmtId="0" fontId="25" fillId="3" borderId="4" xfId="10" applyFont="1" applyFill="1" applyBorder="1" applyAlignment="1">
      <alignment horizontal="centerContinuous"/>
    </xf>
    <xf numFmtId="0" fontId="25" fillId="3" borderId="3" xfId="0" applyFont="1" applyFill="1" applyBorder="1"/>
    <xf numFmtId="171" fontId="28" fillId="3" borderId="5" xfId="0" applyNumberFormat="1" applyFont="1" applyFill="1" applyBorder="1" applyAlignment="1">
      <alignment horizontal="center"/>
    </xf>
    <xf numFmtId="172" fontId="28" fillId="3" borderId="5" xfId="0" applyNumberFormat="1" applyFont="1" applyFill="1" applyBorder="1" applyAlignment="1">
      <alignment horizontal="center"/>
    </xf>
    <xf numFmtId="0" fontId="25" fillId="3" borderId="1" xfId="11" applyFont="1" applyFill="1" applyBorder="1" applyAlignment="1">
      <alignment horizontal="centerContinuous"/>
    </xf>
    <xf numFmtId="0" fontId="17" fillId="3" borderId="1" xfId="11" applyFont="1" applyFill="1" applyBorder="1" applyAlignment="1">
      <alignment horizontal="centerContinuous"/>
    </xf>
    <xf numFmtId="0" fontId="25" fillId="3" borderId="3" xfId="11" applyFont="1" applyFill="1" applyBorder="1"/>
    <xf numFmtId="0" fontId="32" fillId="3" borderId="3" xfId="11" applyFont="1" applyFill="1" applyBorder="1" applyAlignment="1">
      <alignment horizontal="center"/>
    </xf>
    <xf numFmtId="174" fontId="25" fillId="3" borderId="3" xfId="11" applyNumberFormat="1" applyFont="1" applyFill="1" applyBorder="1" applyAlignment="1">
      <alignment horizontal="center"/>
    </xf>
    <xf numFmtId="0" fontId="23" fillId="0" borderId="0" xfId="12" applyFont="1"/>
    <xf numFmtId="0" fontId="39" fillId="0" borderId="0" xfId="12" applyAlignment="1">
      <alignment wrapText="1"/>
    </xf>
    <xf numFmtId="0" fontId="40" fillId="0" borderId="0" xfId="12" applyFont="1" applyAlignment="1">
      <alignment wrapText="1"/>
    </xf>
    <xf numFmtId="0" fontId="39" fillId="0" borderId="0" xfId="12"/>
    <xf numFmtId="0" fontId="22" fillId="0" borderId="0" xfId="12" applyFont="1" applyAlignment="1">
      <alignment wrapText="1"/>
    </xf>
    <xf numFmtId="172" fontId="41" fillId="3" borderId="5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3" fontId="20" fillId="0" borderId="0" xfId="7" applyNumberFormat="1"/>
    <xf numFmtId="3" fontId="14" fillId="0" borderId="0" xfId="6" applyNumberFormat="1" applyFont="1" applyAlignment="1">
      <alignment horizontal="center" vertical="center"/>
    </xf>
    <xf numFmtId="9" fontId="1" fillId="0" borderId="0" xfId="6" applyFont="1"/>
    <xf numFmtId="180" fontId="20" fillId="0" borderId="0" xfId="1" applyNumberFormat="1" applyFont="1" applyAlignment="1"/>
    <xf numFmtId="0" fontId="25" fillId="3" borderId="3" xfId="11" applyFont="1" applyFill="1" applyBorder="1" applyAlignment="1">
      <alignment horizontal="center"/>
    </xf>
    <xf numFmtId="0" fontId="25" fillId="3" borderId="0" xfId="11" applyFont="1" applyFill="1"/>
    <xf numFmtId="179" fontId="14" fillId="0" borderId="0" xfId="6" applyNumberFormat="1" applyFont="1" applyAlignment="1">
      <alignment horizontal="center" vertical="center"/>
    </xf>
    <xf numFmtId="173" fontId="39" fillId="0" borderId="0" xfId="12" applyNumberFormat="1" applyAlignment="1">
      <alignment wrapText="1"/>
    </xf>
    <xf numFmtId="172" fontId="41" fillId="3" borderId="0" xfId="0" applyNumberFormat="1" applyFont="1" applyFill="1" applyAlignment="1">
      <alignment horizontal="center"/>
    </xf>
    <xf numFmtId="0" fontId="27" fillId="0" borderId="0" xfId="11" applyFont="1" applyAlignment="1">
      <alignment horizontal="left"/>
    </xf>
    <xf numFmtId="173" fontId="27" fillId="0" borderId="0" xfId="11" applyNumberFormat="1" applyFont="1"/>
    <xf numFmtId="165" fontId="27" fillId="0" borderId="0" xfId="11" applyNumberFormat="1" applyFont="1"/>
    <xf numFmtId="175" fontId="27" fillId="0" borderId="0" xfId="11" applyNumberFormat="1" applyFont="1"/>
    <xf numFmtId="181" fontId="1" fillId="0" borderId="0" xfId="0" applyNumberFormat="1" applyFont="1"/>
    <xf numFmtId="0" fontId="25" fillId="3" borderId="6" xfId="10" applyFont="1" applyFill="1" applyBorder="1" applyAlignment="1">
      <alignment horizontal="centerContinuous"/>
    </xf>
    <xf numFmtId="169" fontId="28" fillId="3" borderId="2" xfId="10" applyNumberFormat="1" applyFont="1" applyFill="1" applyAlignment="1">
      <alignment horizontal="center"/>
    </xf>
    <xf numFmtId="0" fontId="26" fillId="3" borderId="3" xfId="0" applyFont="1" applyFill="1" applyBorder="1"/>
    <xf numFmtId="170" fontId="29" fillId="0" borderId="0" xfId="11" applyNumberFormat="1" applyFont="1"/>
    <xf numFmtId="173" fontId="30" fillId="0" borderId="0" xfId="0" applyNumberFormat="1" applyFont="1" applyAlignment="1">
      <alignment horizontal="center"/>
    </xf>
    <xf numFmtId="0" fontId="29" fillId="0" borderId="0" xfId="11" applyFont="1"/>
    <xf numFmtId="0" fontId="29" fillId="0" borderId="0" xfId="11" applyFont="1" applyAlignment="1">
      <alignment horizontal="left" indent="1"/>
    </xf>
    <xf numFmtId="0" fontId="35" fillId="0" borderId="0" xfId="0" applyFont="1" applyAlignment="1">
      <alignment horizontal="center"/>
    </xf>
    <xf numFmtId="164" fontId="27" fillId="0" borderId="0" xfId="11" applyNumberFormat="1" applyFont="1"/>
    <xf numFmtId="0" fontId="29" fillId="3" borderId="0" xfId="11" applyFont="1" applyFill="1"/>
    <xf numFmtId="37" fontId="25" fillId="3" borderId="0" xfId="11" applyNumberFormat="1" applyFont="1" applyFill="1"/>
    <xf numFmtId="176" fontId="33" fillId="0" borderId="0" xfId="11" applyNumberFormat="1" applyFont="1"/>
    <xf numFmtId="0" fontId="38" fillId="3" borderId="0" xfId="11" applyFont="1" applyFill="1" applyAlignment="1">
      <alignment horizontal="center"/>
    </xf>
    <xf numFmtId="0" fontId="1" fillId="3" borderId="0" xfId="3" applyFont="1" applyFill="1"/>
    <xf numFmtId="0" fontId="16" fillId="3" borderId="0" xfId="3" applyFont="1" applyFill="1" applyProtection="1">
      <protection locked="0"/>
    </xf>
    <xf numFmtId="0" fontId="2" fillId="3" borderId="0" xfId="3" applyFont="1" applyFill="1"/>
    <xf numFmtId="0" fontId="3" fillId="3" borderId="0" xfId="3" applyFont="1" applyFill="1"/>
    <xf numFmtId="0" fontId="2" fillId="3" borderId="0" xfId="3" applyFont="1" applyFill="1" applyAlignment="1">
      <alignment horizontal="right"/>
    </xf>
    <xf numFmtId="0" fontId="1" fillId="3" borderId="0" xfId="3" applyFont="1" applyFill="1" applyProtection="1">
      <protection locked="0"/>
    </xf>
    <xf numFmtId="0" fontId="4" fillId="3" borderId="0" xfId="3" applyFill="1"/>
    <xf numFmtId="0" fontId="17" fillId="3" borderId="0" xfId="5" applyFont="1" applyFill="1" applyBorder="1"/>
    <xf numFmtId="0" fontId="18" fillId="3" borderId="0" xfId="4" applyFont="1" applyFill="1" applyBorder="1"/>
    <xf numFmtId="166" fontId="5" fillId="3" borderId="0" xfId="1" applyNumberFormat="1" applyFont="1" applyFill="1"/>
    <xf numFmtId="166" fontId="6" fillId="3" borderId="0" xfId="1" applyNumberFormat="1" applyFont="1" applyFill="1" applyAlignment="1">
      <alignment horizontal="center"/>
    </xf>
    <xf numFmtId="0" fontId="7" fillId="3" borderId="0" xfId="0" applyFont="1" applyFill="1" applyAlignment="1">
      <alignment vertical="center"/>
    </xf>
    <xf numFmtId="0" fontId="8" fillId="3" borderId="0" xfId="0" applyFont="1" applyFill="1"/>
    <xf numFmtId="0" fontId="2" fillId="3" borderId="0" xfId="0" applyFont="1" applyFill="1" applyAlignment="1">
      <alignment horizontal="centerContinuous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166" fontId="19" fillId="3" borderId="0" xfId="1" applyNumberFormat="1" applyFont="1" applyFill="1" applyAlignment="1">
      <alignment horizontal="center"/>
    </xf>
    <xf numFmtId="0" fontId="2" fillId="3" borderId="0" xfId="0" applyFont="1" applyFill="1" applyAlignment="1">
      <alignment vertical="center"/>
    </xf>
    <xf numFmtId="166" fontId="19" fillId="3" borderId="1" xfId="1" applyNumberFormat="1" applyFont="1" applyFill="1" applyBorder="1" applyAlignment="1">
      <alignment horizontal="center"/>
    </xf>
    <xf numFmtId="168" fontId="19" fillId="3" borderId="0" xfId="1" applyNumberFormat="1" applyFont="1" applyFill="1" applyAlignment="1">
      <alignment horizontal="center"/>
    </xf>
    <xf numFmtId="37" fontId="19" fillId="3" borderId="0" xfId="1" applyNumberFormat="1" applyFont="1" applyFill="1" applyAlignment="1">
      <alignment horizontal="center"/>
    </xf>
    <xf numFmtId="182" fontId="41" fillId="3" borderId="0" xfId="0" applyNumberFormat="1" applyFont="1" applyFill="1" applyAlignment="1">
      <alignment horizontal="center"/>
    </xf>
    <xf numFmtId="173" fontId="22" fillId="0" borderId="0" xfId="11" applyNumberFormat="1"/>
    <xf numFmtId="9" fontId="22" fillId="0" borderId="0" xfId="6" applyFont="1"/>
    <xf numFmtId="3" fontId="39" fillId="0" borderId="0" xfId="12" applyNumberFormat="1" applyAlignment="1">
      <alignment wrapText="1"/>
    </xf>
    <xf numFmtId="3" fontId="1" fillId="0" borderId="0" xfId="0" applyNumberFormat="1" applyFont="1"/>
    <xf numFmtId="165" fontId="27" fillId="0" borderId="0" xfId="11" applyNumberFormat="1" applyFont="1" applyAlignment="1">
      <alignment horizontal="left" indent="1"/>
    </xf>
    <xf numFmtId="165" fontId="22" fillId="0" borderId="0" xfId="11" applyNumberFormat="1"/>
    <xf numFmtId="173" fontId="27" fillId="0" borderId="0" xfId="11" applyNumberFormat="1" applyFont="1" applyAlignment="1">
      <alignment horizontal="left" indent="1"/>
    </xf>
    <xf numFmtId="183" fontId="41" fillId="3" borderId="5" xfId="0" applyNumberFormat="1" applyFont="1" applyFill="1" applyBorder="1" applyAlignment="1">
      <alignment horizontal="center"/>
    </xf>
    <xf numFmtId="179" fontId="41" fillId="3" borderId="0" xfId="6" applyNumberFormat="1" applyFont="1" applyFill="1" applyBorder="1" applyAlignment="1">
      <alignment horizontal="center"/>
    </xf>
    <xf numFmtId="9" fontId="27" fillId="0" borderId="0" xfId="11" applyNumberFormat="1" applyFont="1"/>
    <xf numFmtId="184" fontId="22" fillId="0" borderId="0" xfId="11" applyNumberFormat="1"/>
    <xf numFmtId="9" fontId="39" fillId="0" borderId="0" xfId="6" applyFont="1" applyAlignment="1">
      <alignment wrapText="1"/>
    </xf>
    <xf numFmtId="9" fontId="19" fillId="3" borderId="0" xfId="6" applyFont="1" applyFill="1" applyAlignment="1">
      <alignment horizontal="center"/>
    </xf>
    <xf numFmtId="9" fontId="20" fillId="0" borderId="0" xfId="6" applyFont="1" applyAlignment="1"/>
    <xf numFmtId="185" fontId="28" fillId="3" borderId="5" xfId="0" applyNumberFormat="1" applyFont="1" applyFill="1" applyBorder="1" applyAlignment="1">
      <alignment horizontal="center"/>
    </xf>
    <xf numFmtId="186" fontId="28" fillId="3" borderId="2" xfId="10" applyNumberFormat="1" applyFont="1" applyFill="1" applyAlignment="1">
      <alignment horizontal="center"/>
    </xf>
    <xf numFmtId="179" fontId="22" fillId="0" borderId="0" xfId="6" applyNumberFormat="1" applyFont="1"/>
    <xf numFmtId="43" fontId="27" fillId="0" borderId="0" xfId="11" applyNumberFormat="1" applyFont="1"/>
    <xf numFmtId="173" fontId="22" fillId="0" borderId="0" xfId="6" applyNumberFormat="1" applyFont="1"/>
    <xf numFmtId="0" fontId="43" fillId="0" borderId="0" xfId="11" applyFont="1"/>
    <xf numFmtId="0" fontId="4" fillId="0" borderId="0" xfId="11" applyFont="1"/>
    <xf numFmtId="0" fontId="35" fillId="0" borderId="0" xfId="11" applyFont="1"/>
    <xf numFmtId="0" fontId="35" fillId="0" borderId="0" xfId="11" applyFont="1" applyAlignment="1">
      <alignment horizontal="center"/>
    </xf>
    <xf numFmtId="187" fontId="4" fillId="0" borderId="0" xfId="11" applyNumberFormat="1" applyFont="1"/>
    <xf numFmtId="187" fontId="31" fillId="5" borderId="5" xfId="11" applyNumberFormat="1" applyFont="1" applyFill="1" applyBorder="1"/>
    <xf numFmtId="170" fontId="31" fillId="0" borderId="0" xfId="11" applyNumberFormat="1" applyFont="1" applyAlignment="1">
      <alignment horizontal="center"/>
    </xf>
    <xf numFmtId="175" fontId="4" fillId="0" borderId="0" xfId="11" applyNumberFormat="1" applyFont="1" applyAlignment="1">
      <alignment horizontal="center"/>
    </xf>
    <xf numFmtId="173" fontId="31" fillId="5" borderId="5" xfId="11" applyNumberFormat="1" applyFont="1" applyFill="1" applyBorder="1" applyAlignment="1">
      <alignment horizontal="center"/>
    </xf>
    <xf numFmtId="170" fontId="43" fillId="0" borderId="0" xfId="11" applyNumberFormat="1" applyFont="1"/>
    <xf numFmtId="180" fontId="30" fillId="0" borderId="0" xfId="0" applyNumberFormat="1" applyFont="1"/>
    <xf numFmtId="0" fontId="4" fillId="0" borderId="3" xfId="11" applyFont="1" applyBorder="1"/>
    <xf numFmtId="0" fontId="35" fillId="0" borderId="3" xfId="11" applyFont="1" applyBorder="1" applyAlignment="1">
      <alignment horizontal="center"/>
    </xf>
    <xf numFmtId="188" fontId="4" fillId="0" borderId="3" xfId="11" applyNumberFormat="1" applyFont="1" applyBorder="1"/>
    <xf numFmtId="175" fontId="31" fillId="0" borderId="3" xfId="11" applyNumberFormat="1" applyFont="1" applyBorder="1" applyAlignment="1">
      <alignment horizontal="center"/>
    </xf>
    <xf numFmtId="0" fontId="43" fillId="0" borderId="0" xfId="11" applyFont="1" applyAlignment="1">
      <alignment horizontal="left"/>
    </xf>
    <xf numFmtId="0" fontId="4" fillId="0" borderId="0" xfId="11" applyFont="1" applyAlignment="1">
      <alignment horizontal="left" indent="1"/>
    </xf>
    <xf numFmtId="188" fontId="4" fillId="0" borderId="0" xfId="11" applyNumberFormat="1" applyFont="1"/>
    <xf numFmtId="0" fontId="35" fillId="0" borderId="0" xfId="11" applyFont="1" applyAlignment="1">
      <alignment horizontal="left" indent="1"/>
    </xf>
    <xf numFmtId="0" fontId="27" fillId="0" borderId="0" xfId="11" applyFont="1" applyAlignment="1">
      <alignment horizontal="left" indent="2"/>
    </xf>
    <xf numFmtId="0" fontId="27" fillId="0" borderId="3" xfId="11" applyFont="1" applyBorder="1" applyAlignment="1">
      <alignment horizontal="left" indent="2"/>
    </xf>
    <xf numFmtId="175" fontId="4" fillId="0" borderId="3" xfId="11" applyNumberFormat="1" applyFont="1" applyBorder="1"/>
    <xf numFmtId="180" fontId="30" fillId="0" borderId="3" xfId="0" applyNumberFormat="1" applyFont="1" applyBorder="1"/>
    <xf numFmtId="0" fontId="43" fillId="0" borderId="0" xfId="11" applyFont="1" applyAlignment="1">
      <alignment horizontal="left" indent="1"/>
    </xf>
    <xf numFmtId="189" fontId="33" fillId="0" borderId="0" xfId="11" applyNumberFormat="1" applyFont="1" applyAlignment="1">
      <alignment horizontal="center"/>
    </xf>
    <xf numFmtId="187" fontId="31" fillId="5" borderId="5" xfId="11" applyNumberFormat="1" applyFont="1" applyFill="1" applyBorder="1" applyAlignment="1">
      <alignment horizontal="center"/>
    </xf>
    <xf numFmtId="190" fontId="29" fillId="0" borderId="0" xfId="11" applyNumberFormat="1" applyFont="1"/>
    <xf numFmtId="179" fontId="31" fillId="5" borderId="5" xfId="6" applyNumberFormat="1" applyFont="1" applyFill="1" applyBorder="1" applyAlignment="1">
      <alignment horizontal="center"/>
    </xf>
    <xf numFmtId="191" fontId="43" fillId="0" borderId="0" xfId="11" applyNumberFormat="1" applyFont="1"/>
    <xf numFmtId="176" fontId="43" fillId="0" borderId="0" xfId="11" applyNumberFormat="1" applyFont="1"/>
    <xf numFmtId="192" fontId="41" fillId="3" borderId="5" xfId="0" applyNumberFormat="1" applyFont="1" applyFill="1" applyBorder="1" applyAlignment="1">
      <alignment horizontal="center"/>
    </xf>
    <xf numFmtId="173" fontId="30" fillId="0" borderId="0" xfId="6" applyNumberFormat="1" applyFont="1"/>
    <xf numFmtId="166" fontId="19" fillId="3" borderId="0" xfId="1" applyNumberFormat="1" applyFont="1" applyFill="1" applyAlignment="1">
      <alignment horizontal="center"/>
    </xf>
    <xf numFmtId="0" fontId="22" fillId="0" borderId="0" xfId="7" applyFont="1" applyAlignment="1">
      <alignment horizontal="left" wrapText="1"/>
    </xf>
    <xf numFmtId="0" fontId="20" fillId="0" borderId="0" xfId="7"/>
  </cellXfs>
  <cellStyles count="16">
    <cellStyle name="Comma" xfId="1" builtinId="3"/>
    <cellStyle name="Comma 2" xfId="9" xr:uid="{00000000-0005-0000-0000-000001000000}"/>
    <cellStyle name="Comma 2 2" xfId="15" xr:uid="{00000000-0005-0000-0000-000002000000}"/>
    <cellStyle name="Currency 2" xfId="13" xr:uid="{00000000-0005-0000-0000-000003000000}"/>
    <cellStyle name="Hyperlink" xfId="5" builtinId="8"/>
    <cellStyle name="Hyperlink 2 2" xfId="4" xr:uid="{00000000-0005-0000-0000-000005000000}"/>
    <cellStyle name="Hyperlink 3" xfId="2" xr:uid="{00000000-0005-0000-0000-000006000000}"/>
    <cellStyle name="Normal" xfId="0" builtinId="0"/>
    <cellStyle name="Normal 2" xfId="7" xr:uid="{00000000-0005-0000-0000-000008000000}"/>
    <cellStyle name="Normal 2 2" xfId="11" xr:uid="{00000000-0005-0000-0000-000009000000}"/>
    <cellStyle name="Normal 2 2 2" xfId="3" xr:uid="{00000000-0005-0000-0000-00000A000000}"/>
    <cellStyle name="Normal 3" xfId="8" xr:uid="{00000000-0005-0000-0000-00000B000000}"/>
    <cellStyle name="Normal 3 2" xfId="12" xr:uid="{00000000-0005-0000-0000-00000C000000}"/>
    <cellStyle name="Note" xfId="10" builtinId="10"/>
    <cellStyle name="Percent" xfId="6" builtinId="5"/>
    <cellStyle name="Percent 2" xfId="14" xr:uid="{00000000-0005-0000-0000-00000F000000}"/>
  </cellStyles>
  <dxfs count="0"/>
  <tableStyles count="0" defaultTableStyle="TableStyleMedium2" defaultPivotStyle="PivotStyleLight16"/>
  <colors>
    <mruColors>
      <color rgb="FF132E5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416718</xdr:colOff>
      <xdr:row>1</xdr:row>
      <xdr:rowOff>166688</xdr:rowOff>
    </xdr:from>
    <xdr:to>
      <xdr:col>5</xdr:col>
      <xdr:colOff>409574</xdr:colOff>
      <xdr:row>10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2FDB94-799E-47DA-8857-481685335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18" y="404813"/>
          <a:ext cx="5267325" cy="20097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316230</xdr:colOff>
      <xdr:row>2</xdr:row>
      <xdr:rowOff>51435</xdr:rowOff>
    </xdr:from>
    <xdr:to>
      <xdr:col>17</xdr:col>
      <xdr:colOff>142876</xdr:colOff>
      <xdr:row>7</xdr:row>
      <xdr:rowOff>147256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640EB-DB3B-437E-ACA6-85E060279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4810" y="417195"/>
          <a:ext cx="1655446" cy="1010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446314</xdr:colOff>
      <xdr:row>16</xdr:row>
      <xdr:rowOff>82019</xdr:rowOff>
    </xdr:from>
    <xdr:to>
      <xdr:col>2</xdr:col>
      <xdr:colOff>201385</xdr:colOff>
      <xdr:row>22</xdr:row>
      <xdr:rowOff>6804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5448CA-79FF-4B6A-A8B8-C949DB899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3" y="3989990"/>
          <a:ext cx="2764971" cy="105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104774</xdr:colOff>
      <xdr:row>1</xdr:row>
      <xdr:rowOff>136556</xdr:rowOff>
    </xdr:from>
    <xdr:to>
      <xdr:col>10</xdr:col>
      <xdr:colOff>240791</xdr:colOff>
      <xdr:row>8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6024" y="298481"/>
          <a:ext cx="1907667" cy="12350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463550</xdr:colOff>
      <xdr:row>17</xdr:row>
      <xdr:rowOff>139700</xdr:rowOff>
    </xdr:from>
    <xdr:to>
      <xdr:col>2</xdr:col>
      <xdr:colOff>218621</xdr:colOff>
      <xdr:row>23</xdr:row>
      <xdr:rowOff>53600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641560-A3E8-416D-B766-BD2C411EB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3797300"/>
          <a:ext cx="2764971" cy="1056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914400</xdr:colOff>
      <xdr:row>51</xdr:row>
      <xdr:rowOff>9525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059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1290320</xdr:colOff>
      <xdr:row>11</xdr:row>
      <xdr:rowOff>0</xdr:rowOff>
    </xdr:from>
    <xdr:to>
      <xdr:col>1</xdr:col>
      <xdr:colOff>4055291</xdr:colOff>
      <xdr:row>17</xdr:row>
      <xdr:rowOff>81540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044E1A-FC20-4476-8FAD-03A63840D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760" y="2849880"/>
          <a:ext cx="2764971" cy="105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914400</xdr:colOff>
      <xdr:row>57</xdr:row>
      <xdr:rowOff>9525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457200" y="381000"/>
          <a:ext cx="111442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1320800</xdr:colOff>
      <xdr:row>16</xdr:row>
      <xdr:rowOff>139700</xdr:rowOff>
    </xdr:from>
    <xdr:to>
      <xdr:col>1</xdr:col>
      <xdr:colOff>4085771</xdr:colOff>
      <xdr:row>22</xdr:row>
      <xdr:rowOff>59950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F6B90C-B949-499A-8924-115287BCE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378200"/>
          <a:ext cx="2764971" cy="1056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914400</xdr:colOff>
      <xdr:row>63</xdr:row>
      <xdr:rowOff>9525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457200" y="381000"/>
          <a:ext cx="11239500" cy="1082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1336964</xdr:colOff>
      <xdr:row>22</xdr:row>
      <xdr:rowOff>124691</xdr:rowOff>
    </xdr:from>
    <xdr:to>
      <xdr:col>1</xdr:col>
      <xdr:colOff>4101935</xdr:colOff>
      <xdr:row>28</xdr:row>
      <xdr:rowOff>38591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F8C60-6D3D-49AE-AF0E-7210B8AFC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8019" y="4336473"/>
          <a:ext cx="2764971" cy="1056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175261</xdr:colOff>
      <xdr:row>0</xdr:row>
      <xdr:rowOff>45720</xdr:rowOff>
    </xdr:from>
    <xdr:to>
      <xdr:col>5</xdr:col>
      <xdr:colOff>868681</xdr:colOff>
      <xdr:row>5</xdr:row>
      <xdr:rowOff>36499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B1596-D4C4-48BF-A276-009C6EBAA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2981" y="45720"/>
          <a:ext cx="2407920" cy="9204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140473</xdr:colOff>
      <xdr:row>1</xdr:row>
      <xdr:rowOff>104775</xdr:rowOff>
    </xdr:from>
    <xdr:to>
      <xdr:col>7</xdr:col>
      <xdr:colOff>193167</xdr:colOff>
      <xdr:row>7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1723" y="266700"/>
          <a:ext cx="1824344" cy="1181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%20Chikhladze\Desktop\INVESTO%20-%20Completed%20projects\GOTRIP\EXPAGO\GOTRIP%20DCF%20&amp;%20VC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CF valuation"/>
      <sheetName val="Sheet1"/>
      <sheetName val="Venture Capital Method  "/>
      <sheetName val="requesting amount "/>
    </sheetNames>
    <sheetDataSet>
      <sheetData sheetId="0">
        <row r="8">
          <cell r="E8" t="str">
            <v>GOTRIP</v>
          </cell>
          <cell r="K8">
            <v>0.15</v>
          </cell>
        </row>
        <row r="9">
          <cell r="K9">
            <v>0.5</v>
          </cell>
        </row>
        <row r="13">
          <cell r="F13">
            <v>5.5</v>
          </cell>
          <cell r="K13">
            <v>0.3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esto.g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/>
  </sheetViews>
  <sheetFormatPr defaultRowHeight="14.4" x14ac:dyDescent="0.3"/>
  <sheetData>
    <row r="1" spans="1:15" x14ac:dyDescent="0.3">
      <c r="A1">
        <v>15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/>
  </sheetPr>
  <dimension ref="B2:F31"/>
  <sheetViews>
    <sheetView showGridLines="0" workbookViewId="0">
      <selection activeCell="E24" sqref="E24"/>
    </sheetView>
  </sheetViews>
  <sheetFormatPr defaultColWidth="12.6640625" defaultRowHeight="12.75" customHeight="1" x14ac:dyDescent="0.25"/>
  <cols>
    <col min="1" max="1" width="12.6640625" style="47"/>
    <col min="2" max="2" width="57.44140625" style="47" bestFit="1" customWidth="1"/>
    <col min="3" max="3" width="14.33203125" style="47" bestFit="1" customWidth="1"/>
    <col min="4" max="4" width="12.6640625" style="47"/>
    <col min="5" max="5" width="26.33203125" style="47" customWidth="1"/>
    <col min="6" max="6" width="13.88671875" style="47" customWidth="1"/>
    <col min="7" max="16384" width="12.6640625" style="47"/>
  </cols>
  <sheetData>
    <row r="2" spans="2:6" ht="15" customHeight="1" x14ac:dyDescent="0.4">
      <c r="B2" s="35" t="s">
        <v>93</v>
      </c>
      <c r="C2" s="35"/>
    </row>
    <row r="3" spans="2:6" ht="15" customHeight="1" x14ac:dyDescent="0.25">
      <c r="B3" s="48"/>
    </row>
    <row r="4" spans="2:6" ht="14.25" customHeight="1" x14ac:dyDescent="0.3">
      <c r="E4" s="2" t="s">
        <v>21</v>
      </c>
    </row>
    <row r="5" spans="2:6" ht="15" customHeight="1" x14ac:dyDescent="0.3">
      <c r="B5" s="46" t="s">
        <v>76</v>
      </c>
      <c r="C5" s="28">
        <f>' DCF '!K350</f>
        <v>20084001.384462558</v>
      </c>
      <c r="E5" s="18"/>
    </row>
    <row r="6" spans="2:6" ht="15" customHeight="1" x14ac:dyDescent="0.3">
      <c r="B6" s="46" t="s">
        <v>77</v>
      </c>
      <c r="C6" s="116">
        <f>' DCF '!Terminal_Multiple</f>
        <v>5</v>
      </c>
      <c r="E6" s="15" t="s">
        <v>20</v>
      </c>
    </row>
    <row r="7" spans="2:6" ht="15" customHeight="1" x14ac:dyDescent="0.3">
      <c r="B7" s="49" t="s">
        <v>78</v>
      </c>
      <c r="C7" s="28">
        <f>C5*C6</f>
        <v>100420006.9223128</v>
      </c>
    </row>
    <row r="8" spans="2:6" ht="15" customHeight="1" x14ac:dyDescent="0.3">
      <c r="B8" s="49" t="s">
        <v>79</v>
      </c>
      <c r="C8" s="28">
        <v>5</v>
      </c>
    </row>
    <row r="9" spans="2:6" ht="15" customHeight="1" x14ac:dyDescent="0.3">
      <c r="B9" s="49" t="s">
        <v>80</v>
      </c>
      <c r="C9" s="40">
        <v>0.8</v>
      </c>
    </row>
    <row r="10" spans="2:6" ht="15" customHeight="1" x14ac:dyDescent="0.3">
      <c r="B10" s="49" t="s">
        <v>81</v>
      </c>
      <c r="C10" s="28">
        <f>' DCF '!G329-' DCF '!G343</f>
        <v>466460</v>
      </c>
      <c r="E10" s="60"/>
    </row>
    <row r="11" spans="2:6" ht="15" customHeight="1" x14ac:dyDescent="0.3">
      <c r="B11" s="49" t="s">
        <v>82</v>
      </c>
      <c r="C11" s="28">
        <v>100000</v>
      </c>
    </row>
    <row r="12" spans="2:6" ht="15" customHeight="1" x14ac:dyDescent="0.3">
      <c r="B12" s="49" t="s">
        <v>83</v>
      </c>
      <c r="C12" s="28">
        <f>C7/(1+C9)^C8</f>
        <v>5314442.6092266999</v>
      </c>
    </row>
    <row r="13" spans="2:6" ht="15" customHeight="1" x14ac:dyDescent="0.3">
      <c r="B13" s="49" t="s">
        <v>84</v>
      </c>
      <c r="C13" s="28">
        <f>C12-C10</f>
        <v>4847982.6092266999</v>
      </c>
      <c r="F13" s="104"/>
    </row>
    <row r="14" spans="2:6" ht="15" customHeight="1" x14ac:dyDescent="0.3">
      <c r="B14" s="49" t="s">
        <v>85</v>
      </c>
      <c r="C14" s="40">
        <f>C10/C12</f>
        <v>8.7772139864706195E-2</v>
      </c>
    </row>
    <row r="15" spans="2:6" ht="15" customHeight="1" x14ac:dyDescent="0.3">
      <c r="B15" s="49" t="s">
        <v>86</v>
      </c>
      <c r="C15" s="40">
        <f>1-C14</f>
        <v>0.91222786013529378</v>
      </c>
    </row>
    <row r="16" spans="2:6" ht="15" customHeight="1" x14ac:dyDescent="0.3">
      <c r="B16" s="49" t="s">
        <v>87</v>
      </c>
      <c r="C16" s="28">
        <f>C11*(C14/(1-C14))</f>
        <v>9621.7341851068413</v>
      </c>
    </row>
    <row r="17" spans="2:5" ht="15" customHeight="1" x14ac:dyDescent="0.3">
      <c r="B17" s="49" t="s">
        <v>88</v>
      </c>
      <c r="C17" s="28">
        <f>C10/C16</f>
        <v>48.479826092266997</v>
      </c>
    </row>
    <row r="18" spans="2:5" ht="15" customHeight="1" x14ac:dyDescent="0.25">
      <c r="B18" s="49"/>
    </row>
    <row r="19" spans="2:5" ht="15" customHeight="1" x14ac:dyDescent="0.25">
      <c r="B19" s="46"/>
      <c r="C19" s="60"/>
    </row>
    <row r="20" spans="2:5" ht="15" customHeight="1" x14ac:dyDescent="0.25"/>
    <row r="21" spans="2:5" ht="15" customHeight="1" x14ac:dyDescent="0.25">
      <c r="C21" s="60"/>
    </row>
    <row r="22" spans="2:5" ht="15" customHeight="1" x14ac:dyDescent="0.25">
      <c r="E22" s="60"/>
    </row>
    <row r="23" spans="2:5" ht="15" customHeight="1" x14ac:dyDescent="0.25"/>
    <row r="24" spans="2:5" ht="15" customHeight="1" x14ac:dyDescent="0.25"/>
    <row r="25" spans="2:5" ht="15" customHeight="1" x14ac:dyDescent="0.25"/>
    <row r="26" spans="2:5" ht="15" customHeight="1" x14ac:dyDescent="0.25"/>
    <row r="27" spans="2:5" ht="15" customHeight="1" x14ac:dyDescent="0.25"/>
    <row r="28" spans="2:5" ht="15" customHeight="1" x14ac:dyDescent="0.25"/>
    <row r="29" spans="2:5" ht="15" customHeight="1" x14ac:dyDescent="0.25"/>
    <row r="30" spans="2:5" ht="15" customHeight="1" x14ac:dyDescent="0.25"/>
    <row r="31" spans="2:5" ht="15" customHeight="1" x14ac:dyDescent="0.25">
      <c r="B31" s="50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5FBB-F6E5-48B4-9D8B-B38BCA80E167}">
  <sheetPr>
    <pageSetUpPr autoPageBreaks="0"/>
  </sheetPr>
  <dimension ref="B2:L341"/>
  <sheetViews>
    <sheetView showGridLines="0" zoomScale="120" zoomScaleNormal="120" zoomScaleSheetLayoutView="85" workbookViewId="0">
      <selection activeCell="E31" sqref="E31"/>
    </sheetView>
  </sheetViews>
  <sheetFormatPr defaultColWidth="8.88671875" defaultRowHeight="14.4" x14ac:dyDescent="0.3"/>
  <cols>
    <col min="1" max="1" width="25.44140625" style="122" customWidth="1"/>
    <col min="2" max="2" width="2.6640625" style="122" customWidth="1"/>
    <col min="3" max="3" width="20.6640625" style="122" customWidth="1"/>
    <col min="4" max="4" width="20.6640625" style="123" customWidth="1"/>
    <col min="5" max="5" width="10.6640625" style="123" customWidth="1"/>
    <col min="6" max="6" width="11.88671875" style="122" customWidth="1"/>
    <col min="7" max="10" width="10.6640625" style="122" customWidth="1"/>
    <col min="11" max="11" width="12.5546875" style="122" bestFit="1" customWidth="1"/>
    <col min="12" max="12" width="2.6640625" style="122" customWidth="1"/>
    <col min="13" max="13" width="8.88671875" style="122" customWidth="1"/>
    <col min="14" max="16384" width="8.88671875" style="122"/>
  </cols>
  <sheetData>
    <row r="2" spans="2:12" x14ac:dyDescent="0.3">
      <c r="B2" s="121"/>
    </row>
    <row r="5" spans="2:12" x14ac:dyDescent="0.3">
      <c r="D5" s="122"/>
    </row>
    <row r="6" spans="2:12" x14ac:dyDescent="0.3">
      <c r="D6" s="122"/>
    </row>
    <row r="7" spans="2:12" x14ac:dyDescent="0.3">
      <c r="B7" s="58"/>
      <c r="C7" s="58"/>
      <c r="D7" s="58"/>
      <c r="E7" s="58"/>
      <c r="F7" s="58"/>
      <c r="G7" s="58" t="s">
        <v>59</v>
      </c>
      <c r="H7" s="58"/>
      <c r="I7" s="58"/>
      <c r="J7" s="58"/>
      <c r="K7" s="58"/>
    </row>
    <row r="8" spans="2:12" x14ac:dyDescent="0.3">
      <c r="B8" s="58" t="s">
        <v>232</v>
      </c>
      <c r="C8" s="58"/>
      <c r="D8" s="58"/>
      <c r="E8" s="43" t="s">
        <v>233</v>
      </c>
      <c r="F8" s="45">
        <v>2025</v>
      </c>
      <c r="G8" s="45">
        <v>2025</v>
      </c>
      <c r="H8" s="45">
        <v>2026</v>
      </c>
      <c r="I8" s="45">
        <v>2027</v>
      </c>
      <c r="J8" s="45">
        <v>2028</v>
      </c>
      <c r="K8" s="45">
        <v>2029</v>
      </c>
    </row>
    <row r="9" spans="2:12" x14ac:dyDescent="0.3">
      <c r="D9" s="122"/>
      <c r="L9" s="19"/>
    </row>
    <row r="10" spans="2:12" x14ac:dyDescent="0.3">
      <c r="C10" s="20" t="s">
        <v>234</v>
      </c>
      <c r="D10" s="122"/>
      <c r="E10" s="124" t="s">
        <v>235</v>
      </c>
      <c r="G10" s="125"/>
      <c r="H10" s="125"/>
      <c r="I10" s="125"/>
      <c r="J10" s="125"/>
      <c r="K10" s="126">
        <f>'Venture Capital Method '!C6</f>
        <v>5</v>
      </c>
      <c r="L10" s="19"/>
    </row>
    <row r="11" spans="2:12" x14ac:dyDescent="0.3">
      <c r="C11" s="20" t="s">
        <v>74</v>
      </c>
      <c r="D11" s="122"/>
      <c r="E11" s="124" t="s">
        <v>236</v>
      </c>
      <c r="F11" s="127"/>
      <c r="G11" s="128"/>
      <c r="H11" s="128"/>
      <c r="I11" s="128"/>
      <c r="J11" s="128"/>
      <c r="K11" s="129">
        <f>'Venture Capital Method '!C5</f>
        <v>20084001.384462558</v>
      </c>
      <c r="L11" s="19"/>
    </row>
    <row r="12" spans="2:12" x14ac:dyDescent="0.3">
      <c r="C12" s="20"/>
      <c r="D12" s="122"/>
      <c r="E12" s="124"/>
      <c r="G12" s="128"/>
      <c r="H12" s="128"/>
      <c r="I12" s="128"/>
      <c r="J12" s="128"/>
      <c r="K12" s="128"/>
      <c r="L12" s="19"/>
    </row>
    <row r="13" spans="2:12" x14ac:dyDescent="0.3">
      <c r="C13" s="121" t="s">
        <v>237</v>
      </c>
      <c r="D13" s="122"/>
      <c r="E13" s="124" t="s">
        <v>236</v>
      </c>
      <c r="G13" s="130"/>
      <c r="H13" s="130"/>
      <c r="I13" s="130"/>
      <c r="J13" s="130"/>
      <c r="K13" s="131">
        <f>+K10*K11</f>
        <v>100420006.9223128</v>
      </c>
      <c r="L13" s="19"/>
    </row>
    <row r="14" spans="2:12" x14ac:dyDescent="0.3">
      <c r="C14" s="21" t="s">
        <v>238</v>
      </c>
      <c r="D14" s="132"/>
      <c r="E14" s="133" t="s">
        <v>236</v>
      </c>
      <c r="F14" s="132"/>
      <c r="G14" s="134"/>
      <c r="H14" s="134"/>
      <c r="I14" s="134"/>
      <c r="J14" s="134"/>
      <c r="K14" s="135">
        <v>0</v>
      </c>
      <c r="L14" s="19"/>
    </row>
    <row r="15" spans="2:12" x14ac:dyDescent="0.3">
      <c r="C15" s="136" t="s">
        <v>239</v>
      </c>
      <c r="D15" s="122"/>
      <c r="E15" s="124" t="s">
        <v>236</v>
      </c>
      <c r="G15" s="130"/>
      <c r="H15" s="130"/>
      <c r="I15" s="130"/>
      <c r="J15" s="130"/>
      <c r="K15" s="28">
        <f>SUM(K13:K14)</f>
        <v>100420006.9223128</v>
      </c>
      <c r="L15" s="19"/>
    </row>
    <row r="16" spans="2:12" x14ac:dyDescent="0.3">
      <c r="C16" s="137" t="s">
        <v>240</v>
      </c>
      <c r="D16" s="122"/>
      <c r="E16" s="124" t="s">
        <v>236</v>
      </c>
      <c r="G16" s="138"/>
      <c r="H16" s="138"/>
      <c r="I16" s="138"/>
      <c r="J16" s="138"/>
      <c r="K16" s="28">
        <f>+K15</f>
        <v>100420006.9223128</v>
      </c>
      <c r="L16" s="19"/>
    </row>
    <row r="17" spans="3:12" x14ac:dyDescent="0.3">
      <c r="D17" s="122"/>
      <c r="L17" s="19"/>
    </row>
    <row r="18" spans="3:12" x14ac:dyDescent="0.3">
      <c r="C18" s="136" t="s">
        <v>241</v>
      </c>
      <c r="D18" s="122"/>
      <c r="L18" s="19"/>
    </row>
    <row r="19" spans="3:12" x14ac:dyDescent="0.3">
      <c r="C19" s="139" t="s">
        <v>242</v>
      </c>
      <c r="D19" s="122"/>
      <c r="L19" s="19"/>
    </row>
    <row r="20" spans="3:12" x14ac:dyDescent="0.3">
      <c r="C20" s="140" t="s">
        <v>243</v>
      </c>
      <c r="D20" s="122"/>
      <c r="E20" s="124" t="s">
        <v>236</v>
      </c>
      <c r="F20" s="28">
        <f>-'Venture Capital Method '!C10</f>
        <v>-466460</v>
      </c>
      <c r="L20" s="19"/>
    </row>
    <row r="21" spans="3:12" x14ac:dyDescent="0.3">
      <c r="C21" s="140" t="s">
        <v>244</v>
      </c>
      <c r="D21" s="122"/>
      <c r="E21" s="124" t="s">
        <v>236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19"/>
    </row>
    <row r="22" spans="3:12" x14ac:dyDescent="0.3">
      <c r="C22" s="141" t="s">
        <v>240</v>
      </c>
      <c r="D22" s="132"/>
      <c r="E22" s="133" t="s">
        <v>236</v>
      </c>
      <c r="F22" s="132"/>
      <c r="G22" s="142"/>
      <c r="H22" s="142"/>
      <c r="I22" s="142"/>
      <c r="J22" s="142"/>
      <c r="K22" s="143">
        <f>K13*'Investment Offer'!C8</f>
        <v>10878240.063619774</v>
      </c>
      <c r="L22" s="19"/>
    </row>
    <row r="23" spans="3:12" x14ac:dyDescent="0.3">
      <c r="C23" s="144" t="s">
        <v>245</v>
      </c>
      <c r="D23" s="122"/>
      <c r="E23" s="124" t="s">
        <v>236</v>
      </c>
      <c r="F23" s="28">
        <f t="shared" ref="F23:K23" si="0">SUM(F20:F22)</f>
        <v>-466460</v>
      </c>
      <c r="G23" s="28">
        <f>SUM(G20:G22)</f>
        <v>0</v>
      </c>
      <c r="H23" s="28">
        <f t="shared" si="0"/>
        <v>0</v>
      </c>
      <c r="I23" s="28">
        <f t="shared" si="0"/>
        <v>0</v>
      </c>
      <c r="J23" s="28">
        <f t="shared" si="0"/>
        <v>0</v>
      </c>
      <c r="K23" s="28">
        <f t="shared" si="0"/>
        <v>10878240.063619774</v>
      </c>
      <c r="L23" s="19"/>
    </row>
    <row r="24" spans="3:12" x14ac:dyDescent="0.3">
      <c r="C24" s="144"/>
      <c r="D24" s="122"/>
      <c r="E24" s="124"/>
      <c r="F24" s="130"/>
      <c r="G24" s="130"/>
      <c r="H24" s="130"/>
      <c r="I24" s="130"/>
      <c r="J24" s="130"/>
      <c r="K24" s="130"/>
      <c r="L24" s="19"/>
    </row>
    <row r="25" spans="3:12" x14ac:dyDescent="0.3">
      <c r="C25" s="121" t="s">
        <v>246</v>
      </c>
      <c r="D25" s="122"/>
      <c r="E25" s="145" t="s">
        <v>235</v>
      </c>
      <c r="F25" s="146">
        <f>-SUMIF($F23:K23,"&gt;0",$F23:K23)/SUMIF($F23:K23,"&lt;=0",$F23:K23)</f>
        <v>23.320842223598536</v>
      </c>
      <c r="G25" s="147"/>
      <c r="H25" s="147"/>
      <c r="I25" s="147"/>
      <c r="J25" s="147"/>
      <c r="K25" s="147"/>
      <c r="L25" s="19"/>
    </row>
    <row r="26" spans="3:12" x14ac:dyDescent="0.3">
      <c r="C26" s="121" t="s">
        <v>247</v>
      </c>
      <c r="D26" s="122"/>
      <c r="E26" s="145" t="s">
        <v>62</v>
      </c>
      <c r="F26" s="148">
        <f>IRR(F23:K23)</f>
        <v>0.87736555834698127</v>
      </c>
      <c r="G26" s="149"/>
      <c r="H26" s="149"/>
      <c r="I26" s="149"/>
      <c r="J26" s="149"/>
      <c r="K26" s="150"/>
      <c r="L26" s="19"/>
    </row>
    <row r="27" spans="3:12" x14ac:dyDescent="0.3">
      <c r="L27" s="19"/>
    </row>
    <row r="81" spans="7:7" x14ac:dyDescent="0.3"/>
    <row r="82" spans="7:7" x14ac:dyDescent="0.3"/>
    <row r="84" spans="7:7" x14ac:dyDescent="0.3"/>
    <row r="85" spans="7:7" x14ac:dyDescent="0.3"/>
    <row r="87" spans="7:7" x14ac:dyDescent="0.3"/>
    <row r="92" spans="7:7" x14ac:dyDescent="0.3"/>
    <row r="340" spans="7:11" x14ac:dyDescent="0.3"/>
    <row r="341" spans="7:11" x14ac:dyDescent="0.3"/>
  </sheetData>
  <pageMargins left="0.7" right="0.7" top="0.75" bottom="0.75" header="0.3" footer="0.3"/>
  <pageSetup scale="48" orientation="portrait" r:id="rId1"/>
  <rowBreaks count="1" manualBreakCount="1">
    <brk id="4" max="22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C1:O39"/>
  <sheetViews>
    <sheetView showGridLines="0" zoomScale="64" zoomScaleNormal="64" workbookViewId="0">
      <selection activeCell="I9" sqref="I9"/>
    </sheetView>
  </sheetViews>
  <sheetFormatPr defaultColWidth="9.109375" defaultRowHeight="13.8" x14ac:dyDescent="0.25"/>
  <cols>
    <col min="1" max="2" width="11" style="80" customWidth="1"/>
    <col min="3" max="3" width="33.109375" style="80" customWidth="1"/>
    <col min="4" max="22" width="11" style="80" customWidth="1"/>
    <col min="23" max="25" width="9.109375" style="80"/>
    <col min="26" max="26" width="9.109375" style="80" customWidth="1"/>
    <col min="27" max="16384" width="9.109375" style="80"/>
  </cols>
  <sheetData>
    <row r="1" spans="3:15" ht="19.5" customHeight="1" x14ac:dyDescent="0.25"/>
    <row r="2" spans="3:15" ht="19.5" customHeight="1" x14ac:dyDescent="0.25"/>
    <row r="3" spans="3:15" ht="19.5" customHeight="1" x14ac:dyDescent="0.25"/>
    <row r="4" spans="3:15" ht="19.5" customHeight="1" x14ac:dyDescent="0.25"/>
    <row r="5" spans="3:15" ht="19.5" customHeight="1" x14ac:dyDescent="0.25"/>
    <row r="6" spans="3:15" ht="19.5" customHeight="1" x14ac:dyDescent="0.25"/>
    <row r="7" spans="3:15" ht="19.5" customHeight="1" x14ac:dyDescent="0.25"/>
    <row r="8" spans="3:15" ht="19.5" customHeight="1" x14ac:dyDescent="0.25"/>
    <row r="9" spans="3:15" ht="19.5" customHeight="1" x14ac:dyDescent="0.25"/>
    <row r="10" spans="3:15" ht="19.5" customHeight="1" x14ac:dyDescent="0.25"/>
    <row r="11" spans="3:15" ht="19.5" customHeight="1" x14ac:dyDescent="0.25"/>
    <row r="12" spans="3:15" ht="28.2" x14ac:dyDescent="0.5">
      <c r="C12" s="81" t="s">
        <v>206</v>
      </c>
      <c r="D12" s="82"/>
      <c r="E12" s="82"/>
      <c r="F12" s="82"/>
      <c r="G12" s="82"/>
      <c r="M12" s="83"/>
      <c r="N12" s="84" t="s">
        <v>17</v>
      </c>
      <c r="O12" s="83"/>
    </row>
    <row r="13" spans="3:15" ht="19.5" customHeight="1" x14ac:dyDescent="0.25">
      <c r="C13" s="85"/>
    </row>
    <row r="14" spans="3:15" ht="19.5" customHeight="1" x14ac:dyDescent="0.3">
      <c r="C14" s="86"/>
    </row>
    <row r="15" spans="3:15" ht="19.5" customHeight="1" x14ac:dyDescent="0.3">
      <c r="C15" s="86"/>
    </row>
    <row r="16" spans="3:15" ht="19.5" customHeight="1" x14ac:dyDescent="0.25"/>
    <row r="17" spans="3:4" ht="19.5" customHeight="1" x14ac:dyDescent="0.25">
      <c r="C17" s="83" t="s">
        <v>18</v>
      </c>
      <c r="D17" s="83"/>
    </row>
    <row r="18" spans="3:4" ht="19.5" customHeight="1" x14ac:dyDescent="0.25">
      <c r="C18" s="83" t="s">
        <v>19</v>
      </c>
      <c r="D18" s="83"/>
    </row>
    <row r="19" spans="3:4" ht="19.5" customHeight="1" x14ac:dyDescent="0.3">
      <c r="C19" s="87" t="s">
        <v>20</v>
      </c>
      <c r="D19" s="82"/>
    </row>
    <row r="20" spans="3:4" ht="19.5" customHeight="1" x14ac:dyDescent="0.25">
      <c r="C20" s="88"/>
      <c r="D20" s="83"/>
    </row>
    <row r="21" spans="3:4" ht="19.5" customHeight="1" x14ac:dyDescent="0.25">
      <c r="C21" s="83" t="s">
        <v>207</v>
      </c>
      <c r="D21" s="83"/>
    </row>
    <row r="22" spans="3:4" ht="19.5" customHeight="1" x14ac:dyDescent="0.25"/>
    <row r="23" spans="3:4" ht="19.5" customHeight="1" x14ac:dyDescent="0.25"/>
    <row r="24" spans="3:4" ht="19.5" customHeight="1" x14ac:dyDescent="0.25"/>
    <row r="25" spans="3:4" ht="19.5" customHeight="1" x14ac:dyDescent="0.25"/>
    <row r="26" spans="3:4" ht="19.5" customHeight="1" x14ac:dyDescent="0.25"/>
    <row r="27" spans="3:4" ht="19.5" customHeight="1" x14ac:dyDescent="0.25"/>
    <row r="28" spans="3:4" ht="19.5" customHeight="1" x14ac:dyDescent="0.25"/>
    <row r="29" spans="3:4" ht="19.5" customHeight="1" x14ac:dyDescent="0.25"/>
    <row r="30" spans="3:4" ht="19.5" customHeight="1" x14ac:dyDescent="0.25"/>
    <row r="31" spans="3:4" ht="19.5" customHeight="1" x14ac:dyDescent="0.25"/>
    <row r="32" spans="3:4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</sheetData>
  <hyperlinks>
    <hyperlink ref="C19" r:id="rId1" xr:uid="{00000000-0004-0000-0100-000000000000}"/>
  </hyperlinks>
  <pageMargins left="0.7" right="0.7" top="0.75" bottom="0.75" header="0.3" footer="0.3"/>
  <pageSetup scale="64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F26"/>
  <sheetViews>
    <sheetView showGridLines="0" zoomScale="120" zoomScaleNormal="120" workbookViewId="0">
      <selection activeCell="E14" sqref="E14"/>
    </sheetView>
  </sheetViews>
  <sheetFormatPr defaultColWidth="9.109375" defaultRowHeight="13.8" x14ac:dyDescent="0.25"/>
  <cols>
    <col min="1" max="1" width="9.109375" style="1"/>
    <col min="2" max="2" width="43.88671875" style="1" bestFit="1" customWidth="1"/>
    <col min="3" max="3" width="20" style="1" bestFit="1" customWidth="1"/>
    <col min="4" max="4" width="8.33203125" style="1" bestFit="1" customWidth="1"/>
    <col min="5" max="5" width="25.33203125" style="1" bestFit="1" customWidth="1"/>
    <col min="6" max="6" width="2" style="1" customWidth="1"/>
    <col min="7" max="16384" width="9.109375" style="1"/>
  </cols>
  <sheetData>
    <row r="1" spans="1:6" ht="17.399999999999999" x14ac:dyDescent="0.4">
      <c r="A1" s="89" t="s">
        <v>21</v>
      </c>
      <c r="B1" s="36"/>
      <c r="C1" s="36"/>
      <c r="D1" s="90"/>
      <c r="E1" s="90"/>
      <c r="F1" s="90"/>
    </row>
    <row r="2" spans="1:6" ht="17.399999999999999" x14ac:dyDescent="0.4">
      <c r="A2" s="36"/>
      <c r="B2" s="91" t="s">
        <v>208</v>
      </c>
      <c r="C2" s="92"/>
      <c r="D2" s="92"/>
      <c r="E2" s="92"/>
      <c r="F2" s="90"/>
    </row>
    <row r="4" spans="1:6" ht="16.5" customHeight="1" x14ac:dyDescent="0.25">
      <c r="A4" s="93"/>
      <c r="B4" s="94" t="s">
        <v>123</v>
      </c>
      <c r="C4" s="94" t="s">
        <v>209</v>
      </c>
      <c r="D4" s="94" t="s">
        <v>90</v>
      </c>
      <c r="E4" s="94" t="s">
        <v>210</v>
      </c>
      <c r="F4" s="95"/>
    </row>
    <row r="5" spans="1:6" ht="16.5" customHeight="1" x14ac:dyDescent="0.25"/>
    <row r="6" spans="1:6" ht="21" customHeight="1" x14ac:dyDescent="0.25">
      <c r="B6" s="52" t="s">
        <v>89</v>
      </c>
      <c r="C6" s="8">
        <f>'Comparable Analysis Method'!E15</f>
        <v>2100000</v>
      </c>
      <c r="D6" s="59">
        <v>0.15</v>
      </c>
      <c r="E6" s="8">
        <f>C6*D6</f>
        <v>315000</v>
      </c>
      <c r="F6" s="8"/>
    </row>
    <row r="7" spans="1:6" ht="21" customHeight="1" x14ac:dyDescent="0.25">
      <c r="B7" s="52" t="s">
        <v>91</v>
      </c>
      <c r="C7" s="8">
        <f>'Berkus Method'!D11</f>
        <v>1300000</v>
      </c>
      <c r="D7" s="59">
        <v>0.15</v>
      </c>
      <c r="E7" s="8">
        <f t="shared" ref="E7:E12" si="0">C7*D7</f>
        <v>195000</v>
      </c>
      <c r="F7" s="8"/>
    </row>
    <row r="8" spans="1:6" ht="21" customHeight="1" x14ac:dyDescent="0.25">
      <c r="B8" s="52" t="s">
        <v>92</v>
      </c>
      <c r="C8" s="8">
        <f>'Scorecard Method'!C16</f>
        <v>2117062.5000000005</v>
      </c>
      <c r="D8" s="59">
        <v>0.15</v>
      </c>
      <c r="E8" s="8">
        <f t="shared" si="0"/>
        <v>317559.37500000006</v>
      </c>
      <c r="F8" s="8"/>
    </row>
    <row r="9" spans="1:6" ht="21" customHeight="1" x14ac:dyDescent="0.25">
      <c r="B9" s="52" t="s">
        <v>127</v>
      </c>
      <c r="C9" s="8">
        <f>'Risk Summutation Method'!C21</f>
        <v>2600000</v>
      </c>
      <c r="D9" s="59">
        <v>0.15</v>
      </c>
      <c r="E9" s="8">
        <f t="shared" si="0"/>
        <v>390000</v>
      </c>
      <c r="F9" s="8"/>
    </row>
    <row r="10" spans="1:6" ht="21" customHeight="1" x14ac:dyDescent="0.25">
      <c r="B10" s="52" t="s">
        <v>125</v>
      </c>
      <c r="C10" s="8">
        <f>' DCF '!F21</f>
        <v>11127156.570278946</v>
      </c>
      <c r="D10" s="59">
        <v>0.12</v>
      </c>
      <c r="E10" s="8">
        <f t="shared" si="0"/>
        <v>1335258.7884334736</v>
      </c>
      <c r="F10" s="8"/>
    </row>
    <row r="11" spans="1:6" ht="21" customHeight="1" x14ac:dyDescent="0.25">
      <c r="B11" s="52" t="s">
        <v>126</v>
      </c>
      <c r="C11" s="8">
        <f>' DCF '!K21</f>
        <v>7524089.6426738184</v>
      </c>
      <c r="D11" s="59">
        <v>0.12</v>
      </c>
      <c r="E11" s="8">
        <f>C11*D11</f>
        <v>902890.75712085818</v>
      </c>
      <c r="F11" s="8"/>
    </row>
    <row r="12" spans="1:6" ht="21" customHeight="1" x14ac:dyDescent="0.25">
      <c r="B12" s="52" t="s">
        <v>93</v>
      </c>
      <c r="C12" s="8">
        <f>'Venture Capital Method '!C12</f>
        <v>5314442.6092266999</v>
      </c>
      <c r="D12" s="59">
        <v>0.16</v>
      </c>
      <c r="E12" s="8">
        <f t="shared" si="0"/>
        <v>850310.817476272</v>
      </c>
      <c r="F12" s="8"/>
    </row>
    <row r="13" spans="1:6" ht="21" customHeight="1" x14ac:dyDescent="0.25">
      <c r="D13" s="16"/>
      <c r="E13" s="8"/>
      <c r="F13" s="8"/>
    </row>
    <row r="14" spans="1:6" ht="17.399999999999999" x14ac:dyDescent="0.4">
      <c r="A14" s="93"/>
      <c r="B14" s="96" t="s">
        <v>211</v>
      </c>
      <c r="C14" s="96"/>
      <c r="D14" s="96"/>
      <c r="E14" s="96">
        <f>SUM(E6:E12)</f>
        <v>4306019.7380306032</v>
      </c>
      <c r="F14" s="96"/>
    </row>
    <row r="19" spans="2:4" ht="15.6" x14ac:dyDescent="0.3">
      <c r="B19" s="4"/>
      <c r="C19" s="5"/>
      <c r="D19" s="5"/>
    </row>
    <row r="20" spans="2:4" ht="15.6" x14ac:dyDescent="0.3">
      <c r="B20" s="5"/>
      <c r="C20" s="5"/>
      <c r="D20" s="5"/>
    </row>
    <row r="21" spans="2:4" ht="15.6" x14ac:dyDescent="0.3">
      <c r="B21" s="5"/>
      <c r="C21" s="5"/>
      <c r="D21" s="5"/>
    </row>
    <row r="22" spans="2:4" ht="15.6" x14ac:dyDescent="0.3">
      <c r="B22" s="5"/>
      <c r="C22" s="5"/>
      <c r="D22" s="5"/>
    </row>
    <row r="23" spans="2:4" ht="15.6" x14ac:dyDescent="0.3">
      <c r="B23" s="15" t="s">
        <v>20</v>
      </c>
      <c r="C23" s="5"/>
      <c r="D23" s="5"/>
    </row>
    <row r="24" spans="2:4" ht="15.6" x14ac:dyDescent="0.3">
      <c r="C24" s="5"/>
      <c r="D24" s="5"/>
    </row>
    <row r="25" spans="2:4" ht="15.6" x14ac:dyDescent="0.3">
      <c r="C25" s="6"/>
      <c r="D25" s="6"/>
    </row>
    <row r="26" spans="2:4" ht="15.6" x14ac:dyDescent="0.35">
      <c r="C26" s="7"/>
      <c r="D26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/>
  </sheetPr>
  <dimension ref="B2:H31"/>
  <sheetViews>
    <sheetView showGridLines="0" zoomScale="210" zoomScaleNormal="210" workbookViewId="0">
      <selection activeCell="B11" sqref="B11"/>
    </sheetView>
  </sheetViews>
  <sheetFormatPr defaultColWidth="12.6640625" defaultRowHeight="12.75" customHeight="1" x14ac:dyDescent="0.25"/>
  <cols>
    <col min="1" max="1" width="12.6640625" style="47"/>
    <col min="2" max="2" width="45.88671875" style="47" bestFit="1" customWidth="1"/>
    <col min="3" max="3" width="14.33203125" style="47" bestFit="1" customWidth="1"/>
    <col min="4" max="7" width="12.6640625" style="47"/>
    <col min="8" max="8" width="26.33203125" style="47" customWidth="1"/>
    <col min="9" max="9" width="13.88671875" style="47" customWidth="1"/>
    <col min="10" max="16384" width="12.6640625" style="47"/>
  </cols>
  <sheetData>
    <row r="2" spans="2:8" ht="15" customHeight="1" x14ac:dyDescent="0.25">
      <c r="B2" s="46"/>
    </row>
    <row r="3" spans="2:8" ht="15" customHeight="1" x14ac:dyDescent="0.4">
      <c r="B3" s="153" t="s">
        <v>157</v>
      </c>
      <c r="C3" s="153"/>
    </row>
    <row r="4" spans="2:8" ht="14.25" customHeight="1" x14ac:dyDescent="0.3">
      <c r="H4" s="2" t="s">
        <v>21</v>
      </c>
    </row>
    <row r="5" spans="2:8" ht="15" customHeight="1" x14ac:dyDescent="0.4">
      <c r="B5" s="96" t="s">
        <v>121</v>
      </c>
      <c r="C5" s="96">
        <f>'Venture Capital Method '!C10</f>
        <v>466460</v>
      </c>
      <c r="H5" s="18"/>
    </row>
    <row r="6" spans="2:8" ht="15" customHeight="1" x14ac:dyDescent="0.4">
      <c r="B6" s="96" t="s">
        <v>273</v>
      </c>
      <c r="C6" s="96">
        <f>'Valuation '!E14</f>
        <v>4306019.7380306032</v>
      </c>
      <c r="D6" s="28"/>
      <c r="E6" s="28"/>
      <c r="H6" s="15" t="s">
        <v>20</v>
      </c>
    </row>
    <row r="7" spans="2:8" ht="15" customHeight="1" x14ac:dyDescent="0.3">
      <c r="D7" s="28"/>
      <c r="E7" s="28"/>
    </row>
    <row r="8" spans="2:8" ht="15" customHeight="1" x14ac:dyDescent="0.4">
      <c r="B8" s="96" t="s">
        <v>122</v>
      </c>
      <c r="C8" s="114">
        <f>C5/C6</f>
        <v>0.10832741798191099</v>
      </c>
    </row>
    <row r="9" spans="2:8" ht="15" customHeight="1" x14ac:dyDescent="0.25"/>
    <row r="10" spans="2:8" ht="15" customHeight="1" x14ac:dyDescent="0.25">
      <c r="C10" s="104"/>
    </row>
    <row r="11" spans="2:8" ht="15" customHeight="1" x14ac:dyDescent="0.25">
      <c r="C11" s="104"/>
    </row>
    <row r="12" spans="2:8" ht="15" customHeight="1" x14ac:dyDescent="0.25"/>
    <row r="13" spans="2:8" ht="15" customHeight="1" x14ac:dyDescent="0.25">
      <c r="C13" s="113"/>
    </row>
    <row r="14" spans="2:8" ht="15" customHeight="1" x14ac:dyDescent="0.25"/>
    <row r="15" spans="2:8" ht="15" customHeight="1" x14ac:dyDescent="0.25"/>
    <row r="16" spans="2:8" ht="15" customHeight="1" x14ac:dyDescent="0.3">
      <c r="B16" s="49"/>
      <c r="C16" s="28"/>
      <c r="D16" s="28"/>
      <c r="E16" s="28"/>
    </row>
    <row r="17" spans="2:2" ht="15" customHeight="1" x14ac:dyDescent="0.25">
      <c r="B17" s="49"/>
    </row>
    <row r="18" spans="2:2" ht="15" customHeight="1" x14ac:dyDescent="0.25">
      <c r="B18" s="49"/>
    </row>
    <row r="19" spans="2:2" ht="15" customHeight="1" x14ac:dyDescent="0.25"/>
    <row r="20" spans="2:2" ht="15" customHeight="1" x14ac:dyDescent="0.25"/>
    <row r="21" spans="2:2" ht="15" customHeight="1" x14ac:dyDescent="0.25"/>
    <row r="22" spans="2:2" ht="15" customHeight="1" x14ac:dyDescent="0.25"/>
    <row r="23" spans="2:2" ht="15" customHeight="1" x14ac:dyDescent="0.25"/>
    <row r="24" spans="2:2" ht="15" customHeight="1" x14ac:dyDescent="0.25"/>
    <row r="25" spans="2:2" ht="15" customHeight="1" x14ac:dyDescent="0.25"/>
    <row r="26" spans="2:2" ht="15" customHeight="1" x14ac:dyDescent="0.25"/>
    <row r="27" spans="2:2" ht="15" customHeight="1" x14ac:dyDescent="0.25"/>
    <row r="28" spans="2:2" ht="15" customHeight="1" x14ac:dyDescent="0.25"/>
    <row r="29" spans="2:2" ht="15" customHeight="1" x14ac:dyDescent="0.25"/>
    <row r="30" spans="2:2" ht="15" customHeight="1" x14ac:dyDescent="0.25"/>
    <row r="31" spans="2:2" ht="15" customHeight="1" x14ac:dyDescent="0.25">
      <c r="B31" s="50"/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/>
  </sheetPr>
  <dimension ref="A1:K27"/>
  <sheetViews>
    <sheetView showGridLines="0" zoomScale="170" zoomScaleNormal="170" workbookViewId="0">
      <selection activeCell="B8" sqref="B8"/>
    </sheetView>
  </sheetViews>
  <sheetFormatPr defaultColWidth="9.109375" defaultRowHeight="13.8" x14ac:dyDescent="0.25"/>
  <cols>
    <col min="1" max="1" width="9.109375" style="1"/>
    <col min="2" max="2" width="43.88671875" style="1" bestFit="1" customWidth="1"/>
    <col min="3" max="3" width="15.88671875" style="1" bestFit="1" customWidth="1"/>
    <col min="4" max="4" width="19.44140625" style="1" bestFit="1" customWidth="1"/>
    <col min="5" max="5" width="15.5546875" style="1" bestFit="1" customWidth="1"/>
    <col min="6" max="6" width="2" style="1" customWidth="1"/>
    <col min="7" max="7" width="9.109375" style="1"/>
    <col min="8" max="8" width="11" style="1" bestFit="1" customWidth="1"/>
    <col min="9" max="16384" width="9.109375" style="1"/>
  </cols>
  <sheetData>
    <row r="1" spans="1:11" ht="17.399999999999999" x14ac:dyDescent="0.4">
      <c r="A1" s="89" t="s">
        <v>21</v>
      </c>
      <c r="B1" s="36"/>
      <c r="C1" s="36"/>
      <c r="D1" s="90"/>
      <c r="E1" s="90"/>
      <c r="F1" s="90"/>
      <c r="I1" s="8"/>
    </row>
    <row r="2" spans="1:11" ht="17.399999999999999" x14ac:dyDescent="0.4">
      <c r="A2" s="36"/>
      <c r="B2" s="91" t="s">
        <v>33</v>
      </c>
      <c r="C2" s="92"/>
      <c r="D2" s="92"/>
      <c r="E2" s="92"/>
      <c r="F2" s="90"/>
      <c r="H2" s="8"/>
    </row>
    <row r="4" spans="1:11" ht="16.5" customHeight="1" x14ac:dyDescent="0.25">
      <c r="B4" s="97" t="s">
        <v>0</v>
      </c>
      <c r="C4" s="94" t="s">
        <v>116</v>
      </c>
      <c r="D4" s="94" t="s">
        <v>124</v>
      </c>
      <c r="E4" s="94" t="s">
        <v>117</v>
      </c>
      <c r="F4" s="95"/>
    </row>
    <row r="5" spans="1:11" ht="21" customHeight="1" x14ac:dyDescent="0.25">
      <c r="B5" s="8" t="s">
        <v>214</v>
      </c>
      <c r="C5" s="8">
        <v>21000000</v>
      </c>
      <c r="D5" s="8">
        <v>7000000</v>
      </c>
      <c r="E5" s="8">
        <f>C5+D5</f>
        <v>28000000</v>
      </c>
      <c r="F5" s="8"/>
      <c r="H5" s="55"/>
    </row>
    <row r="6" spans="1:11" ht="21" customHeight="1" x14ac:dyDescent="0.25">
      <c r="B6" s="8" t="s">
        <v>215</v>
      </c>
      <c r="C6" s="8">
        <v>10200000</v>
      </c>
      <c r="D6" s="8">
        <v>3400000</v>
      </c>
      <c r="E6" s="8">
        <f>C6+D6</f>
        <v>13600000</v>
      </c>
      <c r="F6" s="8"/>
      <c r="H6" s="8"/>
      <c r="I6" s="66"/>
    </row>
    <row r="7" spans="1:11" ht="21" customHeight="1" x14ac:dyDescent="0.25">
      <c r="B7" s="8" t="s">
        <v>216</v>
      </c>
      <c r="C7" s="8">
        <v>2625000</v>
      </c>
      <c r="D7" s="8">
        <v>875000</v>
      </c>
      <c r="E7" s="8">
        <f>C7+D7</f>
        <v>3500000</v>
      </c>
      <c r="F7" s="8"/>
      <c r="H7" s="55"/>
    </row>
    <row r="8" spans="1:11" ht="21" customHeight="1" x14ac:dyDescent="0.25">
      <c r="B8" s="8" t="s">
        <v>217</v>
      </c>
      <c r="C8" s="8">
        <v>3360000</v>
      </c>
      <c r="D8" s="8">
        <v>1120000</v>
      </c>
      <c r="E8" s="8">
        <f>C8+D8</f>
        <v>4480000</v>
      </c>
      <c r="F8" s="8"/>
      <c r="H8" s="55"/>
      <c r="I8" s="105"/>
    </row>
    <row r="9" spans="1:11" ht="21" customHeight="1" x14ac:dyDescent="0.4">
      <c r="B9" s="96" t="s">
        <v>22</v>
      </c>
      <c r="C9" s="96"/>
      <c r="D9" s="96"/>
      <c r="E9" s="96">
        <f>MIN(E5:E8)</f>
        <v>3500000</v>
      </c>
      <c r="F9" s="96"/>
    </row>
    <row r="10" spans="1:11" ht="21" customHeight="1" x14ac:dyDescent="0.4">
      <c r="B10" s="96" t="s">
        <v>1</v>
      </c>
      <c r="C10" s="96"/>
      <c r="D10" s="96"/>
      <c r="E10" s="96">
        <f>AVERAGE(E5:E8)</f>
        <v>12395000</v>
      </c>
      <c r="F10" s="96"/>
      <c r="K10" s="55"/>
    </row>
    <row r="11" spans="1:11" ht="17.399999999999999" x14ac:dyDescent="0.4">
      <c r="B11" s="96" t="s">
        <v>2</v>
      </c>
      <c r="C11" s="96"/>
      <c r="D11" s="96"/>
      <c r="E11" s="96">
        <f>MEDIAN(E5:E8)</f>
        <v>9040000</v>
      </c>
      <c r="F11" s="96"/>
    </row>
    <row r="12" spans="1:11" ht="17.399999999999999" x14ac:dyDescent="0.4">
      <c r="B12" s="96" t="s">
        <v>23</v>
      </c>
      <c r="C12" s="96"/>
      <c r="D12" s="96"/>
      <c r="E12" s="96">
        <f>MAX(E5:E8)</f>
        <v>28000000</v>
      </c>
      <c r="F12" s="96"/>
    </row>
    <row r="14" spans="1:11" ht="17.399999999999999" x14ac:dyDescent="0.4">
      <c r="B14" s="96" t="s">
        <v>158</v>
      </c>
      <c r="C14" s="96"/>
      <c r="D14" s="96"/>
      <c r="E14" s="114">
        <v>0.4</v>
      </c>
      <c r="F14" s="96"/>
    </row>
    <row r="15" spans="1:11" ht="17.399999999999999" x14ac:dyDescent="0.4">
      <c r="B15" s="96" t="s">
        <v>218</v>
      </c>
      <c r="C15" s="96"/>
      <c r="D15" s="96"/>
      <c r="E15" s="96">
        <f>E9*(1-E14)</f>
        <v>2100000</v>
      </c>
      <c r="F15" s="96"/>
    </row>
    <row r="20" spans="2:4" ht="15.6" x14ac:dyDescent="0.3">
      <c r="B20" s="4"/>
      <c r="C20" s="5"/>
      <c r="D20" s="5"/>
    </row>
    <row r="21" spans="2:4" ht="15.6" x14ac:dyDescent="0.3">
      <c r="B21" s="5"/>
      <c r="C21" s="5"/>
      <c r="D21" s="5"/>
    </row>
    <row r="22" spans="2:4" ht="15.6" x14ac:dyDescent="0.3">
      <c r="B22" s="5"/>
      <c r="C22" s="5"/>
      <c r="D22" s="5"/>
    </row>
    <row r="23" spans="2:4" ht="15.6" x14ac:dyDescent="0.3">
      <c r="B23" s="5"/>
      <c r="C23" s="5"/>
      <c r="D23" s="5"/>
    </row>
    <row r="24" spans="2:4" ht="15.6" x14ac:dyDescent="0.3">
      <c r="B24" s="15" t="s">
        <v>20</v>
      </c>
      <c r="C24" s="5"/>
      <c r="D24" s="5"/>
    </row>
    <row r="25" spans="2:4" ht="15.6" x14ac:dyDescent="0.3">
      <c r="C25" s="5"/>
      <c r="D25" s="5"/>
    </row>
    <row r="26" spans="2:4" ht="15.6" x14ac:dyDescent="0.3">
      <c r="C26" s="6"/>
      <c r="D26" s="6"/>
    </row>
    <row r="27" spans="2:4" ht="15.6" x14ac:dyDescent="0.35">
      <c r="C27" s="7"/>
      <c r="D27" s="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/>
  </sheetPr>
  <dimension ref="B1:G22"/>
  <sheetViews>
    <sheetView showGridLines="0" topLeftCell="B1" zoomScale="150" zoomScaleNormal="150" workbookViewId="0">
      <selection activeCell="C14" sqref="C14"/>
    </sheetView>
  </sheetViews>
  <sheetFormatPr defaultColWidth="17.33203125" defaultRowHeight="15" customHeight="1" x14ac:dyDescent="0.3"/>
  <cols>
    <col min="1" max="1" width="6.88671875" style="13" customWidth="1"/>
    <col min="2" max="2" width="72.33203125" style="13" bestFit="1" customWidth="1"/>
    <col min="3" max="3" width="35" style="13" bestFit="1" customWidth="1"/>
    <col min="4" max="4" width="18.6640625" style="13" bestFit="1" customWidth="1"/>
    <col min="5" max="6" width="9.109375" style="13" customWidth="1"/>
    <col min="7" max="7" width="9" style="13" customWidth="1"/>
    <col min="8" max="16384" width="17.33203125" style="13"/>
  </cols>
  <sheetData>
    <row r="1" spans="2:7" ht="15" customHeight="1" x14ac:dyDescent="0.4">
      <c r="B1" s="89" t="s">
        <v>21</v>
      </c>
      <c r="C1" s="36"/>
      <c r="D1" s="36"/>
    </row>
    <row r="2" spans="2:7" ht="15" customHeight="1" x14ac:dyDescent="0.4">
      <c r="B2" s="36"/>
      <c r="C2" s="91" t="s">
        <v>34</v>
      </c>
      <c r="D2" s="92"/>
    </row>
    <row r="3" spans="2:7" ht="12.75" customHeight="1" x14ac:dyDescent="0.3">
      <c r="B3" s="9"/>
      <c r="C3" s="10"/>
      <c r="D3" s="11"/>
    </row>
    <row r="4" spans="2:7" ht="12.75" customHeight="1" x14ac:dyDescent="0.4">
      <c r="B4" s="98" t="s">
        <v>24</v>
      </c>
      <c r="C4" s="98" t="s">
        <v>25</v>
      </c>
      <c r="D4" s="98" t="s">
        <v>26</v>
      </c>
    </row>
    <row r="5" spans="2:7" ht="12.75" customHeight="1" x14ac:dyDescent="0.3">
      <c r="B5" s="8" t="s">
        <v>27</v>
      </c>
      <c r="C5" s="8" t="s">
        <v>213</v>
      </c>
      <c r="D5" s="8">
        <v>500000</v>
      </c>
      <c r="E5" s="53"/>
      <c r="F5" s="115"/>
      <c r="G5" s="53"/>
    </row>
    <row r="6" spans="2:7" ht="12.75" customHeight="1" x14ac:dyDescent="0.3">
      <c r="B6" s="8" t="s">
        <v>28</v>
      </c>
      <c r="C6" s="8" t="s">
        <v>213</v>
      </c>
      <c r="D6" s="8">
        <v>200000</v>
      </c>
      <c r="E6" s="53"/>
      <c r="F6" s="115"/>
      <c r="G6" s="53"/>
    </row>
    <row r="7" spans="2:7" ht="12.75" customHeight="1" x14ac:dyDescent="0.3">
      <c r="B7" s="8" t="s">
        <v>29</v>
      </c>
      <c r="C7" s="8" t="s">
        <v>213</v>
      </c>
      <c r="D7" s="8">
        <v>300000</v>
      </c>
      <c r="E7" s="53"/>
      <c r="F7" s="115"/>
      <c r="G7" s="53"/>
    </row>
    <row r="8" spans="2:7" ht="12.75" customHeight="1" x14ac:dyDescent="0.3">
      <c r="B8" s="8" t="s">
        <v>30</v>
      </c>
      <c r="C8" s="8" t="s">
        <v>213</v>
      </c>
      <c r="D8" s="8">
        <v>200000</v>
      </c>
      <c r="E8" s="53"/>
      <c r="F8" s="115"/>
      <c r="G8" s="53"/>
    </row>
    <row r="9" spans="2:7" ht="12.75" customHeight="1" x14ac:dyDescent="0.3">
      <c r="B9" s="8" t="s">
        <v>31</v>
      </c>
      <c r="C9" s="8" t="s">
        <v>213</v>
      </c>
      <c r="D9" s="8">
        <v>100000</v>
      </c>
      <c r="E9" s="53"/>
      <c r="F9" s="115"/>
      <c r="G9" s="53"/>
    </row>
    <row r="10" spans="2:7" ht="12.75" customHeight="1" x14ac:dyDescent="0.3">
      <c r="B10" s="8"/>
      <c r="C10" s="8"/>
      <c r="D10" s="8"/>
      <c r="F10" s="53"/>
    </row>
    <row r="11" spans="2:7" ht="17.399999999999999" x14ac:dyDescent="0.4">
      <c r="B11" s="96" t="s">
        <v>212</v>
      </c>
      <c r="C11" s="96"/>
      <c r="D11" s="96">
        <f>SUM(D5:D9)</f>
        <v>1300000</v>
      </c>
    </row>
    <row r="12" spans="2:7" ht="12.75" customHeight="1" x14ac:dyDescent="0.3">
      <c r="B12" s="12"/>
      <c r="C12" s="14"/>
      <c r="D12" s="12"/>
    </row>
    <row r="13" spans="2:7" ht="12.75" customHeight="1" x14ac:dyDescent="0.3">
      <c r="B13" s="12"/>
      <c r="C13" s="14"/>
      <c r="D13" s="12"/>
    </row>
    <row r="14" spans="2:7" ht="12.75" customHeight="1" x14ac:dyDescent="0.3">
      <c r="B14" s="12"/>
      <c r="C14" s="14"/>
      <c r="D14" s="12"/>
    </row>
    <row r="15" spans="2:7" ht="12.75" customHeight="1" x14ac:dyDescent="0.3">
      <c r="B15" s="12"/>
      <c r="C15" s="14"/>
      <c r="D15" s="12"/>
    </row>
    <row r="16" spans="2:7" ht="12.75" customHeight="1" x14ac:dyDescent="0.3">
      <c r="B16" s="12"/>
      <c r="C16" s="14"/>
      <c r="D16" s="12"/>
    </row>
    <row r="17" spans="2:7" ht="12.75" customHeight="1" x14ac:dyDescent="0.3">
      <c r="B17" s="12"/>
      <c r="C17" s="14"/>
      <c r="D17" s="12"/>
    </row>
    <row r="18" spans="2:7" ht="12.75" customHeight="1" x14ac:dyDescent="0.3">
      <c r="B18" s="15" t="s">
        <v>20</v>
      </c>
      <c r="C18" s="5"/>
      <c r="D18" s="12"/>
    </row>
    <row r="19" spans="2:7" ht="12.75" customHeight="1" x14ac:dyDescent="0.3">
      <c r="B19" s="1"/>
      <c r="D19" s="12"/>
      <c r="G19" s="53"/>
    </row>
    <row r="20" spans="2:7" ht="15" customHeight="1" x14ac:dyDescent="0.3">
      <c r="G20" s="53"/>
    </row>
    <row r="21" spans="2:7" ht="15" customHeight="1" x14ac:dyDescent="0.3">
      <c r="G21" s="53"/>
    </row>
    <row r="22" spans="2:7" ht="15" customHeight="1" x14ac:dyDescent="0.3">
      <c r="G22" s="53"/>
    </row>
  </sheetData>
  <phoneticPr fontId="4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/>
  </sheetPr>
  <dimension ref="B1:E25"/>
  <sheetViews>
    <sheetView showGridLines="0" zoomScale="120" zoomScaleNormal="120" workbookViewId="0">
      <selection activeCell="C20" sqref="C20"/>
    </sheetView>
  </sheetViews>
  <sheetFormatPr defaultColWidth="17.33203125" defaultRowHeight="15" customHeight="1" x14ac:dyDescent="0.3"/>
  <cols>
    <col min="1" max="1" width="6.88671875" style="13" customWidth="1"/>
    <col min="2" max="2" width="72.33203125" style="13" bestFit="1" customWidth="1"/>
    <col min="3" max="3" width="31.33203125" style="13" bestFit="1" customWidth="1"/>
    <col min="4" max="4" width="18.6640625" style="13" bestFit="1" customWidth="1"/>
    <col min="5" max="5" width="14.33203125" style="13" bestFit="1" customWidth="1"/>
    <col min="6" max="7" width="9.109375" style="13" customWidth="1"/>
    <col min="8" max="16384" width="17.33203125" style="13"/>
  </cols>
  <sheetData>
    <row r="1" spans="2:5" ht="15" customHeight="1" x14ac:dyDescent="0.4">
      <c r="B1" s="89" t="s">
        <v>21</v>
      </c>
      <c r="C1" s="36"/>
      <c r="D1" s="36"/>
      <c r="E1" s="36"/>
    </row>
    <row r="2" spans="2:5" ht="15" customHeight="1" x14ac:dyDescent="0.4">
      <c r="B2" s="36"/>
      <c r="C2" s="91" t="s">
        <v>38</v>
      </c>
      <c r="D2" s="92"/>
      <c r="E2" s="36"/>
    </row>
    <row r="3" spans="2:5" ht="12.75" customHeight="1" x14ac:dyDescent="0.3">
      <c r="B3" s="9"/>
      <c r="C3" s="10"/>
      <c r="D3" s="11"/>
    </row>
    <row r="4" spans="2:5" ht="16.95" customHeight="1" x14ac:dyDescent="0.4">
      <c r="B4" s="98" t="s">
        <v>40</v>
      </c>
      <c r="C4" s="98">
        <f>'Comparable Analysis Method'!E15</f>
        <v>2100000</v>
      </c>
      <c r="D4" s="98"/>
      <c r="E4" s="98"/>
    </row>
    <row r="5" spans="2:5" ht="12.75" customHeight="1" x14ac:dyDescent="0.3">
      <c r="B5" s="9"/>
      <c r="C5" s="10"/>
      <c r="D5" s="11"/>
    </row>
    <row r="6" spans="2:5" ht="14.4" customHeight="1" x14ac:dyDescent="0.4">
      <c r="B6" s="98" t="s">
        <v>24</v>
      </c>
      <c r="C6" s="98" t="s">
        <v>35</v>
      </c>
      <c r="D6" s="98" t="s">
        <v>36</v>
      </c>
      <c r="E6" s="98" t="s">
        <v>37</v>
      </c>
    </row>
    <row r="7" spans="2:5" ht="12.75" customHeight="1" x14ac:dyDescent="0.3">
      <c r="B7" s="8" t="s">
        <v>39</v>
      </c>
      <c r="C7" s="16">
        <v>0.3</v>
      </c>
      <c r="D7" s="16">
        <v>1.1000000000000001</v>
      </c>
      <c r="E7" s="17">
        <f>C7*D7</f>
        <v>0.33</v>
      </c>
    </row>
    <row r="8" spans="2:5" ht="12.75" customHeight="1" x14ac:dyDescent="0.3">
      <c r="B8" s="8" t="s">
        <v>41</v>
      </c>
      <c r="C8" s="16">
        <v>0.25</v>
      </c>
      <c r="D8" s="16">
        <v>1.125</v>
      </c>
      <c r="E8" s="17">
        <f t="shared" ref="E8:E13" si="0">C8*D8</f>
        <v>0.28125</v>
      </c>
    </row>
    <row r="9" spans="2:5" ht="12.75" customHeight="1" x14ac:dyDescent="0.3">
      <c r="B9" s="8" t="s">
        <v>42</v>
      </c>
      <c r="C9" s="16">
        <v>0.15</v>
      </c>
      <c r="D9" s="16">
        <v>0.9375</v>
      </c>
      <c r="E9" s="17">
        <f t="shared" si="0"/>
        <v>0.140625</v>
      </c>
    </row>
    <row r="10" spans="2:5" ht="12.75" customHeight="1" x14ac:dyDescent="0.3">
      <c r="B10" s="8" t="s">
        <v>43</v>
      </c>
      <c r="C10" s="16">
        <v>0.1</v>
      </c>
      <c r="D10" s="16">
        <v>1</v>
      </c>
      <c r="E10" s="17">
        <f t="shared" si="0"/>
        <v>0.1</v>
      </c>
    </row>
    <row r="11" spans="2:5" ht="12.75" customHeight="1" x14ac:dyDescent="0.3">
      <c r="B11" s="8" t="s">
        <v>44</v>
      </c>
      <c r="C11" s="16">
        <v>0.1</v>
      </c>
      <c r="D11" s="16">
        <v>0.5</v>
      </c>
      <c r="E11" s="17">
        <f t="shared" si="0"/>
        <v>0.05</v>
      </c>
    </row>
    <row r="12" spans="2:5" ht="12.75" customHeight="1" x14ac:dyDescent="0.3">
      <c r="B12" s="8" t="s">
        <v>45</v>
      </c>
      <c r="C12" s="16">
        <v>0.05</v>
      </c>
      <c r="D12" s="16">
        <v>1</v>
      </c>
      <c r="E12" s="17">
        <f t="shared" si="0"/>
        <v>0.05</v>
      </c>
    </row>
    <row r="13" spans="2:5" ht="12.75" customHeight="1" x14ac:dyDescent="0.3">
      <c r="B13" s="8" t="s">
        <v>46</v>
      </c>
      <c r="C13" s="16">
        <v>0.05</v>
      </c>
      <c r="D13" s="16">
        <v>1.125</v>
      </c>
      <c r="E13" s="17">
        <f t="shared" si="0"/>
        <v>5.6250000000000001E-2</v>
      </c>
    </row>
    <row r="14" spans="2:5" ht="18" customHeight="1" x14ac:dyDescent="0.4">
      <c r="B14" s="96" t="s">
        <v>118</v>
      </c>
      <c r="C14" s="96"/>
      <c r="D14" s="96"/>
      <c r="E14" s="99">
        <f>SUM(E7:E13)</f>
        <v>1.0081250000000002</v>
      </c>
    </row>
    <row r="15" spans="2:5" ht="12.75" customHeight="1" x14ac:dyDescent="0.3"/>
    <row r="16" spans="2:5" ht="17.399999999999999" customHeight="1" x14ac:dyDescent="0.4">
      <c r="B16" s="96" t="s">
        <v>219</v>
      </c>
      <c r="C16" s="96">
        <f>C4*E14</f>
        <v>2117062.5000000005</v>
      </c>
      <c r="D16" s="96"/>
      <c r="E16" s="99"/>
    </row>
    <row r="17" spans="2:5" ht="27" customHeight="1" x14ac:dyDescent="0.3">
      <c r="B17" s="154"/>
      <c r="C17" s="155"/>
      <c r="D17" s="155"/>
    </row>
    <row r="18" spans="2:5" ht="12.75" customHeight="1" x14ac:dyDescent="0.3">
      <c r="B18" s="12"/>
      <c r="C18" s="14"/>
      <c r="D18" s="12"/>
    </row>
    <row r="19" spans="2:5" ht="12.75" customHeight="1" x14ac:dyDescent="0.3">
      <c r="B19" s="12"/>
      <c r="C19" s="14"/>
      <c r="D19" s="12"/>
      <c r="E19" s="13" t="s">
        <v>32</v>
      </c>
    </row>
    <row r="20" spans="2:5" ht="12.75" customHeight="1" x14ac:dyDescent="0.3">
      <c r="B20" s="12"/>
      <c r="C20" s="14"/>
      <c r="D20" s="12"/>
    </row>
    <row r="21" spans="2:5" ht="12.75" customHeight="1" x14ac:dyDescent="0.3">
      <c r="B21" s="12"/>
      <c r="C21" s="14"/>
      <c r="D21" s="12"/>
    </row>
    <row r="22" spans="2:5" ht="12.75" customHeight="1" x14ac:dyDescent="0.3">
      <c r="B22" s="12"/>
      <c r="C22" s="14"/>
      <c r="D22" s="12"/>
    </row>
    <row r="23" spans="2:5" ht="12.75" customHeight="1" x14ac:dyDescent="0.3">
      <c r="B23" s="12"/>
      <c r="C23" s="14"/>
      <c r="D23" s="12"/>
    </row>
    <row r="24" spans="2:5" ht="12.75" customHeight="1" x14ac:dyDescent="0.3">
      <c r="B24" s="15" t="s">
        <v>20</v>
      </c>
      <c r="C24" s="5"/>
      <c r="D24" s="12"/>
    </row>
    <row r="25" spans="2:5" ht="12.75" customHeight="1" x14ac:dyDescent="0.3">
      <c r="B25" s="1"/>
      <c r="D25" s="12"/>
    </row>
  </sheetData>
  <mergeCells count="1">
    <mergeCell ref="B17:D1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</sheetPr>
  <dimension ref="B1:F44"/>
  <sheetViews>
    <sheetView showGridLines="0" zoomScale="110" zoomScaleNormal="110" workbookViewId="0">
      <selection activeCell="C27" sqref="C27"/>
    </sheetView>
  </sheetViews>
  <sheetFormatPr defaultColWidth="17.33203125" defaultRowHeight="15" customHeight="1" x14ac:dyDescent="0.3"/>
  <cols>
    <col min="1" max="1" width="6.88671875" style="13" customWidth="1"/>
    <col min="2" max="2" width="72.33203125" style="13" bestFit="1" customWidth="1"/>
    <col min="3" max="3" width="31.33203125" style="13" bestFit="1" customWidth="1"/>
    <col min="4" max="4" width="18.6640625" style="13" bestFit="1" customWidth="1"/>
    <col min="5" max="5" width="22.33203125" style="13" bestFit="1" customWidth="1"/>
    <col min="6" max="7" width="9.109375" style="13" customWidth="1"/>
    <col min="8" max="16384" width="17.33203125" style="13"/>
  </cols>
  <sheetData>
    <row r="1" spans="2:5" ht="15" customHeight="1" x14ac:dyDescent="0.4">
      <c r="B1" s="89" t="s">
        <v>21</v>
      </c>
      <c r="C1" s="36"/>
      <c r="D1" s="36"/>
      <c r="E1" s="36"/>
    </row>
    <row r="2" spans="2:5" ht="15" customHeight="1" x14ac:dyDescent="0.4">
      <c r="B2" s="36"/>
      <c r="C2" s="91" t="s">
        <v>128</v>
      </c>
      <c r="D2" s="92"/>
      <c r="E2" s="36"/>
    </row>
    <row r="3" spans="2:5" ht="12.75" customHeight="1" x14ac:dyDescent="0.3">
      <c r="B3" s="9"/>
      <c r="C3" s="10"/>
      <c r="D3" s="11"/>
    </row>
    <row r="4" spans="2:5" ht="16.95" customHeight="1" x14ac:dyDescent="0.4">
      <c r="B4" s="98" t="s">
        <v>40</v>
      </c>
      <c r="C4" s="98">
        <f>'Comparable Analysis Method'!E15</f>
        <v>2100000</v>
      </c>
      <c r="D4" s="98"/>
      <c r="E4" s="98"/>
    </row>
    <row r="5" spans="2:5" ht="12.75" customHeight="1" x14ac:dyDescent="0.3">
      <c r="B5" s="9"/>
      <c r="C5" s="10"/>
      <c r="D5" s="11"/>
    </row>
    <row r="6" spans="2:5" ht="15.6" customHeight="1" x14ac:dyDescent="0.4">
      <c r="B6" s="98" t="s">
        <v>94</v>
      </c>
      <c r="C6" s="98" t="s">
        <v>96</v>
      </c>
      <c r="D6" s="98" t="s">
        <v>97</v>
      </c>
      <c r="E6" s="98" t="s">
        <v>98</v>
      </c>
    </row>
    <row r="7" spans="2:5" ht="12.75" customHeight="1" x14ac:dyDescent="0.3">
      <c r="B7" s="8" t="s">
        <v>95</v>
      </c>
      <c r="C7" s="16" t="s">
        <v>119</v>
      </c>
      <c r="D7" s="54">
        <v>250000</v>
      </c>
      <c r="E7" s="54">
        <f>D7</f>
        <v>250000</v>
      </c>
    </row>
    <row r="8" spans="2:5" ht="12.75" customHeight="1" x14ac:dyDescent="0.3">
      <c r="B8" s="8" t="s">
        <v>99</v>
      </c>
      <c r="C8" s="16" t="s">
        <v>119</v>
      </c>
      <c r="D8" s="54">
        <v>250000</v>
      </c>
      <c r="E8" s="54">
        <f>E7+D8</f>
        <v>500000</v>
      </c>
    </row>
    <row r="9" spans="2:5" ht="12.75" customHeight="1" x14ac:dyDescent="0.3">
      <c r="B9" s="8" t="s">
        <v>100</v>
      </c>
      <c r="C9" s="16" t="s">
        <v>101</v>
      </c>
      <c r="D9" s="54">
        <v>-250000</v>
      </c>
      <c r="E9" s="54">
        <f t="shared" ref="E9:E18" si="0">E8+D9</f>
        <v>250000</v>
      </c>
    </row>
    <row r="10" spans="2:5" ht="12.75" customHeight="1" x14ac:dyDescent="0.3">
      <c r="B10" s="8" t="s">
        <v>102</v>
      </c>
      <c r="C10" s="16" t="s">
        <v>119</v>
      </c>
      <c r="D10" s="54">
        <v>250000</v>
      </c>
      <c r="E10" s="54">
        <f t="shared" si="0"/>
        <v>500000</v>
      </c>
    </row>
    <row r="11" spans="2:5" ht="12.75" customHeight="1" x14ac:dyDescent="0.3">
      <c r="B11" s="8" t="s">
        <v>103</v>
      </c>
      <c r="C11" s="16" t="s">
        <v>119</v>
      </c>
      <c r="D11" s="54">
        <v>250000</v>
      </c>
      <c r="E11" s="54">
        <f t="shared" si="0"/>
        <v>750000</v>
      </c>
    </row>
    <row r="12" spans="2:5" ht="12.75" customHeight="1" x14ac:dyDescent="0.3">
      <c r="B12" s="8" t="s">
        <v>104</v>
      </c>
      <c r="C12" s="16" t="s">
        <v>101</v>
      </c>
      <c r="D12" s="54">
        <v>-250000</v>
      </c>
      <c r="E12" s="54">
        <f t="shared" si="0"/>
        <v>500000</v>
      </c>
    </row>
    <row r="13" spans="2:5" ht="12.75" customHeight="1" x14ac:dyDescent="0.3">
      <c r="B13" s="8" t="s">
        <v>105</v>
      </c>
      <c r="C13" s="16" t="s">
        <v>101</v>
      </c>
      <c r="D13" s="54">
        <v>-250000</v>
      </c>
      <c r="E13" s="54">
        <f t="shared" si="0"/>
        <v>250000</v>
      </c>
    </row>
    <row r="14" spans="2:5" ht="12.75" customHeight="1" x14ac:dyDescent="0.3">
      <c r="B14" s="8" t="s">
        <v>106</v>
      </c>
      <c r="C14" s="16" t="s">
        <v>119</v>
      </c>
      <c r="D14" s="54">
        <v>250000</v>
      </c>
      <c r="E14" s="54">
        <f t="shared" si="0"/>
        <v>500000</v>
      </c>
    </row>
    <row r="15" spans="2:5" ht="12.75" customHeight="1" x14ac:dyDescent="0.3">
      <c r="B15" s="8" t="s">
        <v>107</v>
      </c>
      <c r="C15" s="16" t="s">
        <v>101</v>
      </c>
      <c r="D15" s="54">
        <v>-250000</v>
      </c>
      <c r="E15" s="54">
        <f t="shared" si="0"/>
        <v>250000</v>
      </c>
    </row>
    <row r="16" spans="2:5" ht="12.75" customHeight="1" x14ac:dyDescent="0.3">
      <c r="B16" s="8" t="s">
        <v>108</v>
      </c>
      <c r="C16" s="16" t="s">
        <v>119</v>
      </c>
      <c r="D16" s="54">
        <v>250000</v>
      </c>
      <c r="E16" s="54">
        <f t="shared" si="0"/>
        <v>500000</v>
      </c>
    </row>
    <row r="17" spans="2:5" ht="12.75" customHeight="1" x14ac:dyDescent="0.3">
      <c r="B17" s="8" t="s">
        <v>109</v>
      </c>
      <c r="C17" s="16" t="s">
        <v>119</v>
      </c>
      <c r="D17" s="54">
        <v>250000</v>
      </c>
      <c r="E17" s="54">
        <f t="shared" si="0"/>
        <v>750000</v>
      </c>
    </row>
    <row r="18" spans="2:5" ht="12.75" customHeight="1" x14ac:dyDescent="0.3">
      <c r="B18" s="8" t="s">
        <v>110</v>
      </c>
      <c r="C18" s="16" t="s">
        <v>101</v>
      </c>
      <c r="D18" s="54">
        <v>-250000</v>
      </c>
      <c r="E18" s="54">
        <f t="shared" si="0"/>
        <v>500000</v>
      </c>
    </row>
    <row r="19" spans="2:5" ht="17.399999999999999" customHeight="1" x14ac:dyDescent="0.4">
      <c r="B19" s="96" t="s">
        <v>111</v>
      </c>
      <c r="C19" s="96"/>
      <c r="D19" s="96"/>
      <c r="E19" s="100">
        <f>E18</f>
        <v>500000</v>
      </c>
    </row>
    <row r="20" spans="2:5" ht="12.75" customHeight="1" x14ac:dyDescent="0.3"/>
    <row r="21" spans="2:5" ht="16.95" customHeight="1" x14ac:dyDescent="0.4">
      <c r="B21" s="96" t="s">
        <v>220</v>
      </c>
      <c r="C21" s="96">
        <f>C4+E19</f>
        <v>2600000</v>
      </c>
      <c r="D21" s="96"/>
      <c r="E21" s="100"/>
    </row>
    <row r="22" spans="2:5" ht="12.75" customHeight="1" x14ac:dyDescent="0.3">
      <c r="B22" s="12"/>
      <c r="C22" s="14"/>
      <c r="D22" s="12"/>
    </row>
    <row r="23" spans="2:5" ht="27" customHeight="1" x14ac:dyDescent="0.3">
      <c r="B23" s="154"/>
      <c r="C23" s="155"/>
      <c r="D23" s="155"/>
    </row>
    <row r="24" spans="2:5" ht="12.75" customHeight="1" x14ac:dyDescent="0.3">
      <c r="B24" s="12"/>
      <c r="C24" s="14"/>
      <c r="D24" s="12"/>
    </row>
    <row r="25" spans="2:5" ht="12.75" customHeight="1" x14ac:dyDescent="0.3">
      <c r="B25" s="12"/>
      <c r="C25" s="14"/>
      <c r="D25" s="12"/>
      <c r="E25" s="13" t="s">
        <v>32</v>
      </c>
    </row>
    <row r="26" spans="2:5" ht="12.75" customHeight="1" x14ac:dyDescent="0.3">
      <c r="B26" s="12"/>
      <c r="C26" s="14"/>
      <c r="D26" s="12"/>
    </row>
    <row r="27" spans="2:5" ht="12.75" customHeight="1" x14ac:dyDescent="0.3">
      <c r="B27" s="12"/>
      <c r="C27" s="14"/>
      <c r="D27" s="12"/>
    </row>
    <row r="28" spans="2:5" ht="12.75" customHeight="1" x14ac:dyDescent="0.3">
      <c r="B28" s="12"/>
      <c r="C28" s="14"/>
      <c r="D28" s="12"/>
    </row>
    <row r="29" spans="2:5" ht="12.75" customHeight="1" x14ac:dyDescent="0.3">
      <c r="B29" s="12"/>
      <c r="C29" s="14"/>
      <c r="D29" s="12"/>
    </row>
    <row r="30" spans="2:5" ht="12.75" customHeight="1" x14ac:dyDescent="0.3">
      <c r="B30" s="15" t="s">
        <v>20</v>
      </c>
      <c r="C30" s="5"/>
      <c r="D30" s="12"/>
    </row>
    <row r="31" spans="2:5" ht="12.75" customHeight="1" x14ac:dyDescent="0.3">
      <c r="B31" s="1"/>
      <c r="D31" s="12"/>
    </row>
    <row r="44" spans="2:6" ht="15" customHeight="1" x14ac:dyDescent="0.3">
      <c r="B44" s="56"/>
      <c r="C44" s="56"/>
      <c r="D44" s="56"/>
      <c r="E44" s="56"/>
      <c r="F44" s="56"/>
    </row>
  </sheetData>
  <mergeCells count="1">
    <mergeCell ref="B23:D23"/>
  </mergeCells>
  <pageMargins left="0.7" right="0.7" top="0.75" bottom="0.75" header="0.3" footer="0.3"/>
  <pageSetup scale="59" orientation="portrait" r:id="rId1"/>
  <colBreaks count="1" manualBreakCount="1">
    <brk id="5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DCCB-4124-4A86-B939-A6BD26E4749C}">
  <sheetPr>
    <tabColor theme="2"/>
    <pageSetUpPr autoPageBreaks="0"/>
  </sheetPr>
  <dimension ref="A2:Z371"/>
  <sheetViews>
    <sheetView showGridLines="0" tabSelected="1" topLeftCell="A174" zoomScale="90" zoomScaleNormal="90" workbookViewId="0">
      <selection activeCell="G198" sqref="G198"/>
    </sheetView>
  </sheetViews>
  <sheetFormatPr defaultColWidth="9.109375" defaultRowHeight="14.4" outlineLevelRow="1" x14ac:dyDescent="0.3"/>
  <cols>
    <col min="1" max="2" width="2.6640625" style="18" customWidth="1"/>
    <col min="3" max="3" width="64.88671875" style="18" customWidth="1"/>
    <col min="4" max="4" width="13.33203125" style="18" customWidth="1"/>
    <col min="5" max="5" width="11.6640625" style="18" customWidth="1"/>
    <col min="6" max="6" width="15.44140625" style="18" customWidth="1"/>
    <col min="7" max="7" width="15" style="18" customWidth="1"/>
    <col min="8" max="8" width="14.88671875" style="18" customWidth="1"/>
    <col min="9" max="9" width="15.33203125" style="18" customWidth="1"/>
    <col min="10" max="10" width="15" style="18" customWidth="1"/>
    <col min="11" max="11" width="16.6640625" style="18" customWidth="1"/>
    <col min="12" max="12" width="15" style="19" bestFit="1" customWidth="1"/>
    <col min="13" max="13" width="11.5546875" style="19" bestFit="1" customWidth="1"/>
    <col min="14" max="16" width="11.109375" style="19" customWidth="1"/>
    <col min="17" max="28" width="10.6640625" style="18" customWidth="1"/>
    <col min="29" max="16384" width="9.109375" style="18"/>
  </cols>
  <sheetData>
    <row r="2" spans="2:18" x14ac:dyDescent="0.3">
      <c r="C2" s="2" t="s">
        <v>21</v>
      </c>
      <c r="D2" s="19"/>
      <c r="E2" s="19"/>
      <c r="F2" s="19"/>
      <c r="G2" s="19"/>
      <c r="H2" s="19"/>
      <c r="I2" s="19"/>
      <c r="J2" s="19"/>
      <c r="K2" s="19"/>
      <c r="Q2" s="19"/>
      <c r="R2" s="19"/>
    </row>
    <row r="3" spans="2:18" x14ac:dyDescent="0.3">
      <c r="B3"/>
      <c r="D3" s="19"/>
      <c r="E3" s="19"/>
      <c r="F3" s="19"/>
      <c r="G3" s="19"/>
      <c r="H3" s="19"/>
      <c r="I3" s="19"/>
      <c r="J3" s="19"/>
      <c r="K3" s="19"/>
      <c r="Q3" s="19"/>
      <c r="R3" s="19"/>
    </row>
    <row r="4" spans="2:18" ht="15.6" x14ac:dyDescent="0.3">
      <c r="B4"/>
      <c r="C4" s="15" t="s">
        <v>20</v>
      </c>
      <c r="D4" s="19"/>
      <c r="E4" s="19"/>
      <c r="F4" s="19"/>
      <c r="G4" s="19"/>
      <c r="H4" s="19"/>
      <c r="I4" s="19"/>
      <c r="J4" s="19"/>
      <c r="K4" s="19"/>
      <c r="Q4" s="19"/>
      <c r="R4" s="19"/>
    </row>
    <row r="5" spans="2:18" x14ac:dyDescent="0.3">
      <c r="B5"/>
      <c r="D5" s="19"/>
      <c r="E5" s="19"/>
      <c r="F5" s="19"/>
      <c r="G5" s="19"/>
      <c r="H5" s="19"/>
      <c r="I5" s="19"/>
      <c r="J5" s="19"/>
      <c r="K5" s="19"/>
      <c r="Q5" s="19"/>
      <c r="R5" s="19"/>
    </row>
    <row r="6" spans="2:18" x14ac:dyDescent="0.3">
      <c r="C6" s="19"/>
      <c r="D6" s="19"/>
      <c r="E6" s="19"/>
      <c r="F6" s="19"/>
      <c r="G6" s="19"/>
      <c r="H6" s="19"/>
      <c r="I6" s="19"/>
      <c r="J6" s="19"/>
      <c r="K6" s="19"/>
      <c r="Q6" s="19"/>
      <c r="R6" s="19"/>
    </row>
    <row r="7" spans="2:18" ht="17.399999999999999" x14ac:dyDescent="0.4">
      <c r="B7" s="3"/>
      <c r="C7" s="3"/>
      <c r="D7" s="3"/>
      <c r="E7" s="3"/>
      <c r="F7" s="3"/>
      <c r="G7" s="3"/>
      <c r="H7" s="3"/>
      <c r="I7" s="3"/>
      <c r="J7" s="3"/>
      <c r="K7" s="3"/>
    </row>
    <row r="8" spans="2:18" ht="17.399999999999999" x14ac:dyDescent="0.4">
      <c r="B8" s="35" t="str">
        <f>Company_Name&amp;" - DCF Assumptions &amp; Output:"</f>
        <v>VR MALL - DCF Assumptions &amp; Output:</v>
      </c>
      <c r="C8" s="3"/>
      <c r="D8" s="3"/>
      <c r="E8" s="3"/>
      <c r="F8" s="3"/>
      <c r="G8" s="36"/>
      <c r="H8" s="3"/>
      <c r="I8" s="3"/>
      <c r="J8" s="3"/>
      <c r="K8" s="3"/>
    </row>
    <row r="9" spans="2:18" x14ac:dyDescent="0.3">
      <c r="C9" s="19"/>
      <c r="D9" s="19"/>
      <c r="E9" s="19"/>
      <c r="F9" s="19"/>
      <c r="G9" s="19"/>
      <c r="H9" s="19"/>
      <c r="I9" s="19"/>
      <c r="J9" s="19"/>
      <c r="K9" s="19"/>
      <c r="Q9" s="19"/>
      <c r="R9" s="19"/>
    </row>
    <row r="10" spans="2:18" x14ac:dyDescent="0.3">
      <c r="C10" t="s">
        <v>47</v>
      </c>
      <c r="D10"/>
      <c r="E10" s="67" t="s">
        <v>221</v>
      </c>
      <c r="F10" s="37"/>
      <c r="H10" s="19" t="s">
        <v>48</v>
      </c>
      <c r="K10" s="68">
        <v>0.15</v>
      </c>
    </row>
    <row r="11" spans="2:18" x14ac:dyDescent="0.3">
      <c r="C11"/>
      <c r="H11" s="19" t="s">
        <v>132</v>
      </c>
      <c r="I11" s="19"/>
      <c r="J11" s="19"/>
      <c r="K11" s="117">
        <v>0.8</v>
      </c>
    </row>
    <row r="12" spans="2:18" x14ac:dyDescent="0.3">
      <c r="C12" s="19"/>
      <c r="D12" s="19"/>
      <c r="E12" s="19"/>
      <c r="F12" s="19"/>
      <c r="G12" s="19"/>
    </row>
    <row r="13" spans="2:18" x14ac:dyDescent="0.3">
      <c r="C13" s="38" t="s">
        <v>49</v>
      </c>
      <c r="D13" s="69"/>
      <c r="E13" s="69"/>
      <c r="F13" s="69"/>
      <c r="G13" s="19"/>
      <c r="H13" s="38" t="s">
        <v>50</v>
      </c>
      <c r="I13" s="38"/>
      <c r="J13" s="38"/>
      <c r="K13" s="38"/>
    </row>
    <row r="14" spans="2:18" x14ac:dyDescent="0.3">
      <c r="G14" s="19"/>
      <c r="H14" s="19"/>
      <c r="I14" s="19"/>
      <c r="J14" s="19"/>
      <c r="K14" s="19"/>
    </row>
    <row r="15" spans="2:18" x14ac:dyDescent="0.3">
      <c r="C15" s="19" t="s">
        <v>231</v>
      </c>
      <c r="D15" s="19"/>
      <c r="E15" s="70"/>
      <c r="F15" s="116">
        <v>5</v>
      </c>
      <c r="G15" s="19"/>
      <c r="H15" s="19" t="s">
        <v>51</v>
      </c>
      <c r="I15" s="19"/>
      <c r="J15" s="70"/>
      <c r="K15" s="40">
        <v>0.18</v>
      </c>
    </row>
    <row r="16" spans="2:18" x14ac:dyDescent="0.3">
      <c r="C16" s="19" t="s">
        <v>52</v>
      </c>
      <c r="F16" s="71">
        <f>+Terminal_Multiple*K350</f>
        <v>100420006.9223128</v>
      </c>
      <c r="G16" s="19"/>
      <c r="H16" s="19" t="s">
        <v>52</v>
      </c>
      <c r="I16" s="19"/>
      <c r="J16" s="19"/>
      <c r="K16" s="71">
        <f>+K347*(1+Terminal_Growth_Rate)/(Discount_Rate-Terminal_Growth_Rate)</f>
        <v>32337607.239703126</v>
      </c>
    </row>
    <row r="17" spans="2:26" x14ac:dyDescent="0.3">
      <c r="C17" s="19" t="s">
        <v>53</v>
      </c>
      <c r="D17" s="19"/>
      <c r="E17" s="70"/>
      <c r="F17" s="40">
        <f>(F16*Discount_Rate-K347)/(K347+F16)</f>
        <v>0.53951575801950813</v>
      </c>
      <c r="G17" s="19"/>
      <c r="H17" s="19" t="s">
        <v>54</v>
      </c>
      <c r="K17" s="39">
        <f>+K16/K350</f>
        <v>1.6101177559527673</v>
      </c>
      <c r="Q17" s="19"/>
      <c r="R17" s="19"/>
    </row>
    <row r="18" spans="2:26" x14ac:dyDescent="0.3">
      <c r="G18" s="19"/>
      <c r="H18" s="19"/>
      <c r="I18" s="19"/>
      <c r="J18" s="19"/>
      <c r="K18" s="19"/>
      <c r="Q18" s="19"/>
      <c r="R18" s="19"/>
    </row>
    <row r="19" spans="2:26" x14ac:dyDescent="0.3">
      <c r="C19" s="20" t="s">
        <v>55</v>
      </c>
      <c r="D19" s="19"/>
      <c r="E19" s="19"/>
      <c r="F19" s="71">
        <f>F16/((1+Discount_Rate)^$K$25)</f>
        <v>5314442.6092266999</v>
      </c>
      <c r="G19" s="19"/>
      <c r="H19" s="20" t="s">
        <v>55</v>
      </c>
      <c r="I19" s="19"/>
      <c r="J19" s="19"/>
      <c r="K19" s="71">
        <f>K16/((1+Discount_Rate)^$K$25)</f>
        <v>1711375.6816215725</v>
      </c>
      <c r="Q19" s="19"/>
      <c r="R19" s="19"/>
    </row>
    <row r="20" spans="2:26" x14ac:dyDescent="0.3">
      <c r="C20" s="21" t="s">
        <v>56</v>
      </c>
      <c r="D20" s="22"/>
      <c r="E20" s="22"/>
      <c r="F20" s="23">
        <f>NPV(Discount_Rate,$G$347:$K$347)</f>
        <v>5812713.9610522464</v>
      </c>
      <c r="G20" s="19"/>
      <c r="H20" s="21" t="s">
        <v>56</v>
      </c>
      <c r="I20" s="22"/>
      <c r="J20" s="22"/>
      <c r="K20" s="23">
        <f>NPV(Discount_Rate,$G$347:$K$347)</f>
        <v>5812713.9610522464</v>
      </c>
      <c r="Q20" s="19"/>
      <c r="R20" s="19"/>
    </row>
    <row r="21" spans="2:26" x14ac:dyDescent="0.3">
      <c r="C21" s="72" t="s">
        <v>57</v>
      </c>
      <c r="D21" s="19"/>
      <c r="E21" s="19"/>
      <c r="F21" s="71">
        <f>SUM(F19:F20)</f>
        <v>11127156.570278946</v>
      </c>
      <c r="G21" s="19"/>
      <c r="H21" s="72" t="s">
        <v>57</v>
      </c>
      <c r="I21" s="19"/>
      <c r="J21" s="19"/>
      <c r="K21" s="71">
        <f>SUM(K19:K20)</f>
        <v>7524089.6426738184</v>
      </c>
      <c r="Q21" s="19"/>
      <c r="R21" s="19"/>
    </row>
    <row r="22" spans="2:26" x14ac:dyDescent="0.3">
      <c r="G22" s="19"/>
      <c r="Q22" s="19"/>
      <c r="R22" s="19"/>
    </row>
    <row r="23" spans="2:26" x14ac:dyDescent="0.3">
      <c r="C23" s="19" t="s">
        <v>58</v>
      </c>
      <c r="F23" s="40">
        <f>+F19/F21</f>
        <v>0.47761012219615712</v>
      </c>
      <c r="G23" s="19"/>
      <c r="H23" s="19" t="s">
        <v>58</v>
      </c>
      <c r="K23" s="40">
        <f>+K19/K21</f>
        <v>0.22745285647785091</v>
      </c>
      <c r="Q23" s="19"/>
      <c r="R23" s="19"/>
    </row>
    <row r="24" spans="2:26" x14ac:dyDescent="0.3">
      <c r="C24" s="19"/>
      <c r="D24" s="19"/>
      <c r="E24" s="19"/>
      <c r="F24" s="19"/>
      <c r="G24" s="25"/>
      <c r="H24" s="26"/>
      <c r="I24" s="26"/>
      <c r="J24" s="26"/>
      <c r="K24" s="26"/>
      <c r="N24" s="24"/>
      <c r="Q24" s="19"/>
      <c r="R24" s="19"/>
    </row>
    <row r="25" spans="2:26" hidden="1" outlineLevel="1" x14ac:dyDescent="0.3">
      <c r="C25" s="19"/>
      <c r="D25" s="19"/>
      <c r="E25" s="19"/>
      <c r="F25" s="19"/>
      <c r="G25" s="25">
        <v>1</v>
      </c>
      <c r="H25" s="26">
        <f>+G25+1</f>
        <v>2</v>
      </c>
      <c r="I25" s="26">
        <f>+H25+1</f>
        <v>3</v>
      </c>
      <c r="J25" s="26">
        <f>+I25+1</f>
        <v>4</v>
      </c>
      <c r="K25" s="26">
        <f>+J25+1</f>
        <v>5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2:26" hidden="1" outlineLevel="1" x14ac:dyDescent="0.3">
      <c r="C26" s="19"/>
      <c r="D26" s="19"/>
      <c r="E26" s="19"/>
      <c r="F26" s="19"/>
      <c r="G26" s="25"/>
      <c r="H26" s="26"/>
      <c r="I26" s="26"/>
      <c r="J26" s="26"/>
      <c r="K26" s="26"/>
      <c r="Q26" s="19"/>
      <c r="R26" s="19"/>
    </row>
    <row r="27" spans="2:26" collapsed="1" x14ac:dyDescent="0.3">
      <c r="B27" s="58"/>
      <c r="C27" s="58"/>
      <c r="D27" s="58"/>
      <c r="E27" s="58"/>
      <c r="F27" s="58"/>
      <c r="G27" s="41" t="s">
        <v>59</v>
      </c>
      <c r="H27" s="42"/>
      <c r="I27" s="42"/>
      <c r="J27" s="42"/>
      <c r="K27" s="42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2:26" x14ac:dyDescent="0.3">
      <c r="B28" s="43"/>
      <c r="C28" s="43" t="s">
        <v>222</v>
      </c>
      <c r="D28" s="43"/>
      <c r="E28" s="43"/>
      <c r="F28" s="44" t="s">
        <v>60</v>
      </c>
      <c r="G28" s="45">
        <v>2025</v>
      </c>
      <c r="H28" s="45">
        <f>G28+1</f>
        <v>2026</v>
      </c>
      <c r="I28" s="45">
        <f>H28+1</f>
        <v>2027</v>
      </c>
      <c r="J28" s="45">
        <f>I28+1</f>
        <v>2028</v>
      </c>
      <c r="K28" s="45">
        <f>J28+1</f>
        <v>2029</v>
      </c>
      <c r="O28" s="24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2:26" x14ac:dyDescent="0.3">
      <c r="C29" s="19"/>
      <c r="D29" s="19"/>
      <c r="E29" s="19"/>
      <c r="F29" s="19"/>
      <c r="G29" s="72"/>
      <c r="H29" s="72"/>
      <c r="I29" s="72"/>
      <c r="J29" s="72"/>
      <c r="K29" s="72"/>
      <c r="N29" s="24"/>
      <c r="O29" s="24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2:26" x14ac:dyDescent="0.3">
      <c r="C30" s="19" t="s">
        <v>159</v>
      </c>
      <c r="D30" s="19"/>
      <c r="E30" s="19"/>
      <c r="F30" s="27" t="s">
        <v>63</v>
      </c>
      <c r="G30" s="31">
        <v>86422</v>
      </c>
      <c r="H30" s="31">
        <f>G30*(1+H31)</f>
        <v>88366.494999999995</v>
      </c>
      <c r="I30" s="31">
        <f>H30*(1+I31)</f>
        <v>90354.741137499994</v>
      </c>
      <c r="J30" s="31">
        <f>I30*(1+J31)</f>
        <v>92387.722813093744</v>
      </c>
      <c r="K30" s="31">
        <f>J30*(1+K31)</f>
        <v>94466.446576388349</v>
      </c>
      <c r="N30" s="24"/>
      <c r="O30" s="24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2:26" x14ac:dyDescent="0.3">
      <c r="C31" s="20" t="s">
        <v>61</v>
      </c>
      <c r="D31" s="19"/>
      <c r="E31" s="19"/>
      <c r="F31" s="27" t="s">
        <v>62</v>
      </c>
      <c r="G31" s="51">
        <v>0</v>
      </c>
      <c r="H31" s="109">
        <v>2.2499999999999999E-2</v>
      </c>
      <c r="I31" s="109">
        <v>2.2499999999999999E-2</v>
      </c>
      <c r="J31" s="109">
        <v>2.2499999999999999E-2</v>
      </c>
      <c r="K31" s="109">
        <v>2.2499999999999999E-2</v>
      </c>
      <c r="N31" s="24"/>
      <c r="O31" s="24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2:26" x14ac:dyDescent="0.3">
      <c r="C32" s="19"/>
      <c r="D32" s="19"/>
      <c r="E32" s="19"/>
      <c r="F32" s="19"/>
      <c r="G32" s="72"/>
      <c r="H32" s="72"/>
      <c r="I32" s="72"/>
      <c r="J32" s="72"/>
      <c r="K32" s="72"/>
      <c r="N32" s="24"/>
      <c r="O32" s="24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3:26" x14ac:dyDescent="0.3">
      <c r="C33" s="19" t="s">
        <v>160</v>
      </c>
      <c r="D33" s="19"/>
      <c r="E33" s="19"/>
      <c r="F33" s="27" t="s">
        <v>63</v>
      </c>
      <c r="G33" s="31">
        <v>124793</v>
      </c>
      <c r="H33" s="31">
        <f>G33*(1+H34)</f>
        <v>126789.68799999999</v>
      </c>
      <c r="I33" s="31">
        <f>H33*(1+I34)</f>
        <v>128818.32300799999</v>
      </c>
      <c r="J33" s="31">
        <f>I33*(1+J34)</f>
        <v>130879.416176128</v>
      </c>
      <c r="K33" s="31">
        <f>J33*(1+K34)</f>
        <v>132973.48683494606</v>
      </c>
      <c r="N33" s="24"/>
      <c r="O33" s="24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3:26" x14ac:dyDescent="0.3">
      <c r="C34" s="20" t="s">
        <v>61</v>
      </c>
      <c r="D34" s="19"/>
      <c r="E34" s="19"/>
      <c r="F34" s="27" t="s">
        <v>62</v>
      </c>
      <c r="G34" s="51">
        <v>0</v>
      </c>
      <c r="H34" s="109">
        <v>1.6E-2</v>
      </c>
      <c r="I34" s="109">
        <v>1.6E-2</v>
      </c>
      <c r="J34" s="109">
        <v>1.6E-2</v>
      </c>
      <c r="K34" s="109">
        <v>1.6E-2</v>
      </c>
      <c r="N34" s="24"/>
      <c r="O34" s="24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3:26" x14ac:dyDescent="0.3">
      <c r="C35" s="19"/>
      <c r="D35" s="19"/>
      <c r="E35" s="19"/>
      <c r="F35" s="19"/>
      <c r="G35" s="72"/>
      <c r="H35" s="72"/>
      <c r="I35" s="72"/>
      <c r="J35" s="72"/>
      <c r="K35" s="72"/>
      <c r="N35" s="24"/>
      <c r="O35" s="24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3:26" x14ac:dyDescent="0.3">
      <c r="C36" s="19" t="s">
        <v>161</v>
      </c>
      <c r="D36" s="19"/>
      <c r="E36" s="19"/>
      <c r="F36" s="27" t="s">
        <v>63</v>
      </c>
      <c r="G36" s="31">
        <v>75317</v>
      </c>
      <c r="H36" s="31">
        <f>G36*(1+H37)</f>
        <v>76635.047500000001</v>
      </c>
      <c r="I36" s="31">
        <f>H36*(1+I37)</f>
        <v>77976.160831250003</v>
      </c>
      <c r="J36" s="31">
        <f>I36*(1+J37)</f>
        <v>79340.743645796887</v>
      </c>
      <c r="K36" s="31">
        <f>J36*(1+K37)</f>
        <v>80729.206659598334</v>
      </c>
      <c r="N36" s="24"/>
      <c r="O36" s="24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3:26" x14ac:dyDescent="0.3">
      <c r="C37" s="20" t="s">
        <v>61</v>
      </c>
      <c r="D37" s="19"/>
      <c r="E37" s="19"/>
      <c r="F37" s="27" t="s">
        <v>62</v>
      </c>
      <c r="G37" s="51">
        <v>0</v>
      </c>
      <c r="H37" s="109">
        <f>3.5%/2</f>
        <v>1.7500000000000002E-2</v>
      </c>
      <c r="I37" s="109">
        <f t="shared" ref="I37:K37" si="0">3.5%/2</f>
        <v>1.7500000000000002E-2</v>
      </c>
      <c r="J37" s="109">
        <f t="shared" si="0"/>
        <v>1.7500000000000002E-2</v>
      </c>
      <c r="K37" s="109">
        <f t="shared" si="0"/>
        <v>1.7500000000000002E-2</v>
      </c>
      <c r="N37" s="24"/>
      <c r="O37" s="24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3:26" x14ac:dyDescent="0.3">
      <c r="C38" s="19"/>
      <c r="D38" s="19"/>
      <c r="E38" s="19"/>
      <c r="F38" s="19"/>
      <c r="G38" s="72"/>
      <c r="H38" s="72"/>
      <c r="I38" s="72"/>
      <c r="J38" s="72"/>
      <c r="K38" s="72"/>
      <c r="N38" s="24"/>
      <c r="O38" s="24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3:26" x14ac:dyDescent="0.3">
      <c r="C39" s="19" t="s">
        <v>162</v>
      </c>
      <c r="D39" s="19"/>
      <c r="E39" s="19"/>
      <c r="F39" s="27" t="s">
        <v>63</v>
      </c>
      <c r="G39" s="31">
        <v>1875271</v>
      </c>
      <c r="H39" s="31">
        <f>G39*(1+H40)</f>
        <v>1916526.9620000001</v>
      </c>
      <c r="I39" s="31">
        <f>H39*(1+I40)</f>
        <v>1958690.555164</v>
      </c>
      <c r="J39" s="31">
        <f>I39*(1+J40)</f>
        <v>2001781.747377608</v>
      </c>
      <c r="K39" s="31">
        <f>J39*(1+K40)</f>
        <v>2045820.9458199153</v>
      </c>
      <c r="N39" s="24"/>
      <c r="O39" s="24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3:26" x14ac:dyDescent="0.3">
      <c r="C40" s="20" t="s">
        <v>61</v>
      </c>
      <c r="D40" s="19"/>
      <c r="E40" s="19"/>
      <c r="F40" s="27" t="s">
        <v>62</v>
      </c>
      <c r="G40" s="51">
        <v>0</v>
      </c>
      <c r="H40" s="51">
        <v>2.1999999999999999E-2</v>
      </c>
      <c r="I40" s="51">
        <v>2.1999999999999999E-2</v>
      </c>
      <c r="J40" s="51">
        <v>2.1999999999999999E-2</v>
      </c>
      <c r="K40" s="51">
        <v>2.1999999999999999E-2</v>
      </c>
      <c r="N40" s="24"/>
      <c r="O40" s="24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3:26" x14ac:dyDescent="0.3">
      <c r="C41" s="19"/>
      <c r="D41" s="19"/>
      <c r="E41" s="19"/>
      <c r="F41" s="19"/>
      <c r="G41" s="72"/>
      <c r="H41" s="72"/>
      <c r="I41" s="72"/>
      <c r="J41" s="72"/>
      <c r="K41" s="72"/>
      <c r="N41" s="24"/>
      <c r="O41" s="24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3:26" x14ac:dyDescent="0.3">
      <c r="C42" s="19" t="s">
        <v>163</v>
      </c>
      <c r="D42" s="19"/>
      <c r="E42" s="19"/>
      <c r="F42" s="27" t="s">
        <v>63</v>
      </c>
      <c r="G42" s="31">
        <v>159881</v>
      </c>
      <c r="H42" s="31">
        <f>G42*(1+H43)</f>
        <v>163878.02499999999</v>
      </c>
      <c r="I42" s="31">
        <f>H42*(1+I43)</f>
        <v>167974.97562499999</v>
      </c>
      <c r="J42" s="31">
        <f>I42*(1+J43)</f>
        <v>172174.35001562498</v>
      </c>
      <c r="K42" s="31">
        <f>J42*(1+K43)</f>
        <v>176478.7087660156</v>
      </c>
      <c r="N42" s="24"/>
      <c r="O42" s="24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3:26" x14ac:dyDescent="0.3">
      <c r="C43" s="20" t="s">
        <v>61</v>
      </c>
      <c r="D43" s="19"/>
      <c r="E43" s="19"/>
      <c r="F43" s="27" t="s">
        <v>62</v>
      </c>
      <c r="G43" s="51">
        <v>0</v>
      </c>
      <c r="H43" s="109">
        <v>2.5000000000000001E-2</v>
      </c>
      <c r="I43" s="109">
        <v>2.5000000000000001E-2</v>
      </c>
      <c r="J43" s="109">
        <v>2.5000000000000001E-2</v>
      </c>
      <c r="K43" s="109">
        <v>2.5000000000000001E-2</v>
      </c>
      <c r="N43" s="24"/>
      <c r="O43" s="24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3:26" x14ac:dyDescent="0.3">
      <c r="C44" s="19"/>
      <c r="D44" s="19"/>
      <c r="E44" s="19"/>
      <c r="F44" s="19"/>
      <c r="G44" s="72"/>
      <c r="H44" s="72"/>
      <c r="I44" s="72"/>
      <c r="J44" s="72"/>
      <c r="K44" s="72"/>
      <c r="N44" s="24"/>
      <c r="O44" s="24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3:26" x14ac:dyDescent="0.3">
      <c r="C45" s="19" t="s">
        <v>164</v>
      </c>
      <c r="D45" s="19"/>
      <c r="E45" s="19"/>
      <c r="F45" s="27" t="s">
        <v>63</v>
      </c>
      <c r="G45" s="31">
        <v>44075</v>
      </c>
      <c r="H45" s="31">
        <f>G45*(1+H46)</f>
        <v>45287.0625</v>
      </c>
      <c r="I45" s="31">
        <f>H45*(1+I46)</f>
        <v>46532.456718750007</v>
      </c>
      <c r="J45" s="31">
        <f>I45*(1+J46)</f>
        <v>47812.099278515634</v>
      </c>
      <c r="K45" s="31">
        <f>J45*(1+K46)</f>
        <v>49126.932008674819</v>
      </c>
      <c r="N45" s="24"/>
      <c r="O45" s="24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3:26" x14ac:dyDescent="0.3">
      <c r="C46" s="20" t="s">
        <v>61</v>
      </c>
      <c r="D46" s="19"/>
      <c r="E46" s="19"/>
      <c r="F46" s="27" t="s">
        <v>62</v>
      </c>
      <c r="G46" s="51">
        <v>0</v>
      </c>
      <c r="H46" s="109">
        <v>2.75E-2</v>
      </c>
      <c r="I46" s="109">
        <v>2.75E-2</v>
      </c>
      <c r="J46" s="109">
        <v>2.75E-2</v>
      </c>
      <c r="K46" s="109">
        <v>2.75E-2</v>
      </c>
      <c r="N46" s="24"/>
      <c r="O46" s="24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3:26" x14ac:dyDescent="0.3">
      <c r="C47" s="19"/>
      <c r="D47" s="19"/>
      <c r="E47" s="19"/>
      <c r="F47" s="19"/>
      <c r="G47" s="72"/>
      <c r="H47" s="72"/>
      <c r="I47" s="72"/>
      <c r="J47" s="72"/>
      <c r="K47" s="72"/>
      <c r="N47" s="24"/>
      <c r="O47" s="24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3:26" x14ac:dyDescent="0.3">
      <c r="C48" s="19" t="s">
        <v>165</v>
      </c>
      <c r="D48" s="19"/>
      <c r="E48" s="19"/>
      <c r="F48" s="27" t="s">
        <v>63</v>
      </c>
      <c r="G48" s="31">
        <v>47532</v>
      </c>
      <c r="H48" s="31">
        <f>G48*(1+H49)</f>
        <v>48601.47</v>
      </c>
      <c r="I48" s="31">
        <f>H48*(1+I49)</f>
        <v>49695.003075000001</v>
      </c>
      <c r="J48" s="31">
        <f>I48*(1+J49)</f>
        <v>50813.140644187501</v>
      </c>
      <c r="K48" s="31">
        <f>J48*(1+K49)</f>
        <v>51956.436308681717</v>
      </c>
      <c r="N48" s="24"/>
      <c r="O48" s="24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3:26" x14ac:dyDescent="0.3">
      <c r="C49" s="20" t="s">
        <v>61</v>
      </c>
      <c r="D49" s="19"/>
      <c r="E49" s="19"/>
      <c r="F49" s="27" t="s">
        <v>62</v>
      </c>
      <c r="G49" s="109">
        <v>0</v>
      </c>
      <c r="H49" s="109">
        <v>2.2499999999999999E-2</v>
      </c>
      <c r="I49" s="109">
        <v>2.2499999999999999E-2</v>
      </c>
      <c r="J49" s="109">
        <v>2.2499999999999999E-2</v>
      </c>
      <c r="K49" s="109">
        <v>2.2499999999999999E-2</v>
      </c>
      <c r="N49" s="24"/>
      <c r="O49" s="24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3:26" x14ac:dyDescent="0.3">
      <c r="C50" s="19"/>
      <c r="D50" s="19"/>
      <c r="E50" s="19"/>
      <c r="F50" s="19"/>
      <c r="G50" s="72"/>
      <c r="H50" s="72"/>
      <c r="I50" s="72"/>
      <c r="J50" s="72"/>
      <c r="K50" s="72"/>
      <c r="N50" s="24"/>
      <c r="O50" s="24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3:26" x14ac:dyDescent="0.3">
      <c r="C51" s="19" t="s">
        <v>166</v>
      </c>
      <c r="D51" s="19"/>
      <c r="E51" s="19"/>
      <c r="F51" s="27" t="s">
        <v>63</v>
      </c>
      <c r="G51" s="31">
        <v>454580</v>
      </c>
      <c r="H51" s="31">
        <f>G51*(1+H52)</f>
        <v>464808.05</v>
      </c>
      <c r="I51" s="31">
        <f>H51*(1+I52)</f>
        <v>475266.23112499999</v>
      </c>
      <c r="J51" s="31">
        <f>I51*(1+J52)</f>
        <v>485959.72132531245</v>
      </c>
      <c r="K51" s="31">
        <f>J51*(1+K52)</f>
        <v>496893.81505513197</v>
      </c>
      <c r="N51" s="24"/>
      <c r="O51" s="24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3:26" x14ac:dyDescent="0.3">
      <c r="C52" s="20" t="s">
        <v>61</v>
      </c>
      <c r="D52" s="19"/>
      <c r="E52" s="19"/>
      <c r="F52" s="27" t="s">
        <v>62</v>
      </c>
      <c r="G52" s="51">
        <v>0</v>
      </c>
      <c r="H52" s="109">
        <v>2.2499999999999999E-2</v>
      </c>
      <c r="I52" s="109">
        <v>2.2499999999999999E-2</v>
      </c>
      <c r="J52" s="109">
        <v>2.2499999999999999E-2</v>
      </c>
      <c r="K52" s="109">
        <v>2.2499999999999999E-2</v>
      </c>
      <c r="N52" s="24"/>
      <c r="O52" s="24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3:26" outlineLevel="1" x14ac:dyDescent="0.3">
      <c r="N53" s="24"/>
      <c r="Q53" s="65"/>
      <c r="R53" s="19"/>
      <c r="S53" s="19"/>
      <c r="T53" s="19"/>
      <c r="U53" s="19"/>
      <c r="V53" s="19"/>
      <c r="W53" s="19"/>
      <c r="X53" s="19"/>
      <c r="Y53" s="19"/>
      <c r="Z53" s="19"/>
    </row>
    <row r="54" spans="3:26" outlineLevel="1" x14ac:dyDescent="0.3">
      <c r="C54" s="19" t="s">
        <v>167</v>
      </c>
      <c r="D54" s="19"/>
      <c r="E54" s="19"/>
      <c r="F54" s="27" t="s">
        <v>63</v>
      </c>
      <c r="G54" s="31">
        <v>64817</v>
      </c>
      <c r="H54" s="31">
        <f>G54*(1+H55)</f>
        <v>65789.25499999999</v>
      </c>
      <c r="I54" s="31">
        <f>H54*(1+I55)</f>
        <v>66776.093824999989</v>
      </c>
      <c r="J54" s="31">
        <f>I54*(1+J55)</f>
        <v>67777.73523237498</v>
      </c>
      <c r="K54" s="31">
        <f>J54*(1+K55)</f>
        <v>68794.401260860599</v>
      </c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3:26" outlineLevel="1" x14ac:dyDescent="0.3">
      <c r="C55" s="20" t="s">
        <v>61</v>
      </c>
      <c r="D55" s="19"/>
      <c r="E55" s="19"/>
      <c r="F55" s="27" t="s">
        <v>62</v>
      </c>
      <c r="G55" s="51">
        <v>0</v>
      </c>
      <c r="H55" s="51">
        <v>1.4999999999999999E-2</v>
      </c>
      <c r="I55" s="51">
        <v>1.4999999999999999E-2</v>
      </c>
      <c r="J55" s="51">
        <v>1.4999999999999999E-2</v>
      </c>
      <c r="K55" s="51">
        <v>1.4999999999999999E-2</v>
      </c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3:26" outlineLevel="1" x14ac:dyDescent="0.3">
      <c r="C56" s="20"/>
      <c r="D56" s="19"/>
      <c r="E56" s="19"/>
      <c r="F56" s="27"/>
      <c r="G56" s="20"/>
      <c r="H56" s="20"/>
      <c r="I56" s="20"/>
      <c r="J56" s="20"/>
      <c r="K56" s="20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3:26" outlineLevel="1" x14ac:dyDescent="0.3">
      <c r="C57" s="19" t="s">
        <v>168</v>
      </c>
      <c r="D57" s="19"/>
      <c r="E57" s="19"/>
      <c r="F57" s="27" t="s">
        <v>63</v>
      </c>
      <c r="G57" s="31">
        <v>160745</v>
      </c>
      <c r="H57" s="31">
        <f>G57*(1+H58)</f>
        <v>163316.92000000001</v>
      </c>
      <c r="I57" s="31">
        <f>H57*(1+I58)</f>
        <v>165929.99072</v>
      </c>
      <c r="J57" s="31">
        <f>I57*(1+J58)</f>
        <v>168584.87057152</v>
      </c>
      <c r="K57" s="31">
        <f>J57*(1+K58)</f>
        <v>171282.22850066432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3:26" outlineLevel="1" x14ac:dyDescent="0.3">
      <c r="C58" s="20" t="s">
        <v>61</v>
      </c>
      <c r="D58" s="19"/>
      <c r="E58" s="19"/>
      <c r="F58" s="27" t="s">
        <v>62</v>
      </c>
      <c r="G58" s="51">
        <v>0</v>
      </c>
      <c r="H58" s="109">
        <v>1.6E-2</v>
      </c>
      <c r="I58" s="109">
        <v>1.6E-2</v>
      </c>
      <c r="J58" s="109">
        <v>1.6E-2</v>
      </c>
      <c r="K58" s="109">
        <v>1.6E-2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3:26" outlineLevel="1" x14ac:dyDescent="0.3">
      <c r="C59" s="20"/>
      <c r="D59" s="19"/>
      <c r="E59" s="19"/>
      <c r="F59" s="27"/>
      <c r="G59" s="20"/>
      <c r="H59" s="20"/>
      <c r="I59" s="20"/>
      <c r="J59" s="20"/>
      <c r="K59" s="20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3:26" outlineLevel="1" x14ac:dyDescent="0.3">
      <c r="C60" s="19" t="s">
        <v>169</v>
      </c>
      <c r="D60" s="19"/>
      <c r="E60" s="19"/>
      <c r="F60" s="27" t="s">
        <v>63</v>
      </c>
      <c r="G60" s="31">
        <v>210411</v>
      </c>
      <c r="H60" s="31">
        <f>G60*(1+H61)</f>
        <v>216092.09699999998</v>
      </c>
      <c r="I60" s="31">
        <f>H60*(1+I61)</f>
        <v>221926.58361899995</v>
      </c>
      <c r="J60" s="31">
        <f>I60*(1+J61)</f>
        <v>227918.60137671293</v>
      </c>
      <c r="K60" s="31">
        <f>J60*(1+K61)</f>
        <v>234072.40361388418</v>
      </c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3:26" outlineLevel="1" x14ac:dyDescent="0.3">
      <c r="C61" s="20" t="s">
        <v>61</v>
      </c>
      <c r="D61" s="19"/>
      <c r="E61" s="19"/>
      <c r="F61" s="27" t="s">
        <v>62</v>
      </c>
      <c r="G61" s="51">
        <v>0</v>
      </c>
      <c r="H61" s="109">
        <v>2.7E-2</v>
      </c>
      <c r="I61" s="109">
        <v>2.7E-2</v>
      </c>
      <c r="J61" s="109">
        <v>2.7E-2</v>
      </c>
      <c r="K61" s="109">
        <v>2.7E-2</v>
      </c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3:26" outlineLevel="1" x14ac:dyDescent="0.3">
      <c r="C62" s="20"/>
      <c r="D62" s="19"/>
      <c r="E62" s="19"/>
      <c r="F62" s="27"/>
      <c r="G62" s="20"/>
      <c r="H62" s="20"/>
      <c r="I62" s="20"/>
      <c r="J62" s="20"/>
      <c r="K62" s="20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3:26" outlineLevel="1" x14ac:dyDescent="0.3">
      <c r="C63" s="19" t="s">
        <v>170</v>
      </c>
      <c r="D63" s="19"/>
      <c r="E63" s="19"/>
      <c r="F63" s="27" t="s">
        <v>63</v>
      </c>
      <c r="G63" s="31">
        <v>729574</v>
      </c>
      <c r="H63" s="31">
        <f>G63*(1+H64)</f>
        <v>750002.07200000004</v>
      </c>
      <c r="I63" s="31">
        <f>H63*(1+I64)</f>
        <v>771002.13001600001</v>
      </c>
      <c r="J63" s="31">
        <f>I63*(1+J64)</f>
        <v>792590.18965644808</v>
      </c>
      <c r="K63" s="31">
        <f>J63*(1+K64)</f>
        <v>814782.7149668287</v>
      </c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3:26" outlineLevel="1" x14ac:dyDescent="0.3">
      <c r="C64" s="20" t="s">
        <v>61</v>
      </c>
      <c r="D64" s="19"/>
      <c r="E64" s="19"/>
      <c r="F64" s="27" t="s">
        <v>62</v>
      </c>
      <c r="G64" s="51">
        <v>0</v>
      </c>
      <c r="H64" s="109">
        <v>2.8000000000000001E-2</v>
      </c>
      <c r="I64" s="109">
        <v>2.8000000000000001E-2</v>
      </c>
      <c r="J64" s="109">
        <v>2.8000000000000001E-2</v>
      </c>
      <c r="K64" s="109">
        <v>2.8000000000000001E-2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3:26" outlineLevel="1" x14ac:dyDescent="0.3">
      <c r="C65" s="20"/>
      <c r="D65" s="19"/>
      <c r="E65" s="19"/>
      <c r="F65" s="27"/>
      <c r="G65" s="20"/>
      <c r="H65" s="20"/>
      <c r="I65" s="20"/>
      <c r="J65" s="20"/>
      <c r="K65" s="20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3:26" outlineLevel="1" x14ac:dyDescent="0.3">
      <c r="C66" s="19" t="s">
        <v>182</v>
      </c>
      <c r="D66" s="19"/>
      <c r="E66" s="19"/>
      <c r="F66" s="27" t="s">
        <v>63</v>
      </c>
      <c r="G66" s="31">
        <v>91374</v>
      </c>
      <c r="H66" s="31">
        <f>G66*(1+H67)</f>
        <v>93201.48</v>
      </c>
      <c r="I66" s="31">
        <f>H66*(1+I67)</f>
        <v>95065.50959999999</v>
      </c>
      <c r="J66" s="31">
        <f>I66*(1+J67)</f>
        <v>96966.819791999995</v>
      </c>
      <c r="K66" s="31">
        <f>J66*(1+K67)</f>
        <v>98906.156187839995</v>
      </c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3:26" outlineLevel="1" x14ac:dyDescent="0.3">
      <c r="C67" s="20" t="s">
        <v>61</v>
      </c>
      <c r="D67" s="19"/>
      <c r="E67" s="19"/>
      <c r="F67" s="27" t="s">
        <v>62</v>
      </c>
      <c r="G67" s="51">
        <v>0</v>
      </c>
      <c r="H67" s="109">
        <v>0.02</v>
      </c>
      <c r="I67" s="109">
        <v>0.02</v>
      </c>
      <c r="J67" s="109">
        <v>0.02</v>
      </c>
      <c r="K67" s="109">
        <v>0.02</v>
      </c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3:26" outlineLevel="1" x14ac:dyDescent="0.3">
      <c r="C68" s="20"/>
      <c r="D68" s="19"/>
      <c r="E68" s="19"/>
      <c r="F68" s="27"/>
      <c r="G68" s="20"/>
      <c r="H68" s="20"/>
      <c r="I68" s="20"/>
      <c r="J68" s="20"/>
      <c r="K68" s="20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3:26" outlineLevel="1" x14ac:dyDescent="0.3">
      <c r="C69" s="19" t="s">
        <v>183</v>
      </c>
      <c r="D69" s="19"/>
      <c r="E69" s="19"/>
      <c r="F69" s="27" t="s">
        <v>63</v>
      </c>
      <c r="G69" s="31">
        <v>128899</v>
      </c>
      <c r="H69" s="31">
        <f>G69*(1+H70)</f>
        <v>131154.73250000001</v>
      </c>
      <c r="I69" s="31">
        <f>H69*(1+I70)</f>
        <v>133449.94031875001</v>
      </c>
      <c r="J69" s="31">
        <f>I69*(1+J70)</f>
        <v>135785.31427432815</v>
      </c>
      <c r="K69" s="31">
        <f>J69*(1+K70)</f>
        <v>138161.55727412889</v>
      </c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3:26" outlineLevel="1" x14ac:dyDescent="0.3">
      <c r="C70" s="20" t="s">
        <v>61</v>
      </c>
      <c r="D70" s="19"/>
      <c r="E70" s="19"/>
      <c r="F70" s="27" t="s">
        <v>62</v>
      </c>
      <c r="G70" s="51">
        <v>0</v>
      </c>
      <c r="H70" s="109">
        <v>1.7500000000000002E-2</v>
      </c>
      <c r="I70" s="109">
        <v>1.7500000000000002E-2</v>
      </c>
      <c r="J70" s="109">
        <v>1.7500000000000002E-2</v>
      </c>
      <c r="K70" s="109">
        <v>1.7500000000000002E-2</v>
      </c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3:26" outlineLevel="1" x14ac:dyDescent="0.3">
      <c r="C71" s="20"/>
      <c r="D71" s="19"/>
      <c r="E71" s="19"/>
      <c r="F71" s="27"/>
      <c r="G71" s="20"/>
      <c r="H71" s="20"/>
      <c r="I71" s="20"/>
      <c r="J71" s="20"/>
      <c r="K71" s="20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3:26" outlineLevel="1" x14ac:dyDescent="0.3">
      <c r="C72" s="73" t="s">
        <v>137</v>
      </c>
      <c r="D72" s="19"/>
      <c r="E72" s="19"/>
      <c r="F72" s="29" t="s">
        <v>63</v>
      </c>
      <c r="G72" s="28">
        <f>G30+G33+G36+G39+G42+G45+G48+G51+G54+G57+G60+G63+G66+G69</f>
        <v>4253691</v>
      </c>
      <c r="H72" s="28">
        <f>H30+H33+H36+H39+H42+H45+H48+H51+H54+H57+H60+H63+H66+H69</f>
        <v>4350449.3564999998</v>
      </c>
      <c r="I72" s="28">
        <f t="shared" ref="I72:J72" si="1">I30+I33+I36+I39+I42+I45+I48+I51+I54+I57+I60+I63+I66+I69</f>
        <v>4449458.6947832499</v>
      </c>
      <c r="J72" s="28">
        <f t="shared" si="1"/>
        <v>4550772.4721796503</v>
      </c>
      <c r="K72" s="28">
        <f>K30+K33+K36+K39+K42+K45+K48+K51+K54+K57+K60+K63+K66+K69</f>
        <v>4654445.4398335591</v>
      </c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3:26" outlineLevel="1" x14ac:dyDescent="0.3">
      <c r="C73" s="73" t="s">
        <v>120</v>
      </c>
      <c r="D73" s="19"/>
      <c r="E73" s="19"/>
      <c r="F73" s="29" t="s">
        <v>62</v>
      </c>
      <c r="G73" s="61">
        <v>0</v>
      </c>
      <c r="H73" s="61">
        <f>H72/G72-1</f>
        <v>2.2746917089182084E-2</v>
      </c>
      <c r="I73" s="61">
        <f>I72/H72-1</f>
        <v>2.2758416469167875E-2</v>
      </c>
      <c r="J73" s="61">
        <f>J72/I72-1</f>
        <v>2.2769910756826439E-2</v>
      </c>
      <c r="K73" s="61">
        <f>K72/J72-1</f>
        <v>2.2781399924451273E-2</v>
      </c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3:26" outlineLevel="1" x14ac:dyDescent="0.3">
      <c r="C74" s="73"/>
      <c r="D74" s="19"/>
      <c r="E74" s="19"/>
      <c r="F74" s="29"/>
      <c r="G74" s="73"/>
      <c r="H74" s="73"/>
      <c r="I74" s="73"/>
      <c r="J74" s="73"/>
      <c r="K74" s="73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3:26" outlineLevel="1" x14ac:dyDescent="0.3">
      <c r="C75" s="20" t="s">
        <v>248</v>
      </c>
      <c r="D75" s="19"/>
      <c r="E75" s="19"/>
      <c r="F75" s="27" t="s">
        <v>62</v>
      </c>
      <c r="G75" s="151">
        <v>5.0041567051124766E-2</v>
      </c>
      <c r="H75" s="151">
        <v>5.0041567051124766E-2</v>
      </c>
      <c r="I75" s="151">
        <v>5.0041567051124766E-2</v>
      </c>
      <c r="J75" s="151">
        <v>5.0041567051124766E-2</v>
      </c>
      <c r="K75" s="151">
        <v>5.0041567051124766E-2</v>
      </c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3:26" outlineLevel="1" x14ac:dyDescent="0.3">
      <c r="C76" s="20" t="s">
        <v>138</v>
      </c>
      <c r="D76" s="19"/>
      <c r="E76" s="19"/>
      <c r="F76" s="27" t="s">
        <v>63</v>
      </c>
      <c r="G76" s="31">
        <f>G75*G30</f>
        <v>4324.6923076923049</v>
      </c>
      <c r="H76" s="31">
        <f>H75*H30</f>
        <v>4421.9978846153808</v>
      </c>
      <c r="I76" s="31">
        <f>I75*I30</f>
        <v>4521.4928370192274</v>
      </c>
      <c r="J76" s="31">
        <f>J75*J30</f>
        <v>4623.22642585216</v>
      </c>
      <c r="K76" s="31">
        <f>K75*K30</f>
        <v>4727.2490204338328</v>
      </c>
      <c r="M76" s="63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3:26" outlineLevel="1" x14ac:dyDescent="0.3">
      <c r="C77" s="20"/>
      <c r="D77" s="19"/>
      <c r="E77" s="19"/>
      <c r="F77" s="27"/>
      <c r="G77" s="31"/>
      <c r="H77" s="31"/>
      <c r="I77" s="31"/>
      <c r="J77" s="31"/>
      <c r="K77" s="31"/>
      <c r="L77" s="63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3:26" outlineLevel="1" x14ac:dyDescent="0.3">
      <c r="C78" s="20" t="s">
        <v>249</v>
      </c>
      <c r="D78" s="19"/>
      <c r="E78" s="19"/>
      <c r="F78" s="27" t="s">
        <v>62</v>
      </c>
      <c r="G78" s="51">
        <v>4.6413494697231848E-2</v>
      </c>
      <c r="H78" s="51">
        <v>4.6413494697231848E-2</v>
      </c>
      <c r="I78" s="51">
        <v>4.6413494697231848E-2</v>
      </c>
      <c r="J78" s="51">
        <v>4.6413494697231848E-2</v>
      </c>
      <c r="K78" s="51">
        <v>4.6413494697231848E-2</v>
      </c>
      <c r="M78" s="63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3:26" outlineLevel="1" x14ac:dyDescent="0.3">
      <c r="C79" s="20" t="s">
        <v>138</v>
      </c>
      <c r="D79" s="19"/>
      <c r="E79" s="19"/>
      <c r="F79" s="27" t="s">
        <v>63</v>
      </c>
      <c r="G79" s="31">
        <f>G78*G33</f>
        <v>5792.0792437516538</v>
      </c>
      <c r="H79" s="31">
        <f>H78*H33</f>
        <v>5884.7525116516799</v>
      </c>
      <c r="I79" s="31">
        <f>I78*I33</f>
        <v>5978.9085518381071</v>
      </c>
      <c r="J79" s="31">
        <f>J78*J33</f>
        <v>6074.571088667517</v>
      </c>
      <c r="K79" s="31">
        <f>K78*K33</f>
        <v>6171.7642260861976</v>
      </c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3:26" outlineLevel="1" x14ac:dyDescent="0.3">
      <c r="C80" s="20"/>
      <c r="D80" s="19"/>
      <c r="E80" s="19"/>
      <c r="F80" s="27"/>
      <c r="G80" s="31"/>
      <c r="H80" s="31"/>
      <c r="I80" s="31"/>
      <c r="J80" s="31"/>
      <c r="K80" s="31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3:26" outlineLevel="1" x14ac:dyDescent="0.3">
      <c r="C81" s="20" t="s">
        <v>250</v>
      </c>
      <c r="D81" s="19"/>
      <c r="E81" s="19"/>
      <c r="F81" s="27" t="s">
        <v>62</v>
      </c>
      <c r="G81" s="51">
        <v>4.3539340904460072E-2</v>
      </c>
      <c r="H81" s="51">
        <v>4.3539340904460072E-2</v>
      </c>
      <c r="I81" s="51">
        <v>4.3539340904460072E-2</v>
      </c>
      <c r="J81" s="51">
        <v>4.3539340904460072E-2</v>
      </c>
      <c r="K81" s="51">
        <v>4.3539340904460072E-2</v>
      </c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3:26" outlineLevel="1" x14ac:dyDescent="0.3">
      <c r="C82" s="20" t="s">
        <v>138</v>
      </c>
      <c r="D82" s="19"/>
      <c r="E82" s="19"/>
      <c r="F82" s="27" t="s">
        <v>63</v>
      </c>
      <c r="G82" s="31">
        <f>G81*G36</f>
        <v>3279.2525389012194</v>
      </c>
      <c r="H82" s="31">
        <f>H81*H36</f>
        <v>3336.6394583319907</v>
      </c>
      <c r="I82" s="31">
        <f>I81*I36</f>
        <v>3395.0306488528004</v>
      </c>
      <c r="J82" s="31">
        <f>J81*J36</f>
        <v>3454.4436852077251</v>
      </c>
      <c r="K82" s="31">
        <f>K81*K36</f>
        <v>3514.8964496988601</v>
      </c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3:26" outlineLevel="1" x14ac:dyDescent="0.3">
      <c r="C83" s="20"/>
      <c r="D83" s="19"/>
      <c r="E83" s="19"/>
      <c r="F83" s="27"/>
      <c r="G83" s="31"/>
      <c r="H83" s="31"/>
      <c r="I83" s="31"/>
      <c r="J83" s="31"/>
      <c r="K83" s="31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3:26" outlineLevel="1" x14ac:dyDescent="0.3">
      <c r="C84" s="20" t="s">
        <v>251</v>
      </c>
      <c r="D84" s="19"/>
      <c r="E84" s="19"/>
      <c r="F84" s="27" t="s">
        <v>62</v>
      </c>
      <c r="G84" s="51">
        <v>4.4524992614604304E-2</v>
      </c>
      <c r="H84" s="51">
        <v>4.4524992614604304E-2</v>
      </c>
      <c r="I84" s="51">
        <v>4.4524992614604304E-2</v>
      </c>
      <c r="J84" s="51">
        <v>4.4524992614604304E-2</v>
      </c>
      <c r="K84" s="51">
        <v>4.4524992614604304E-2</v>
      </c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3:26" outlineLevel="1" x14ac:dyDescent="0.3">
      <c r="C85" s="20" t="s">
        <v>138</v>
      </c>
      <c r="D85" s="19"/>
      <c r="E85" s="19"/>
      <c r="F85" s="27" t="s">
        <v>63</v>
      </c>
      <c r="G85" s="31">
        <f>G84*G39</f>
        <v>83496.427425381626</v>
      </c>
      <c r="H85" s="31">
        <f>H84*H39</f>
        <v>85333.348828740025</v>
      </c>
      <c r="I85" s="31">
        <f>I84*I39</f>
        <v>87210.682502972311</v>
      </c>
      <c r="J85" s="31">
        <f>J84*J39</f>
        <v>89129.3175180377</v>
      </c>
      <c r="K85" s="31">
        <f>K84*K39</f>
        <v>91090.16250343452</v>
      </c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3:26" outlineLevel="1" x14ac:dyDescent="0.3">
      <c r="C86" s="20"/>
      <c r="D86" s="19"/>
      <c r="E86" s="19"/>
      <c r="F86" s="27"/>
      <c r="G86" s="31"/>
      <c r="H86" s="31"/>
      <c r="I86" s="31"/>
      <c r="J86" s="31"/>
      <c r="K86" s="31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3:26" outlineLevel="1" x14ac:dyDescent="0.3">
      <c r="C87" s="20" t="s">
        <v>252</v>
      </c>
      <c r="D87" s="19"/>
      <c r="E87" s="19"/>
      <c r="F87" s="27" t="s">
        <v>62</v>
      </c>
      <c r="G87" s="51">
        <v>3.2488586463104999E-2</v>
      </c>
      <c r="H87" s="51">
        <v>3.2488586463104999E-2</v>
      </c>
      <c r="I87" s="51">
        <v>3.2488586463104999E-2</v>
      </c>
      <c r="J87" s="51">
        <v>3.2488586463104999E-2</v>
      </c>
      <c r="K87" s="51">
        <v>3.2488586463104999E-2</v>
      </c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3:26" outlineLevel="1" x14ac:dyDescent="0.3">
      <c r="C88" s="20" t="s">
        <v>138</v>
      </c>
      <c r="D88" s="19"/>
      <c r="E88" s="19"/>
      <c r="F88" s="27" t="s">
        <v>63</v>
      </c>
      <c r="G88" s="31">
        <f>G87*G42</f>
        <v>5194.3076923076906</v>
      </c>
      <c r="H88" s="31">
        <f>H87*H42</f>
        <v>5324.1653846153822</v>
      </c>
      <c r="I88" s="31">
        <f>I87*I42</f>
        <v>5457.2695192307665</v>
      </c>
      <c r="J88" s="31">
        <f>J87*J42</f>
        <v>5593.7012572115354</v>
      </c>
      <c r="K88" s="31">
        <f>K87*K42</f>
        <v>5733.543788641824</v>
      </c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3:26" outlineLevel="1" x14ac:dyDescent="0.3">
      <c r="C89" s="20"/>
      <c r="D89" s="19"/>
      <c r="E89" s="19"/>
      <c r="F89" s="27"/>
      <c r="G89" s="31"/>
      <c r="H89" s="31"/>
      <c r="I89" s="31"/>
      <c r="J89" s="31"/>
      <c r="K89" s="31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3:26" outlineLevel="1" x14ac:dyDescent="0.3">
      <c r="C90" s="20" t="s">
        <v>253</v>
      </c>
      <c r="D90" s="19"/>
      <c r="E90" s="19"/>
      <c r="F90" s="27" t="s">
        <v>62</v>
      </c>
      <c r="G90" s="51">
        <v>3.5999999999999997E-2</v>
      </c>
      <c r="H90" s="51">
        <v>3.5999999999999997E-2</v>
      </c>
      <c r="I90" s="51">
        <v>3.5999999999999997E-2</v>
      </c>
      <c r="J90" s="51">
        <v>3.5999999999999997E-2</v>
      </c>
      <c r="K90" s="51">
        <v>3.5999999999999997E-2</v>
      </c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3:26" outlineLevel="1" x14ac:dyDescent="0.3">
      <c r="C91" s="20" t="s">
        <v>138</v>
      </c>
      <c r="D91" s="19"/>
      <c r="E91" s="19"/>
      <c r="F91" s="27" t="s">
        <v>63</v>
      </c>
      <c r="G91" s="31">
        <f>G90*G45</f>
        <v>1586.6999999999998</v>
      </c>
      <c r="H91" s="31">
        <f>H90*H45</f>
        <v>1630.3342499999999</v>
      </c>
      <c r="I91" s="31">
        <f>I90*I45</f>
        <v>1675.1684418750001</v>
      </c>
      <c r="J91" s="31">
        <f>J90*J45</f>
        <v>1721.2355740265627</v>
      </c>
      <c r="K91" s="31">
        <f>K90*K45</f>
        <v>1768.5695523122934</v>
      </c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3:26" outlineLevel="1" x14ac:dyDescent="0.3">
      <c r="C92" s="20"/>
      <c r="D92" s="19"/>
      <c r="E92" s="19"/>
      <c r="F92" s="27"/>
      <c r="G92" s="31"/>
      <c r="H92" s="31"/>
      <c r="I92" s="31"/>
      <c r="J92" s="31"/>
      <c r="K92" s="31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3:26" outlineLevel="1" x14ac:dyDescent="0.3">
      <c r="C93" s="20" t="s">
        <v>254</v>
      </c>
      <c r="D93" s="19"/>
      <c r="E93" s="19"/>
      <c r="F93" s="27" t="s">
        <v>62</v>
      </c>
      <c r="G93" s="51">
        <v>4.5999999999999999E-2</v>
      </c>
      <c r="H93" s="51">
        <v>4.5999999999999999E-2</v>
      </c>
      <c r="I93" s="51">
        <v>4.5999999999999999E-2</v>
      </c>
      <c r="J93" s="51">
        <v>4.5999999999999999E-2</v>
      </c>
      <c r="K93" s="51">
        <v>4.5999999999999999E-2</v>
      </c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3:26" outlineLevel="1" x14ac:dyDescent="0.3">
      <c r="C94" s="20" t="s">
        <v>138</v>
      </c>
      <c r="D94" s="19"/>
      <c r="E94" s="19"/>
      <c r="F94" s="27" t="s">
        <v>63</v>
      </c>
      <c r="G94" s="31">
        <f>G93*G48</f>
        <v>2186.4719999999998</v>
      </c>
      <c r="H94" s="31">
        <f>H93*H48</f>
        <v>2235.6676200000002</v>
      </c>
      <c r="I94" s="31">
        <f>I93*I48</f>
        <v>2285.97014145</v>
      </c>
      <c r="J94" s="31">
        <f>J93*J48</f>
        <v>2337.404469632625</v>
      </c>
      <c r="K94" s="31">
        <f>K93*K48</f>
        <v>2389.9960701993591</v>
      </c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3:26" outlineLevel="1" x14ac:dyDescent="0.3">
      <c r="C95" s="20"/>
      <c r="D95" s="19"/>
      <c r="E95" s="19"/>
      <c r="F95" s="27"/>
      <c r="G95" s="31"/>
      <c r="H95" s="31"/>
      <c r="I95" s="31"/>
      <c r="J95" s="31"/>
      <c r="K95" s="31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3:26" outlineLevel="1" x14ac:dyDescent="0.3">
      <c r="C96" s="20" t="s">
        <v>255</v>
      </c>
      <c r="D96" s="19"/>
      <c r="E96" s="19"/>
      <c r="F96" s="27" t="s">
        <v>62</v>
      </c>
      <c r="G96" s="51">
        <v>4.642662542262177E-2</v>
      </c>
      <c r="H96" s="51">
        <v>4.642662542262177E-2</v>
      </c>
      <c r="I96" s="51">
        <v>4.642662542262177E-2</v>
      </c>
      <c r="J96" s="51">
        <v>4.642662542262177E-2</v>
      </c>
      <c r="K96" s="51">
        <v>4.642662542262177E-2</v>
      </c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3:26" outlineLevel="1" x14ac:dyDescent="0.3">
      <c r="C97" s="20" t="s">
        <v>138</v>
      </c>
      <c r="D97" s="19"/>
      <c r="E97" s="19"/>
      <c r="F97" s="27" t="s">
        <v>63</v>
      </c>
      <c r="G97" s="31">
        <f>G96*G51</f>
        <v>21104.615384615405</v>
      </c>
      <c r="H97" s="31">
        <f>H96*H51</f>
        <v>21579.469230769249</v>
      </c>
      <c r="I97" s="31">
        <f>I96*I51</f>
        <v>22065.007288461558</v>
      </c>
      <c r="J97" s="31">
        <f>J96*J51</f>
        <v>22561.469952451942</v>
      </c>
      <c r="K97" s="31">
        <f>K96*K51</f>
        <v>23069.103026382109</v>
      </c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3:26" outlineLevel="1" x14ac:dyDescent="0.3">
      <c r="C98" s="20"/>
      <c r="D98" s="19"/>
      <c r="E98" s="19"/>
      <c r="F98" s="27"/>
      <c r="G98" s="31"/>
      <c r="H98" s="31"/>
      <c r="I98" s="31"/>
      <c r="J98" s="31"/>
      <c r="K98" s="31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3:26" outlineLevel="1" x14ac:dyDescent="0.3">
      <c r="C99" s="20" t="s">
        <v>256</v>
      </c>
      <c r="D99" s="19"/>
      <c r="E99" s="19"/>
      <c r="F99" s="27" t="s">
        <v>62</v>
      </c>
      <c r="G99" s="109">
        <v>5.0271711718554386E-2</v>
      </c>
      <c r="H99" s="109">
        <v>5.0271711718554386E-2</v>
      </c>
      <c r="I99" s="109">
        <v>5.0271711718554386E-2</v>
      </c>
      <c r="J99" s="109">
        <v>5.0271711718554386E-2</v>
      </c>
      <c r="K99" s="109">
        <v>5.0271711718554386E-2</v>
      </c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3:26" outlineLevel="1" x14ac:dyDescent="0.3">
      <c r="C100" s="20" t="s">
        <v>138</v>
      </c>
      <c r="D100" s="19"/>
      <c r="E100" s="19"/>
      <c r="F100" s="27" t="s">
        <v>63</v>
      </c>
      <c r="G100" s="31">
        <f>G99*G54</f>
        <v>3258.4615384615395</v>
      </c>
      <c r="H100" s="31">
        <f>H99*H54</f>
        <v>3307.3384615384621</v>
      </c>
      <c r="I100" s="31">
        <f>I99*I54</f>
        <v>3356.9485384615391</v>
      </c>
      <c r="J100" s="31">
        <f>J99*J54</f>
        <v>3407.3027665384616</v>
      </c>
      <c r="K100" s="31">
        <f>K99*K54</f>
        <v>3458.4123080365384</v>
      </c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3:26" outlineLevel="1" x14ac:dyDescent="0.3">
      <c r="C101" s="20"/>
      <c r="D101" s="19"/>
      <c r="E101" s="19"/>
      <c r="F101" s="27"/>
      <c r="G101" s="31"/>
      <c r="H101" s="31"/>
      <c r="I101" s="31"/>
      <c r="J101" s="31"/>
      <c r="K101" s="31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3:26" outlineLevel="1" x14ac:dyDescent="0.3">
      <c r="C102" s="20" t="s">
        <v>257</v>
      </c>
      <c r="D102" s="19"/>
      <c r="E102" s="19"/>
      <c r="F102" s="27" t="s">
        <v>62</v>
      </c>
      <c r="G102" s="51">
        <v>3.9369570054816852E-2</v>
      </c>
      <c r="H102" s="51">
        <v>3.9369570054816852E-2</v>
      </c>
      <c r="I102" s="51">
        <v>3.9369570054816852E-2</v>
      </c>
      <c r="J102" s="51">
        <v>3.9369570054816852E-2</v>
      </c>
      <c r="K102" s="51">
        <v>3.9369570054816852E-2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3:26" outlineLevel="1" x14ac:dyDescent="0.3">
      <c r="C103" s="20" t="s">
        <v>138</v>
      </c>
      <c r="D103" s="19"/>
      <c r="E103" s="19"/>
      <c r="F103" s="27" t="s">
        <v>63</v>
      </c>
      <c r="G103" s="31">
        <f>G102*G57</f>
        <v>6328.4615384615345</v>
      </c>
      <c r="H103" s="31">
        <f>H102*H57</f>
        <v>6429.7169230769196</v>
      </c>
      <c r="I103" s="31">
        <f>I102*I57</f>
        <v>6532.5923938461501</v>
      </c>
      <c r="J103" s="31">
        <f>J102*J57</f>
        <v>6637.1138721476891</v>
      </c>
      <c r="K103" s="31">
        <f>K102*K57</f>
        <v>6743.3076941020518</v>
      </c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3:26" outlineLevel="1" x14ac:dyDescent="0.3">
      <c r="C104" s="20"/>
      <c r="D104" s="19"/>
      <c r="E104" s="19"/>
      <c r="F104" s="27"/>
      <c r="G104" s="31"/>
      <c r="H104" s="31"/>
      <c r="I104" s="31"/>
      <c r="J104" s="31"/>
      <c r="K104" s="31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3:26" outlineLevel="1" x14ac:dyDescent="0.3">
      <c r="C105" s="20" t="s">
        <v>258</v>
      </c>
      <c r="D105" s="19"/>
      <c r="E105" s="19"/>
      <c r="F105" s="27" t="s">
        <v>62</v>
      </c>
      <c r="G105" s="51">
        <v>4.4806693175439075E-2</v>
      </c>
      <c r="H105" s="51">
        <v>4.4806693175439075E-2</v>
      </c>
      <c r="I105" s="51">
        <v>4.4806693175439075E-2</v>
      </c>
      <c r="J105" s="51">
        <v>4.4806693175439075E-2</v>
      </c>
      <c r="K105" s="51">
        <v>4.4806693175439075E-2</v>
      </c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3:26" outlineLevel="1" x14ac:dyDescent="0.3">
      <c r="C106" s="20" t="s">
        <v>138</v>
      </c>
      <c r="D106" s="19"/>
      <c r="E106" s="19"/>
      <c r="F106" s="27" t="s">
        <v>63</v>
      </c>
      <c r="G106" s="31">
        <f>G105*G60</f>
        <v>9427.8211177373105</v>
      </c>
      <c r="H106" s="31">
        <f>H105*H60</f>
        <v>9682.3722879162178</v>
      </c>
      <c r="I106" s="31">
        <f>I105*I60</f>
        <v>9943.796339689954</v>
      </c>
      <c r="J106" s="31">
        <f>J105*J60</f>
        <v>10212.278840861582</v>
      </c>
      <c r="K106" s="31">
        <f>K105*K60</f>
        <v>10488.010369564845</v>
      </c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3:26" outlineLevel="1" x14ac:dyDescent="0.3">
      <c r="C107" s="20"/>
      <c r="D107" s="19"/>
      <c r="E107" s="19"/>
      <c r="F107" s="27"/>
      <c r="G107" s="31"/>
      <c r="H107" s="31"/>
      <c r="I107" s="31"/>
      <c r="J107" s="31"/>
      <c r="K107" s="31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3:26" outlineLevel="1" x14ac:dyDescent="0.3">
      <c r="C108" s="20" t="s">
        <v>259</v>
      </c>
      <c r="D108" s="19"/>
      <c r="E108" s="19"/>
      <c r="F108" s="27" t="s">
        <v>62</v>
      </c>
      <c r="G108" s="51">
        <v>4.8455850633888159E-2</v>
      </c>
      <c r="H108" s="51">
        <v>4.8455850633888159E-2</v>
      </c>
      <c r="I108" s="51">
        <v>4.8455850633888159E-2</v>
      </c>
      <c r="J108" s="51">
        <v>4.8455850633888159E-2</v>
      </c>
      <c r="K108" s="51">
        <v>4.8455850633888159E-2</v>
      </c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3:26" outlineLevel="1" x14ac:dyDescent="0.3">
      <c r="C109" s="20" t="s">
        <v>138</v>
      </c>
      <c r="D109" s="19"/>
      <c r="E109" s="19"/>
      <c r="F109" s="27" t="s">
        <v>63</v>
      </c>
      <c r="G109" s="31">
        <f>G108*G63</f>
        <v>35352.128770368319</v>
      </c>
      <c r="H109" s="31">
        <f>H108*H63</f>
        <v>36341.988375938636</v>
      </c>
      <c r="I109" s="31">
        <f>I108*I63</f>
        <v>37359.564050464913</v>
      </c>
      <c r="J109" s="31">
        <f>J108*J63</f>
        <v>38405.631843877934</v>
      </c>
      <c r="K109" s="31">
        <f>K108*K63</f>
        <v>39480.989535506524</v>
      </c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3:26" outlineLevel="1" x14ac:dyDescent="0.3">
      <c r="C110" s="20"/>
      <c r="D110" s="19"/>
      <c r="E110" s="19"/>
      <c r="F110" s="27"/>
      <c r="G110" s="31"/>
      <c r="H110" s="31"/>
      <c r="I110" s="31"/>
      <c r="J110" s="31"/>
      <c r="K110" s="31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3:26" outlineLevel="1" x14ac:dyDescent="0.3">
      <c r="C111" s="20" t="s">
        <v>260</v>
      </c>
      <c r="D111" s="19"/>
      <c r="E111" s="19"/>
      <c r="F111" s="27" t="s">
        <v>62</v>
      </c>
      <c r="G111" s="51">
        <v>4.1538461538461538E-2</v>
      </c>
      <c r="H111" s="51">
        <v>4.1538461538461538E-2</v>
      </c>
      <c r="I111" s="51">
        <v>4.1538461538461538E-2</v>
      </c>
      <c r="J111" s="51">
        <v>4.1538461538461538E-2</v>
      </c>
      <c r="K111" s="51">
        <v>4.1538461538461538E-2</v>
      </c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3:26" outlineLevel="1" x14ac:dyDescent="0.3">
      <c r="C112" s="20" t="s">
        <v>138</v>
      </c>
      <c r="D112" s="19"/>
      <c r="E112" s="19"/>
      <c r="F112" s="27" t="s">
        <v>63</v>
      </c>
      <c r="G112" s="31">
        <f>G111*G66</f>
        <v>3795.5353846153844</v>
      </c>
      <c r="H112" s="31">
        <f>H111*H66</f>
        <v>3871.4460923076922</v>
      </c>
      <c r="I112" s="31">
        <f>I111*I66</f>
        <v>3948.8750141538458</v>
      </c>
      <c r="J112" s="31">
        <f>J111*J66</f>
        <v>4027.8525144369228</v>
      </c>
      <c r="K112" s="31">
        <f>K111*K66</f>
        <v>4108.4095647256609</v>
      </c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3:26" outlineLevel="1" x14ac:dyDescent="0.3">
      <c r="C113" s="20"/>
      <c r="D113" s="19"/>
      <c r="E113" s="19"/>
      <c r="F113" s="27"/>
      <c r="G113" s="31"/>
      <c r="H113" s="31"/>
      <c r="I113" s="31"/>
      <c r="J113" s="31"/>
      <c r="K113" s="31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3:26" outlineLevel="1" x14ac:dyDescent="0.3">
      <c r="C114" s="20" t="s">
        <v>261</v>
      </c>
      <c r="D114" s="19"/>
      <c r="E114" s="19"/>
      <c r="F114" s="27" t="s">
        <v>62</v>
      </c>
      <c r="G114" s="51">
        <v>4.7692307692307694E-2</v>
      </c>
      <c r="H114" s="51">
        <v>4.7692307692307694E-2</v>
      </c>
      <c r="I114" s="51">
        <v>4.7692307692307694E-2</v>
      </c>
      <c r="J114" s="51">
        <v>4.7692307692307694E-2</v>
      </c>
      <c r="K114" s="51">
        <v>4.7692307692307694E-2</v>
      </c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3:26" outlineLevel="1" x14ac:dyDescent="0.3">
      <c r="C115" s="20" t="s">
        <v>138</v>
      </c>
      <c r="D115" s="19"/>
      <c r="E115" s="19"/>
      <c r="F115" s="27" t="s">
        <v>63</v>
      </c>
      <c r="G115" s="31">
        <f>G114*G69</f>
        <v>6147.4907692307697</v>
      </c>
      <c r="H115" s="31">
        <f>H114*H69</f>
        <v>6255.0718576923082</v>
      </c>
      <c r="I115" s="31">
        <f>I114*I69</f>
        <v>6364.535615201924</v>
      </c>
      <c r="J115" s="31">
        <f>J114*J69</f>
        <v>6475.9149884679582</v>
      </c>
      <c r="K115" s="31">
        <f>K114*K69</f>
        <v>6589.243500766147</v>
      </c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3:26" outlineLevel="1" x14ac:dyDescent="0.3">
      <c r="C116" s="20"/>
      <c r="D116" s="19"/>
      <c r="E116" s="19"/>
      <c r="F116" s="27"/>
      <c r="G116" s="31"/>
      <c r="H116" s="31"/>
      <c r="I116" s="31"/>
      <c r="J116" s="31"/>
      <c r="K116" s="31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3:26" outlineLevel="1" x14ac:dyDescent="0.3">
      <c r="C117" s="73" t="s">
        <v>155</v>
      </c>
      <c r="D117" s="19"/>
      <c r="E117" s="19"/>
      <c r="F117" s="29" t="s">
        <v>63</v>
      </c>
      <c r="G117" s="28">
        <f>G76+G79+G82+G85+G88+G91+G94+G97+G100+G103+G106+G109+G112+G115</f>
        <v>191274.44571152475</v>
      </c>
      <c r="H117" s="28">
        <f t="shared" ref="H117:K117" si="2">H76+H79+H82+H85+H88+H91+H94+H97+H100+H103+H106+H109+H112+H115</f>
        <v>195634.30916719395</v>
      </c>
      <c r="I117" s="28">
        <f t="shared" si="2"/>
        <v>200095.84188351809</v>
      </c>
      <c r="J117" s="28">
        <f t="shared" si="2"/>
        <v>204661.46479741833</v>
      </c>
      <c r="K117" s="28">
        <f t="shared" si="2"/>
        <v>209333.65760989074</v>
      </c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3:26" outlineLevel="1" x14ac:dyDescent="0.3">
      <c r="C118" s="73" t="s">
        <v>154</v>
      </c>
      <c r="D118" s="19"/>
      <c r="E118" s="19"/>
      <c r="F118" s="27" t="s">
        <v>62</v>
      </c>
      <c r="G118" s="51"/>
      <c r="H118" s="51">
        <f>H117/G117-1</f>
        <v>2.2793758149191712E-2</v>
      </c>
      <c r="I118" s="51">
        <f t="shared" ref="I118:K118" si="3">I117/H117-1</f>
        <v>2.280547177699388E-2</v>
      </c>
      <c r="J118" s="51">
        <f t="shared" si="3"/>
        <v>2.2817180361788925E-2</v>
      </c>
      <c r="K118" s="51">
        <f t="shared" si="3"/>
        <v>2.282888386974613E-2</v>
      </c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3:26" outlineLevel="1" x14ac:dyDescent="0.3">
      <c r="C119" s="73"/>
      <c r="D119" s="19"/>
      <c r="E119" s="19"/>
      <c r="F119" s="27"/>
      <c r="G119" s="31"/>
      <c r="H119" s="31"/>
      <c r="I119" s="31"/>
      <c r="J119" s="31"/>
      <c r="K119" s="31"/>
      <c r="L119" s="63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3:26" outlineLevel="1" x14ac:dyDescent="0.3">
      <c r="C120" s="20" t="s">
        <v>274</v>
      </c>
      <c r="D120" s="19"/>
      <c r="E120" s="19"/>
      <c r="F120" s="27" t="s">
        <v>62</v>
      </c>
      <c r="G120" s="109">
        <v>5.1200000000000002E-2</v>
      </c>
      <c r="H120" s="109">
        <v>8.1600000000000006E-2</v>
      </c>
      <c r="I120" s="109">
        <v>0.10560000000000001</v>
      </c>
      <c r="J120" s="109">
        <v>0.12480000000000002</v>
      </c>
      <c r="K120" s="109">
        <v>0.1376</v>
      </c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3:26" outlineLevel="1" x14ac:dyDescent="0.3">
      <c r="C121" s="20" t="s">
        <v>138</v>
      </c>
      <c r="D121" s="19"/>
      <c r="E121" s="19"/>
      <c r="F121" s="27" t="s">
        <v>63</v>
      </c>
      <c r="G121" s="31">
        <f>G120*G76</f>
        <v>221.42424615384601</v>
      </c>
      <c r="H121" s="31">
        <f>H120*H76</f>
        <v>360.8350273846151</v>
      </c>
      <c r="I121" s="31">
        <f>I120*I76</f>
        <v>477.46964358923049</v>
      </c>
      <c r="J121" s="31">
        <f>J120*J76</f>
        <v>576.9786579463497</v>
      </c>
      <c r="K121" s="31">
        <f>K120*K76</f>
        <v>650.46946521169536</v>
      </c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3:26" outlineLevel="1" x14ac:dyDescent="0.3">
      <c r="C122" s="20"/>
      <c r="D122" s="19"/>
      <c r="E122" s="19"/>
      <c r="F122" s="27"/>
      <c r="G122" s="31"/>
      <c r="H122" s="31"/>
      <c r="I122" s="31"/>
      <c r="J122" s="31"/>
      <c r="K122" s="31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3:26" outlineLevel="1" x14ac:dyDescent="0.3">
      <c r="C123" s="20" t="s">
        <v>275</v>
      </c>
      <c r="D123" s="19"/>
      <c r="E123" s="19"/>
      <c r="F123" s="27" t="s">
        <v>62</v>
      </c>
      <c r="G123" s="109">
        <v>0</v>
      </c>
      <c r="H123" s="109">
        <v>3.6000000000000004E-2</v>
      </c>
      <c r="I123" s="109">
        <v>4.9499999999999995E-2</v>
      </c>
      <c r="J123" s="109">
        <v>5.8500000000000003E-2</v>
      </c>
      <c r="K123" s="109">
        <v>6.5250000000000002E-2</v>
      </c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3:26" outlineLevel="1" x14ac:dyDescent="0.3">
      <c r="C124" s="20" t="s">
        <v>138</v>
      </c>
      <c r="D124" s="19"/>
      <c r="E124" s="19"/>
      <c r="F124" s="27" t="s">
        <v>63</v>
      </c>
      <c r="G124" s="31">
        <f>G123*G79</f>
        <v>0</v>
      </c>
      <c r="H124" s="31">
        <f>H123*H79</f>
        <v>211.85109041946049</v>
      </c>
      <c r="I124" s="31">
        <f>I123*I79</f>
        <v>295.95597331598628</v>
      </c>
      <c r="J124" s="31">
        <f>J123*J79</f>
        <v>355.36240868704976</v>
      </c>
      <c r="K124" s="31">
        <f>K123*K79</f>
        <v>402.70761575212441</v>
      </c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3:26" outlineLevel="1" x14ac:dyDescent="0.3">
      <c r="C125" s="20"/>
      <c r="D125" s="19"/>
      <c r="E125" s="19"/>
      <c r="F125" s="27"/>
      <c r="G125" s="31"/>
      <c r="H125" s="31"/>
      <c r="I125" s="31"/>
      <c r="J125" s="31"/>
      <c r="K125" s="31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3:26" outlineLevel="1" x14ac:dyDescent="0.3">
      <c r="C126" s="20" t="s">
        <v>276</v>
      </c>
      <c r="D126" s="19"/>
      <c r="E126" s="19"/>
      <c r="F126" s="27" t="s">
        <v>62</v>
      </c>
      <c r="G126" s="109">
        <v>0</v>
      </c>
      <c r="H126" s="109">
        <v>5.220000000000001E-2</v>
      </c>
      <c r="I126" s="109">
        <v>7.2000000000000008E-2</v>
      </c>
      <c r="J126" s="109">
        <v>8.4600000000000009E-2</v>
      </c>
      <c r="K126" s="109">
        <v>9.3600000000000003E-2</v>
      </c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3:26" outlineLevel="1" x14ac:dyDescent="0.3">
      <c r="C127" s="20" t="s">
        <v>138</v>
      </c>
      <c r="D127" s="19"/>
      <c r="E127" s="19"/>
      <c r="F127" s="27" t="s">
        <v>63</v>
      </c>
      <c r="G127" s="31">
        <f>G126*G82</f>
        <v>0</v>
      </c>
      <c r="H127" s="31">
        <f>H126*H82</f>
        <v>174.17257972492996</v>
      </c>
      <c r="I127" s="31">
        <f>I126*I82</f>
        <v>244.44220671740166</v>
      </c>
      <c r="J127" s="31">
        <f>J126*J82</f>
        <v>292.24593576857359</v>
      </c>
      <c r="K127" s="31">
        <f>K126*K82</f>
        <v>328.99430769181333</v>
      </c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3:26" outlineLevel="1" x14ac:dyDescent="0.3">
      <c r="C128" s="20"/>
      <c r="D128" s="19"/>
      <c r="E128" s="19"/>
      <c r="F128" s="27"/>
      <c r="G128" s="31"/>
      <c r="H128" s="31"/>
      <c r="I128" s="31"/>
      <c r="J128" s="31"/>
      <c r="K128" s="31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3:26" outlineLevel="1" x14ac:dyDescent="0.3">
      <c r="C129" s="20" t="s">
        <v>277</v>
      </c>
      <c r="D129" s="19"/>
      <c r="E129" s="19"/>
      <c r="F129" s="27" t="s">
        <v>62</v>
      </c>
      <c r="G129" s="109">
        <v>0</v>
      </c>
      <c r="H129" s="109">
        <v>0</v>
      </c>
      <c r="I129" s="109">
        <v>8.0999999999999996E-3</v>
      </c>
      <c r="J129" s="109">
        <v>1.18125E-2</v>
      </c>
      <c r="K129" s="109">
        <v>1.3837500000000003E-2</v>
      </c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3:26" outlineLevel="1" x14ac:dyDescent="0.3">
      <c r="C130" s="20" t="s">
        <v>138</v>
      </c>
      <c r="D130" s="19"/>
      <c r="E130" s="19"/>
      <c r="F130" s="27" t="s">
        <v>63</v>
      </c>
      <c r="G130" s="31">
        <f>G129*G85</f>
        <v>0</v>
      </c>
      <c r="H130" s="31">
        <f>H129*H85</f>
        <v>0</v>
      </c>
      <c r="I130" s="31">
        <f>I129*I85</f>
        <v>706.40652827407564</v>
      </c>
      <c r="J130" s="31">
        <f>J129*J85</f>
        <v>1052.8400631818204</v>
      </c>
      <c r="K130" s="31">
        <f>K129*K85</f>
        <v>1260.4601236412755</v>
      </c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3:26" outlineLevel="1" x14ac:dyDescent="0.3">
      <c r="C131" s="20"/>
      <c r="D131" s="19"/>
      <c r="E131" s="19"/>
      <c r="F131" s="27"/>
      <c r="G131" s="31"/>
      <c r="H131" s="31"/>
      <c r="I131" s="31"/>
      <c r="J131" s="31"/>
      <c r="K131" s="31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3:26" outlineLevel="1" x14ac:dyDescent="0.3">
      <c r="C132" s="20" t="s">
        <v>278</v>
      </c>
      <c r="D132" s="19"/>
      <c r="E132" s="19"/>
      <c r="F132" s="27" t="s">
        <v>62</v>
      </c>
      <c r="G132" s="51">
        <v>0</v>
      </c>
      <c r="H132" s="109">
        <v>0</v>
      </c>
      <c r="I132" s="109">
        <v>4.8600000000000004E-2</v>
      </c>
      <c r="J132" s="109">
        <v>7.7399999999999997E-2</v>
      </c>
      <c r="K132" s="109">
        <v>9.0000000000000024E-2</v>
      </c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3:26" outlineLevel="1" x14ac:dyDescent="0.3">
      <c r="C133" s="20" t="s">
        <v>138</v>
      </c>
      <c r="D133" s="19"/>
      <c r="E133" s="19"/>
      <c r="F133" s="27" t="s">
        <v>63</v>
      </c>
      <c r="G133" s="31">
        <f>G132*G88</f>
        <v>0</v>
      </c>
      <c r="H133" s="31">
        <f>H132*H88</f>
        <v>0</v>
      </c>
      <c r="I133" s="31">
        <f>I132*I88</f>
        <v>265.22329863461528</v>
      </c>
      <c r="J133" s="31">
        <f>J132*J88</f>
        <v>432.95247730817283</v>
      </c>
      <c r="K133" s="31">
        <f>K132*K88</f>
        <v>516.01894097776426</v>
      </c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3:26" outlineLevel="1" x14ac:dyDescent="0.3">
      <c r="C134" s="20"/>
      <c r="D134" s="19"/>
      <c r="E134" s="19"/>
      <c r="F134" s="27"/>
      <c r="G134" s="31"/>
      <c r="H134" s="31"/>
      <c r="I134" s="31"/>
      <c r="J134" s="31"/>
      <c r="K134" s="31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3:26" outlineLevel="1" x14ac:dyDescent="0.3">
      <c r="C135" s="20" t="s">
        <v>279</v>
      </c>
      <c r="D135" s="19"/>
      <c r="E135" s="19"/>
      <c r="F135" s="27" t="s">
        <v>62</v>
      </c>
      <c r="G135" s="51">
        <v>0</v>
      </c>
      <c r="H135" s="109">
        <v>0</v>
      </c>
      <c r="I135" s="109">
        <v>5.1299999999999998E-2</v>
      </c>
      <c r="J135" s="109">
        <v>8.1699999999999995E-2</v>
      </c>
      <c r="K135" s="109">
        <v>9.5000000000000015E-2</v>
      </c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3:26" outlineLevel="1" x14ac:dyDescent="0.3">
      <c r="C136" s="20" t="s">
        <v>138</v>
      </c>
      <c r="D136" s="19"/>
      <c r="E136" s="19"/>
      <c r="F136" s="27" t="s">
        <v>63</v>
      </c>
      <c r="G136" s="31">
        <f>G135*G91</f>
        <v>0</v>
      </c>
      <c r="H136" s="31">
        <f>H135*H91</f>
        <v>0</v>
      </c>
      <c r="I136" s="31">
        <f>I135*I91</f>
        <v>85.936141068187496</v>
      </c>
      <c r="J136" s="31">
        <f>J135*J91</f>
        <v>140.62494639797018</v>
      </c>
      <c r="K136" s="31">
        <f>K135*K91</f>
        <v>168.01410746966789</v>
      </c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3:26" outlineLevel="1" x14ac:dyDescent="0.3">
      <c r="C137" s="20"/>
      <c r="D137" s="19"/>
      <c r="E137" s="19"/>
      <c r="F137" s="27"/>
      <c r="G137" s="31"/>
      <c r="H137" s="31"/>
      <c r="I137" s="31"/>
      <c r="J137" s="31"/>
      <c r="K137" s="31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3:26" outlineLevel="1" x14ac:dyDescent="0.3">
      <c r="C138" s="20" t="s">
        <v>280</v>
      </c>
      <c r="D138" s="19"/>
      <c r="E138" s="19"/>
      <c r="F138" s="27" t="s">
        <v>62</v>
      </c>
      <c r="G138" s="51">
        <v>0</v>
      </c>
      <c r="H138" s="109">
        <v>0</v>
      </c>
      <c r="I138" s="109">
        <v>5.7374999999999995E-2</v>
      </c>
      <c r="J138" s="109">
        <v>9.1374999999999998E-2</v>
      </c>
      <c r="K138" s="109">
        <v>0.10625000000000001</v>
      </c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3:26" outlineLevel="1" x14ac:dyDescent="0.3">
      <c r="C139" s="20" t="s">
        <v>138</v>
      </c>
      <c r="D139" s="19"/>
      <c r="E139" s="19"/>
      <c r="F139" s="27" t="s">
        <v>63</v>
      </c>
      <c r="G139" s="31">
        <f>G138*G94</f>
        <v>0</v>
      </c>
      <c r="H139" s="31">
        <f>H138*H94</f>
        <v>0</v>
      </c>
      <c r="I139" s="31">
        <f>I138*I94</f>
        <v>131.15753686569374</v>
      </c>
      <c r="J139" s="31">
        <f>J138*J94</f>
        <v>213.58033341268111</v>
      </c>
      <c r="K139" s="31">
        <f>K138*K94</f>
        <v>253.93708245868194</v>
      </c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3:26" outlineLevel="1" x14ac:dyDescent="0.3">
      <c r="C140" s="20"/>
      <c r="D140" s="19"/>
      <c r="E140" s="19"/>
      <c r="F140" s="27"/>
      <c r="G140" s="31"/>
      <c r="H140" s="31"/>
      <c r="I140" s="31"/>
      <c r="J140" s="31"/>
      <c r="K140" s="31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3:26" outlineLevel="1" x14ac:dyDescent="0.3">
      <c r="C141" s="20" t="s">
        <v>281</v>
      </c>
      <c r="D141" s="19"/>
      <c r="E141" s="19"/>
      <c r="F141" s="27" t="s">
        <v>62</v>
      </c>
      <c r="G141" s="51">
        <v>0</v>
      </c>
      <c r="H141" s="109">
        <v>0</v>
      </c>
      <c r="I141" s="109">
        <v>0.02</v>
      </c>
      <c r="J141" s="109">
        <v>2.8000000000000004E-2</v>
      </c>
      <c r="K141" s="109">
        <v>3.4000000000000002E-2</v>
      </c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3:26" outlineLevel="1" x14ac:dyDescent="0.3">
      <c r="C142" s="20" t="s">
        <v>138</v>
      </c>
      <c r="D142" s="19"/>
      <c r="E142" s="19"/>
      <c r="F142" s="27" t="s">
        <v>63</v>
      </c>
      <c r="G142" s="31">
        <f>G141*G97</f>
        <v>0</v>
      </c>
      <c r="H142" s="31">
        <f>H141*H97</f>
        <v>0</v>
      </c>
      <c r="I142" s="31">
        <f>I141*I97</f>
        <v>441.30014576923116</v>
      </c>
      <c r="J142" s="31">
        <f>J141*J97</f>
        <v>631.72115866865443</v>
      </c>
      <c r="K142" s="31">
        <f>K141*K97</f>
        <v>784.34950289699179</v>
      </c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3:26" outlineLevel="1" x14ac:dyDescent="0.3">
      <c r="C143" s="20"/>
      <c r="D143" s="19"/>
      <c r="E143" s="19"/>
      <c r="F143" s="27"/>
      <c r="G143" s="31"/>
      <c r="H143" s="31"/>
      <c r="I143" s="31"/>
      <c r="J143" s="31"/>
      <c r="K143" s="31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3:26" outlineLevel="1" x14ac:dyDescent="0.3">
      <c r="C144" s="20" t="s">
        <v>282</v>
      </c>
      <c r="D144" s="19"/>
      <c r="E144" s="19"/>
      <c r="F144" s="27" t="s">
        <v>62</v>
      </c>
      <c r="G144" s="51">
        <v>0</v>
      </c>
      <c r="H144" s="51">
        <v>0</v>
      </c>
      <c r="I144" s="109">
        <v>0</v>
      </c>
      <c r="J144" s="109">
        <v>5.8000000000000003E-2</v>
      </c>
      <c r="K144" s="109">
        <v>7.5999999999999998E-2</v>
      </c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3:26" outlineLevel="1" x14ac:dyDescent="0.3">
      <c r="C145" s="20" t="s">
        <v>138</v>
      </c>
      <c r="D145" s="19"/>
      <c r="E145" s="19"/>
      <c r="F145" s="27" t="s">
        <v>63</v>
      </c>
      <c r="G145" s="31">
        <f>G144*G100</f>
        <v>0</v>
      </c>
      <c r="H145" s="31">
        <f>H144*H100</f>
        <v>0</v>
      </c>
      <c r="I145" s="31">
        <f>I144*I100</f>
        <v>0</v>
      </c>
      <c r="J145" s="31">
        <f>J144*J100</f>
        <v>197.62356045923079</v>
      </c>
      <c r="K145" s="31">
        <f>K144*K100</f>
        <v>262.83933541077693</v>
      </c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3:26" outlineLevel="1" x14ac:dyDescent="0.3">
      <c r="C146" s="20"/>
      <c r="D146" s="19"/>
      <c r="E146" s="19"/>
      <c r="F146" s="27"/>
      <c r="G146" s="31"/>
      <c r="H146" s="31"/>
      <c r="I146" s="31"/>
      <c r="J146" s="31"/>
      <c r="K146" s="31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3:26" outlineLevel="1" x14ac:dyDescent="0.3">
      <c r="C147" s="20" t="s">
        <v>283</v>
      </c>
      <c r="D147" s="19"/>
      <c r="E147" s="19"/>
      <c r="F147" s="27" t="s">
        <v>62</v>
      </c>
      <c r="G147" s="51">
        <v>0</v>
      </c>
      <c r="H147" s="51">
        <v>0</v>
      </c>
      <c r="I147" s="109">
        <v>0</v>
      </c>
      <c r="J147" s="109">
        <v>4.4999999999999998E-2</v>
      </c>
      <c r="K147" s="109">
        <v>5.4999999999999993E-2</v>
      </c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3:26" outlineLevel="1" x14ac:dyDescent="0.3">
      <c r="C148" s="20" t="s">
        <v>138</v>
      </c>
      <c r="D148" s="19"/>
      <c r="E148" s="19"/>
      <c r="F148" s="27" t="s">
        <v>63</v>
      </c>
      <c r="G148" s="31">
        <f>G147*G103</f>
        <v>0</v>
      </c>
      <c r="H148" s="31">
        <f>H147*H103</f>
        <v>0</v>
      </c>
      <c r="I148" s="31">
        <f>I147*I103</f>
        <v>0</v>
      </c>
      <c r="J148" s="31">
        <f>J147*J103</f>
        <v>298.67012424664603</v>
      </c>
      <c r="K148" s="31">
        <f>K147*K103</f>
        <v>370.88192317561283</v>
      </c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3:26" outlineLevel="1" x14ac:dyDescent="0.3">
      <c r="C149" s="20"/>
      <c r="D149" s="19"/>
      <c r="E149" s="19"/>
      <c r="F149" s="27"/>
      <c r="G149" s="31"/>
      <c r="H149" s="31"/>
      <c r="I149" s="31"/>
      <c r="J149" s="31"/>
      <c r="K149" s="31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3:26" outlineLevel="1" x14ac:dyDescent="0.3">
      <c r="C150" s="20" t="s">
        <v>284</v>
      </c>
      <c r="D150" s="19"/>
      <c r="E150" s="19"/>
      <c r="F150" s="27" t="s">
        <v>62</v>
      </c>
      <c r="G150" s="51">
        <v>0</v>
      </c>
      <c r="H150" s="51">
        <v>0</v>
      </c>
      <c r="I150" s="51">
        <v>0</v>
      </c>
      <c r="J150" s="51">
        <v>4.4999999999999998E-2</v>
      </c>
      <c r="K150" s="109">
        <v>6.25E-2</v>
      </c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3:26" outlineLevel="1" x14ac:dyDescent="0.3">
      <c r="C151" s="20" t="s">
        <v>138</v>
      </c>
      <c r="D151" s="19"/>
      <c r="E151" s="19"/>
      <c r="F151" s="27" t="s">
        <v>63</v>
      </c>
      <c r="G151" s="31">
        <f>G150*G106</f>
        <v>0</v>
      </c>
      <c r="H151" s="31">
        <f>H150*H106</f>
        <v>0</v>
      </c>
      <c r="I151" s="31">
        <f>I150*I106</f>
        <v>0</v>
      </c>
      <c r="J151" s="31">
        <f>J150*J106</f>
        <v>459.55254783877115</v>
      </c>
      <c r="K151" s="31">
        <f>K150*K106</f>
        <v>655.50064809780281</v>
      </c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3:26" outlineLevel="1" x14ac:dyDescent="0.3">
      <c r="C152" s="20"/>
      <c r="D152" s="19"/>
      <c r="E152" s="19"/>
      <c r="F152" s="27"/>
      <c r="G152" s="31"/>
      <c r="H152" s="31"/>
      <c r="I152" s="31"/>
      <c r="J152" s="31"/>
      <c r="K152" s="31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3:26" outlineLevel="1" x14ac:dyDescent="0.3">
      <c r="C153" s="20" t="s">
        <v>171</v>
      </c>
      <c r="D153" s="19"/>
      <c r="E153" s="19"/>
      <c r="F153" s="27" t="s">
        <v>62</v>
      </c>
      <c r="G153" s="51">
        <v>0</v>
      </c>
      <c r="H153" s="51">
        <v>0</v>
      </c>
      <c r="I153" s="51">
        <v>0</v>
      </c>
      <c r="J153" s="51">
        <v>0</v>
      </c>
      <c r="K153" s="51">
        <v>1.7500000000000002E-2</v>
      </c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3:26" outlineLevel="1" x14ac:dyDescent="0.3">
      <c r="C154" s="20" t="s">
        <v>138</v>
      </c>
      <c r="D154" s="19"/>
      <c r="E154" s="19"/>
      <c r="F154" s="27" t="s">
        <v>63</v>
      </c>
      <c r="G154" s="31">
        <f>G153*G109</f>
        <v>0</v>
      </c>
      <c r="H154" s="31">
        <f>H153*H109</f>
        <v>0</v>
      </c>
      <c r="I154" s="31">
        <f>I153*I109</f>
        <v>0</v>
      </c>
      <c r="J154" s="31">
        <f>J153*J109</f>
        <v>0</v>
      </c>
      <c r="K154" s="31">
        <f>K153*K109</f>
        <v>690.91731687136428</v>
      </c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3:26" outlineLevel="1" x14ac:dyDescent="0.3">
      <c r="C155" s="20"/>
      <c r="D155" s="19"/>
      <c r="E155" s="19"/>
      <c r="F155" s="27"/>
      <c r="G155" s="31"/>
      <c r="H155" s="31"/>
      <c r="I155" s="31"/>
      <c r="J155" s="31"/>
      <c r="K155" s="31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3:26" outlineLevel="1" x14ac:dyDescent="0.3">
      <c r="C156" s="20" t="s">
        <v>285</v>
      </c>
      <c r="D156" s="19"/>
      <c r="E156" s="19"/>
      <c r="F156" s="27" t="s">
        <v>62</v>
      </c>
      <c r="G156" s="51">
        <v>0</v>
      </c>
      <c r="H156" s="51">
        <v>0</v>
      </c>
      <c r="I156" s="51">
        <v>0</v>
      </c>
      <c r="J156" s="51">
        <v>0</v>
      </c>
      <c r="K156" s="109">
        <v>7.0000000000000007E-2</v>
      </c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3:26" outlineLevel="1" x14ac:dyDescent="0.3">
      <c r="C157" s="20" t="s">
        <v>138</v>
      </c>
      <c r="D157" s="19"/>
      <c r="E157" s="19"/>
      <c r="F157" s="27" t="s">
        <v>63</v>
      </c>
      <c r="G157" s="31">
        <f>G156*G112</f>
        <v>0</v>
      </c>
      <c r="H157" s="31">
        <f>H156*H112</f>
        <v>0</v>
      </c>
      <c r="I157" s="31">
        <f>I156*I112</f>
        <v>0</v>
      </c>
      <c r="J157" s="31">
        <f>J156*J112</f>
        <v>0</v>
      </c>
      <c r="K157" s="31">
        <f>K156*K112</f>
        <v>287.58866953079627</v>
      </c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3:26" outlineLevel="1" x14ac:dyDescent="0.3">
      <c r="C158" s="20"/>
      <c r="D158" s="19"/>
      <c r="E158" s="19"/>
      <c r="F158" s="27"/>
      <c r="G158" s="31"/>
      <c r="H158" s="31"/>
      <c r="I158" s="31"/>
      <c r="J158" s="31"/>
      <c r="K158" s="31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3:26" outlineLevel="1" x14ac:dyDescent="0.3">
      <c r="C159" s="20" t="s">
        <v>286</v>
      </c>
      <c r="D159" s="19"/>
      <c r="E159" s="19"/>
      <c r="F159" s="27" t="s">
        <v>62</v>
      </c>
      <c r="G159" s="51">
        <v>0</v>
      </c>
      <c r="H159" s="51">
        <v>0</v>
      </c>
      <c r="I159" s="51">
        <v>0</v>
      </c>
      <c r="J159" s="51">
        <v>0</v>
      </c>
      <c r="K159" s="109">
        <v>5.7499999999999996E-2</v>
      </c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3:26" outlineLevel="1" x14ac:dyDescent="0.3">
      <c r="C160" s="20" t="s">
        <v>138</v>
      </c>
      <c r="D160" s="19"/>
      <c r="E160" s="19"/>
      <c r="F160" s="27" t="s">
        <v>63</v>
      </c>
      <c r="G160" s="31">
        <f>G159*G115</f>
        <v>0</v>
      </c>
      <c r="H160" s="31">
        <f>H159*H115</f>
        <v>0</v>
      </c>
      <c r="I160" s="31">
        <f>I159*I115</f>
        <v>0</v>
      </c>
      <c r="J160" s="31">
        <f>J159*J115</f>
        <v>0</v>
      </c>
      <c r="K160" s="31">
        <f>K159*K115</f>
        <v>378.88150129405341</v>
      </c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3:26" outlineLevel="1" x14ac:dyDescent="0.3">
      <c r="C161" s="20"/>
      <c r="D161" s="19"/>
      <c r="E161" s="19"/>
      <c r="F161" s="27"/>
      <c r="G161" s="31"/>
      <c r="H161" s="31"/>
      <c r="I161" s="31"/>
      <c r="J161" s="31"/>
      <c r="K161" s="31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3:26" outlineLevel="1" x14ac:dyDescent="0.3">
      <c r="C162" s="73" t="s">
        <v>139</v>
      </c>
      <c r="D162" s="19"/>
      <c r="E162" s="19"/>
      <c r="F162" s="29" t="s">
        <v>63</v>
      </c>
      <c r="G162" s="28">
        <f>G121+G124+G127+G130+G133+G136+G139+G142+G145+G148+G151+G154+G157+G160</f>
        <v>221.42424615384601</v>
      </c>
      <c r="H162" s="28">
        <f t="shared" ref="H162:K162" si="4">H121+H124+H127+H130+H133+H136+H139+H142+H145+H148+H151+H154+H157+H160</f>
        <v>746.85869752900555</v>
      </c>
      <c r="I162" s="28">
        <f t="shared" si="4"/>
        <v>2647.8914742344218</v>
      </c>
      <c r="J162" s="28">
        <f t="shared" si="4"/>
        <v>4652.1522139159197</v>
      </c>
      <c r="K162" s="28">
        <f t="shared" si="4"/>
        <v>7011.5605404804201</v>
      </c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3:26" outlineLevel="1" x14ac:dyDescent="0.3">
      <c r="C163" s="73" t="s">
        <v>120</v>
      </c>
      <c r="D163" s="19"/>
      <c r="E163" s="19"/>
      <c r="F163" s="29" t="s">
        <v>62</v>
      </c>
      <c r="G163" s="61">
        <v>0</v>
      </c>
      <c r="H163" s="101">
        <f>H162/G162-1</f>
        <v>2.3729761329302961</v>
      </c>
      <c r="I163" s="101">
        <f>I162/H162-1</f>
        <v>2.5453714109442855</v>
      </c>
      <c r="J163" s="101">
        <f>J162/I162-1</f>
        <v>0.75692707166595063</v>
      </c>
      <c r="K163" s="101">
        <f>K162/J162-1</f>
        <v>0.50716490305429707</v>
      </c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3:26" outlineLevel="1" x14ac:dyDescent="0.3">
      <c r="C164" s="73"/>
      <c r="D164" s="19"/>
      <c r="E164" s="19"/>
      <c r="F164" s="29"/>
      <c r="G164" s="73"/>
      <c r="H164" s="73"/>
      <c r="I164" s="73"/>
      <c r="J164" s="73"/>
      <c r="K164" s="73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3:26" outlineLevel="1" x14ac:dyDescent="0.3">
      <c r="C165" s="73" t="s">
        <v>223</v>
      </c>
      <c r="D165" s="19"/>
      <c r="E165" s="19"/>
      <c r="F165" s="29" t="s">
        <v>63</v>
      </c>
      <c r="G165" s="28">
        <f>G162</f>
        <v>221.42424615384601</v>
      </c>
      <c r="H165" s="28">
        <f t="shared" ref="H165:K165" si="5">H162</f>
        <v>746.85869752900555</v>
      </c>
      <c r="I165" s="28">
        <f t="shared" si="5"/>
        <v>2647.8914742344218</v>
      </c>
      <c r="J165" s="28">
        <f t="shared" si="5"/>
        <v>4652.1522139159197</v>
      </c>
      <c r="K165" s="28">
        <f t="shared" si="5"/>
        <v>7011.5605404804201</v>
      </c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3:26" outlineLevel="1" x14ac:dyDescent="0.3">
      <c r="C166" s="73"/>
      <c r="D166" s="19"/>
      <c r="E166" s="19"/>
      <c r="F166" s="29"/>
      <c r="G166" s="73"/>
      <c r="H166" s="73"/>
      <c r="I166" s="73"/>
      <c r="J166" s="73"/>
      <c r="K166" s="73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3:26" outlineLevel="1" x14ac:dyDescent="0.3">
      <c r="C167" s="19" t="s">
        <v>172</v>
      </c>
      <c r="D167" s="19"/>
      <c r="E167" s="19"/>
      <c r="F167" s="27" t="s">
        <v>62</v>
      </c>
      <c r="G167" s="110">
        <v>0</v>
      </c>
      <c r="H167" s="110">
        <v>0.5</v>
      </c>
      <c r="I167" s="110">
        <v>0.5</v>
      </c>
      <c r="J167" s="110">
        <v>0.5</v>
      </c>
      <c r="K167" s="110">
        <v>0.5</v>
      </c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3:26" outlineLevel="1" x14ac:dyDescent="0.3">
      <c r="C168" s="73"/>
      <c r="D168" s="19"/>
      <c r="E168" s="19"/>
      <c r="F168" s="29"/>
      <c r="G168" s="73"/>
      <c r="H168" s="73"/>
      <c r="I168" s="73"/>
      <c r="J168" s="73"/>
      <c r="K168" s="73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3:26" outlineLevel="1" x14ac:dyDescent="0.3">
      <c r="C169" s="72" t="s">
        <v>287</v>
      </c>
      <c r="D169" s="19"/>
      <c r="E169" s="19"/>
      <c r="F169" s="29" t="s">
        <v>63</v>
      </c>
      <c r="G169" s="28">
        <f>G165+0*(1-G167)</f>
        <v>221.42424615384601</v>
      </c>
      <c r="H169" s="28">
        <f>+H165+G169*(1-H167)</f>
        <v>857.57082060592859</v>
      </c>
      <c r="I169" s="28">
        <f>+I165+H169*(1-I167)</f>
        <v>3076.6768845373863</v>
      </c>
      <c r="J169" s="28">
        <f>+J165+I169*(1-J167)</f>
        <v>6190.4906561846128</v>
      </c>
      <c r="K169" s="28">
        <f>+K165+J169*(1-K167)</f>
        <v>10106.805868572726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3:26" outlineLevel="1" x14ac:dyDescent="0.3">
      <c r="C170" s="73" t="s">
        <v>141</v>
      </c>
      <c r="D170" s="19"/>
      <c r="E170" s="19"/>
      <c r="F170" s="29" t="s">
        <v>62</v>
      </c>
      <c r="G170" s="110">
        <v>0</v>
      </c>
      <c r="H170" s="61">
        <f>H169/G169-1</f>
        <v>2.8729761329302965</v>
      </c>
      <c r="I170" s="61">
        <f>I169/H169-1</f>
        <v>2.5876650774609113</v>
      </c>
      <c r="J170" s="61">
        <f>J169/I169-1</f>
        <v>1.0120704540982124</v>
      </c>
      <c r="K170" s="61">
        <f>K169/J169-1</f>
        <v>0.63263405598965194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3:26" outlineLevel="1" x14ac:dyDescent="0.3">
      <c r="C171" s="73"/>
      <c r="D171" s="19"/>
      <c r="E171" s="19"/>
      <c r="F171" s="29"/>
      <c r="G171" s="73"/>
      <c r="H171" s="73"/>
      <c r="I171" s="73"/>
      <c r="J171" s="73"/>
      <c r="K171" s="73"/>
      <c r="M171" s="63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3:26" outlineLevel="1" x14ac:dyDescent="0.3">
      <c r="C172" s="20" t="s">
        <v>224</v>
      </c>
      <c r="D172" s="19"/>
      <c r="E172" s="19"/>
      <c r="F172" s="27" t="s">
        <v>112</v>
      </c>
      <c r="G172" s="31">
        <v>150</v>
      </c>
      <c r="H172" s="31">
        <v>150</v>
      </c>
      <c r="I172" s="31">
        <v>150</v>
      </c>
      <c r="J172" s="31">
        <v>150</v>
      </c>
      <c r="K172" s="31">
        <v>150</v>
      </c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3:26" outlineLevel="1" x14ac:dyDescent="0.3">
      <c r="C173" s="20" t="s">
        <v>156</v>
      </c>
      <c r="D173" s="19"/>
      <c r="E173" s="19"/>
      <c r="F173" s="27" t="s">
        <v>63</v>
      </c>
      <c r="G173" s="31">
        <v>9</v>
      </c>
      <c r="H173" s="31">
        <v>12</v>
      </c>
      <c r="I173" s="31">
        <v>12</v>
      </c>
      <c r="J173" s="31">
        <v>12</v>
      </c>
      <c r="K173" s="31">
        <v>12</v>
      </c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3:26" outlineLevel="1" x14ac:dyDescent="0.3">
      <c r="C174" s="20"/>
      <c r="D174" s="19"/>
      <c r="E174" s="19"/>
      <c r="F174" s="27"/>
      <c r="G174" s="31"/>
      <c r="H174" s="31"/>
      <c r="I174" s="31"/>
      <c r="J174" s="31"/>
      <c r="K174" s="31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3:26" outlineLevel="1" x14ac:dyDescent="0.3">
      <c r="C175" s="73" t="s">
        <v>173</v>
      </c>
      <c r="D175" s="19"/>
      <c r="E175" s="19"/>
      <c r="F175" s="29" t="s">
        <v>112</v>
      </c>
      <c r="G175" s="28">
        <f>G169*G172*G173</f>
        <v>298922.73230769217</v>
      </c>
      <c r="H175" s="28">
        <f t="shared" ref="H175:J175" si="6">H169*H172*H173</f>
        <v>1543627.4770906714</v>
      </c>
      <c r="I175" s="28">
        <f t="shared" si="6"/>
        <v>5538018.3921672953</v>
      </c>
      <c r="J175" s="28">
        <f t="shared" si="6"/>
        <v>11142883.181132304</v>
      </c>
      <c r="K175" s="28">
        <f>K169*K172*K173</f>
        <v>18192250.563430905</v>
      </c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3:26" outlineLevel="1" x14ac:dyDescent="0.3">
      <c r="C176" s="73"/>
      <c r="D176" s="19"/>
      <c r="E176" s="19"/>
      <c r="F176" s="29"/>
      <c r="G176" s="28"/>
      <c r="H176" s="28"/>
      <c r="I176" s="28"/>
      <c r="J176" s="28"/>
      <c r="K176" s="28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3:26" outlineLevel="1" x14ac:dyDescent="0.3">
      <c r="C177" s="20" t="s">
        <v>266</v>
      </c>
      <c r="D177" s="19"/>
      <c r="E177" s="19"/>
      <c r="F177" s="27" t="s">
        <v>112</v>
      </c>
      <c r="G177" s="31">
        <v>10</v>
      </c>
      <c r="H177" s="31">
        <v>15</v>
      </c>
      <c r="I177" s="31">
        <v>20</v>
      </c>
      <c r="J177" s="31">
        <v>25</v>
      </c>
      <c r="K177" s="31">
        <v>30</v>
      </c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3:26" outlineLevel="1" x14ac:dyDescent="0.3">
      <c r="C178" s="20" t="s">
        <v>267</v>
      </c>
      <c r="D178" s="19"/>
      <c r="E178" s="19"/>
      <c r="F178" s="27" t="s">
        <v>63</v>
      </c>
      <c r="G178" s="31">
        <v>365</v>
      </c>
      <c r="H178" s="31">
        <v>365</v>
      </c>
      <c r="I178" s="31">
        <v>365</v>
      </c>
      <c r="J178" s="31">
        <v>365</v>
      </c>
      <c r="K178" s="31">
        <v>365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3:26" outlineLevel="1" x14ac:dyDescent="0.3">
      <c r="C179" s="20" t="s">
        <v>268</v>
      </c>
      <c r="D179" s="19"/>
      <c r="E179" s="19"/>
      <c r="F179" s="27" t="s">
        <v>63</v>
      </c>
      <c r="G179" s="31">
        <v>10</v>
      </c>
      <c r="H179" s="31">
        <v>10</v>
      </c>
      <c r="I179" s="31">
        <v>10</v>
      </c>
      <c r="J179" s="31">
        <v>10</v>
      </c>
      <c r="K179" s="31">
        <v>10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3:26" outlineLevel="1" x14ac:dyDescent="0.3">
      <c r="C180" s="20" t="s">
        <v>269</v>
      </c>
      <c r="D180" s="19"/>
      <c r="E180" s="19"/>
      <c r="F180" s="27" t="s">
        <v>63</v>
      </c>
      <c r="G180" s="31">
        <v>60</v>
      </c>
      <c r="H180" s="31">
        <v>60</v>
      </c>
      <c r="I180" s="31">
        <v>60</v>
      </c>
      <c r="J180" s="31">
        <v>60</v>
      </c>
      <c r="K180" s="31">
        <v>60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3:26" outlineLevel="1" x14ac:dyDescent="0.3">
      <c r="C181" s="20"/>
      <c r="D181" s="19"/>
      <c r="E181" s="19"/>
      <c r="F181" s="27"/>
      <c r="G181" s="31"/>
      <c r="H181" s="31"/>
      <c r="I181" s="31"/>
      <c r="J181" s="31"/>
      <c r="K181" s="31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3:26" outlineLevel="1" x14ac:dyDescent="0.3">
      <c r="C182" s="73" t="s">
        <v>270</v>
      </c>
      <c r="D182" s="19"/>
      <c r="E182" s="19"/>
      <c r="F182" s="29" t="s">
        <v>112</v>
      </c>
      <c r="G182" s="28">
        <f>G177*G178*G179*G180</f>
        <v>2190000</v>
      </c>
      <c r="H182" s="28">
        <f t="shared" ref="H182:J182" si="7">H177*H178*H179*H180</f>
        <v>3285000</v>
      </c>
      <c r="I182" s="28">
        <f t="shared" si="7"/>
        <v>4380000</v>
      </c>
      <c r="J182" s="28">
        <f t="shared" si="7"/>
        <v>5475000</v>
      </c>
      <c r="K182" s="28">
        <f>K177*K178*K179*K180</f>
        <v>6570000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3:26" outlineLevel="1" x14ac:dyDescent="0.3">
      <c r="C183" s="73"/>
      <c r="D183" s="19"/>
      <c r="E183" s="19"/>
      <c r="F183" s="29"/>
      <c r="G183" s="28"/>
      <c r="H183" s="28"/>
      <c r="I183" s="28"/>
      <c r="J183" s="28"/>
      <c r="K183" s="28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3:26" outlineLevel="1" x14ac:dyDescent="0.3">
      <c r="C184" s="20" t="s">
        <v>271</v>
      </c>
      <c r="D184" s="19"/>
      <c r="E184" s="19"/>
      <c r="F184" s="27" t="s">
        <v>112</v>
      </c>
      <c r="G184" s="31">
        <f>40*50</f>
        <v>2000</v>
      </c>
      <c r="H184" s="31">
        <v>2500</v>
      </c>
      <c r="I184" s="31">
        <v>3000</v>
      </c>
      <c r="J184" s="31">
        <v>3500</v>
      </c>
      <c r="K184" s="31">
        <v>4000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3:26" outlineLevel="1" x14ac:dyDescent="0.3">
      <c r="C185" s="20" t="s">
        <v>267</v>
      </c>
      <c r="D185" s="19"/>
      <c r="E185" s="19"/>
      <c r="F185" s="27" t="s">
        <v>63</v>
      </c>
      <c r="G185" s="31">
        <v>365</v>
      </c>
      <c r="H185" s="31">
        <v>365</v>
      </c>
      <c r="I185" s="31">
        <v>365</v>
      </c>
      <c r="J185" s="31">
        <v>365</v>
      </c>
      <c r="K185" s="31">
        <v>365</v>
      </c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3:26" outlineLevel="1" x14ac:dyDescent="0.3">
      <c r="C186" s="20"/>
      <c r="D186" s="19"/>
      <c r="E186" s="19"/>
      <c r="F186" s="27"/>
      <c r="G186" s="31"/>
      <c r="H186" s="31"/>
      <c r="I186" s="31"/>
      <c r="J186" s="31"/>
      <c r="K186" s="31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3:26" outlineLevel="1" x14ac:dyDescent="0.3">
      <c r="C187" s="73" t="s">
        <v>272</v>
      </c>
      <c r="D187" s="19"/>
      <c r="E187" s="19"/>
      <c r="F187" s="29" t="s">
        <v>112</v>
      </c>
      <c r="G187" s="28">
        <f>G184*G185</f>
        <v>730000</v>
      </c>
      <c r="H187" s="28">
        <f t="shared" ref="H187:K187" si="8">H184*H185</f>
        <v>912500</v>
      </c>
      <c r="I187" s="28">
        <f t="shared" si="8"/>
        <v>1095000</v>
      </c>
      <c r="J187" s="28">
        <f t="shared" si="8"/>
        <v>1277500</v>
      </c>
      <c r="K187" s="28">
        <f t="shared" si="8"/>
        <v>1460000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3:26" outlineLevel="1" x14ac:dyDescent="0.3">
      <c r="C188" s="73"/>
      <c r="D188" s="19"/>
      <c r="E188" s="19"/>
      <c r="F188" s="29"/>
      <c r="G188" s="28"/>
      <c r="H188" s="28"/>
      <c r="I188" s="28"/>
      <c r="J188" s="28"/>
      <c r="K188" s="28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3:26" outlineLevel="1" x14ac:dyDescent="0.3">
      <c r="C189" s="20" t="s">
        <v>262</v>
      </c>
      <c r="D189" s="19"/>
      <c r="E189" s="19"/>
      <c r="F189" s="27" t="s">
        <v>112</v>
      </c>
      <c r="G189" s="31">
        <v>30</v>
      </c>
      <c r="H189" s="31">
        <v>30</v>
      </c>
      <c r="I189" s="31">
        <v>30</v>
      </c>
      <c r="J189" s="31">
        <v>30</v>
      </c>
      <c r="K189" s="31">
        <v>30</v>
      </c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3:26" outlineLevel="1" x14ac:dyDescent="0.3">
      <c r="C190" s="20" t="s">
        <v>131</v>
      </c>
      <c r="D190" s="19"/>
      <c r="E190" s="19"/>
      <c r="F190" s="27" t="s">
        <v>63</v>
      </c>
      <c r="G190" s="31">
        <v>9</v>
      </c>
      <c r="H190" s="31">
        <v>12</v>
      </c>
      <c r="I190" s="31">
        <v>12</v>
      </c>
      <c r="J190" s="31">
        <v>12</v>
      </c>
      <c r="K190" s="31">
        <v>12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3:26" outlineLevel="1" x14ac:dyDescent="0.3">
      <c r="C191" s="20"/>
      <c r="D191" s="19"/>
      <c r="E191" s="19"/>
      <c r="F191" s="27"/>
      <c r="G191" s="31"/>
      <c r="H191" s="31"/>
      <c r="I191" s="31"/>
      <c r="J191" s="31"/>
      <c r="K191" s="31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3:26" outlineLevel="1" x14ac:dyDescent="0.3">
      <c r="C192" s="73" t="s">
        <v>263</v>
      </c>
      <c r="D192" s="19"/>
      <c r="E192" s="19"/>
      <c r="F192" s="29" t="s">
        <v>112</v>
      </c>
      <c r="G192" s="28">
        <f>G169*G189*G190</f>
        <v>59784.546461538426</v>
      </c>
      <c r="H192" s="28">
        <f>H169*H189*H190</f>
        <v>308725.49541813432</v>
      </c>
      <c r="I192" s="28">
        <f>I169*I189*I190</f>
        <v>1107603.678433459</v>
      </c>
      <c r="J192" s="28">
        <f>J169*J189*J190</f>
        <v>2228576.6362264603</v>
      </c>
      <c r="K192" s="28">
        <f>K169*K189*K190</f>
        <v>3638450.1126861814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3:26" outlineLevel="1" x14ac:dyDescent="0.3">
      <c r="C193" s="73"/>
      <c r="D193" s="19"/>
      <c r="E193" s="19"/>
      <c r="F193" s="29"/>
      <c r="G193" s="28"/>
      <c r="H193" s="28"/>
      <c r="I193" s="28"/>
      <c r="J193" s="28"/>
      <c r="K193" s="28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3:26" outlineLevel="1" x14ac:dyDescent="0.3">
      <c r="C194" s="73" t="s">
        <v>264</v>
      </c>
      <c r="D194" s="19"/>
      <c r="E194" s="19"/>
      <c r="F194" s="29" t="s">
        <v>112</v>
      </c>
      <c r="G194" s="28">
        <v>49621.173563076889</v>
      </c>
      <c r="H194" s="28">
        <v>256242.16119705146</v>
      </c>
      <c r="I194" s="28">
        <v>919311.05309977091</v>
      </c>
      <c r="J194" s="28">
        <v>1849718.6080679619</v>
      </c>
      <c r="K194" s="28">
        <v>3019913.5935295303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3:26" outlineLevel="1" x14ac:dyDescent="0.3">
      <c r="C195" s="73"/>
      <c r="D195" s="24"/>
      <c r="E195" s="19"/>
      <c r="F195" s="29"/>
      <c r="G195" s="28"/>
      <c r="H195" s="28"/>
      <c r="I195" s="28"/>
      <c r="J195" s="28"/>
      <c r="K195" s="28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3:26" outlineLevel="1" x14ac:dyDescent="0.3">
      <c r="C196" s="73" t="s">
        <v>265</v>
      </c>
      <c r="D196" s="19"/>
      <c r="E196" s="19"/>
      <c r="F196" s="29" t="s">
        <v>112</v>
      </c>
      <c r="G196" s="152">
        <f>G192-G194</f>
        <v>10163.372898461537</v>
      </c>
      <c r="H196" s="152">
        <f t="shared" ref="H196:K196" si="9">H192-H194</f>
        <v>52483.334221082856</v>
      </c>
      <c r="I196" s="152">
        <f t="shared" si="9"/>
        <v>188292.62533368811</v>
      </c>
      <c r="J196" s="152">
        <f t="shared" si="9"/>
        <v>378858.02815849846</v>
      </c>
      <c r="K196" s="152">
        <f t="shared" si="9"/>
        <v>618536.51915665111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3:26" outlineLevel="1" x14ac:dyDescent="0.3">
      <c r="C197" s="73"/>
      <c r="D197" s="19"/>
      <c r="E197" s="19"/>
      <c r="F197" s="29"/>
      <c r="G197" s="28"/>
      <c r="H197" s="28"/>
      <c r="I197" s="28"/>
      <c r="J197" s="28"/>
      <c r="K197" s="28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3:26" outlineLevel="1" x14ac:dyDescent="0.3">
      <c r="C198" s="73" t="s">
        <v>140</v>
      </c>
      <c r="D198" s="63"/>
      <c r="E198" s="19"/>
      <c r="F198" s="29" t="s">
        <v>112</v>
      </c>
      <c r="G198" s="28">
        <f>G175+G182+G187+G196</f>
        <v>3229086.1052061538</v>
      </c>
      <c r="H198" s="28">
        <f t="shared" ref="H198:K198" si="10">H175+H182+H187+H196</f>
        <v>5793610.8113117544</v>
      </c>
      <c r="I198" s="28">
        <f t="shared" si="10"/>
        <v>11201311.017500984</v>
      </c>
      <c r="J198" s="28">
        <f t="shared" si="10"/>
        <v>18274241.209290799</v>
      </c>
      <c r="K198" s="28">
        <f t="shared" si="10"/>
        <v>26840787.082587555</v>
      </c>
      <c r="L198" s="63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3:26" outlineLevel="1" x14ac:dyDescent="0.3">
      <c r="C199" s="73" t="s">
        <v>141</v>
      </c>
      <c r="D199" s="63"/>
      <c r="E199" s="19"/>
      <c r="F199" s="29" t="s">
        <v>62</v>
      </c>
      <c r="G199" s="61">
        <v>0</v>
      </c>
      <c r="H199" s="101">
        <f>H198/G198-1</f>
        <v>0.79419520649229458</v>
      </c>
      <c r="I199" s="101">
        <f>I198/H198-1</f>
        <v>0.93339031258898975</v>
      </c>
      <c r="J199" s="101">
        <f>J198/I198-1</f>
        <v>0.63143771124103543</v>
      </c>
      <c r="K199" s="101">
        <f>K198/J198-1</f>
        <v>0.46877710407704609</v>
      </c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3:26" outlineLevel="1" x14ac:dyDescent="0.3">
      <c r="C200" s="20"/>
      <c r="D200" s="63"/>
      <c r="E200" s="19"/>
      <c r="F200" s="29"/>
      <c r="G200" s="28"/>
      <c r="H200" s="28"/>
      <c r="I200" s="28"/>
      <c r="J200" s="28"/>
      <c r="K200" s="28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3:26" outlineLevel="1" x14ac:dyDescent="0.3">
      <c r="C201" s="30" t="s">
        <v>75</v>
      </c>
      <c r="D201" s="19"/>
      <c r="E201" s="19"/>
      <c r="F201" s="29" t="s">
        <v>112</v>
      </c>
      <c r="G201" s="28">
        <f>G206+G211+G216</f>
        <v>136755</v>
      </c>
      <c r="H201" s="28">
        <f t="shared" ref="H201:J201" si="11">H206+H211+H216</f>
        <v>227925</v>
      </c>
      <c r="I201" s="28">
        <f t="shared" si="11"/>
        <v>284906.25</v>
      </c>
      <c r="J201" s="28">
        <f t="shared" si="11"/>
        <v>356132.8125</v>
      </c>
      <c r="K201" s="28">
        <f>K206+K211+K216</f>
        <v>445166.015625</v>
      </c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3:26" outlineLevel="1" x14ac:dyDescent="0.3">
      <c r="C202" s="20"/>
      <c r="D202" s="19"/>
      <c r="E202" s="19"/>
      <c r="F202" s="27"/>
      <c r="G202" s="108"/>
      <c r="H202" s="108"/>
      <c r="I202" s="108"/>
      <c r="J202" s="108"/>
      <c r="K202" s="108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3:26" outlineLevel="1" x14ac:dyDescent="0.3">
      <c r="C203" s="32" t="s">
        <v>130</v>
      </c>
      <c r="D203" s="119"/>
      <c r="E203" s="19"/>
      <c r="F203" s="27" t="s">
        <v>63</v>
      </c>
      <c r="G203" s="31">
        <v>3</v>
      </c>
      <c r="H203" s="31">
        <v>3</v>
      </c>
      <c r="I203" s="31">
        <v>3</v>
      </c>
      <c r="J203" s="31">
        <v>3</v>
      </c>
      <c r="K203" s="31">
        <v>3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3:26" outlineLevel="1" x14ac:dyDescent="0.3">
      <c r="C204" s="32" t="s">
        <v>288</v>
      </c>
      <c r="D204" s="19"/>
      <c r="E204" s="19"/>
      <c r="F204" s="27" t="s">
        <v>112</v>
      </c>
      <c r="G204" s="31">
        <v>3575</v>
      </c>
      <c r="H204" s="31">
        <f>G204*1.25</f>
        <v>4468.75</v>
      </c>
      <c r="I204" s="31">
        <f t="shared" ref="I204:K204" si="12">H204*1.25</f>
        <v>5585.9375</v>
      </c>
      <c r="J204" s="31">
        <f t="shared" si="12"/>
        <v>6982.421875</v>
      </c>
      <c r="K204" s="31">
        <f t="shared" si="12"/>
        <v>8728.02734375</v>
      </c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3:26" outlineLevel="1" x14ac:dyDescent="0.3">
      <c r="C205" s="32" t="s">
        <v>131</v>
      </c>
      <c r="D205" s="19"/>
      <c r="E205" s="19"/>
      <c r="F205" s="27" t="s">
        <v>129</v>
      </c>
      <c r="G205" s="31">
        <v>9</v>
      </c>
      <c r="H205" s="31">
        <v>12</v>
      </c>
      <c r="I205" s="31">
        <v>12</v>
      </c>
      <c r="J205" s="31">
        <v>12</v>
      </c>
      <c r="K205" s="31">
        <v>12</v>
      </c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3:26" outlineLevel="1" x14ac:dyDescent="0.3">
      <c r="C206" s="30" t="s">
        <v>113</v>
      </c>
      <c r="D206" s="19"/>
      <c r="E206" s="19"/>
      <c r="F206" s="29" t="s">
        <v>112</v>
      </c>
      <c r="G206" s="28">
        <f>G203*G204*G205</f>
        <v>96525</v>
      </c>
      <c r="H206" s="28">
        <f>H203*H204*H205</f>
        <v>160875</v>
      </c>
      <c r="I206" s="28">
        <f>I203*I204*I205</f>
        <v>201093.75</v>
      </c>
      <c r="J206" s="28">
        <f>J203*J204*J205</f>
        <v>251367.1875</v>
      </c>
      <c r="K206" s="28">
        <f>K203*K204*K205</f>
        <v>314208.984375</v>
      </c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3:26" outlineLevel="1" x14ac:dyDescent="0.3">
      <c r="C207" s="20"/>
      <c r="D207" s="65"/>
      <c r="E207" s="19"/>
      <c r="F207" s="27"/>
      <c r="G207" s="31"/>
      <c r="H207" s="31"/>
      <c r="I207" s="31"/>
      <c r="J207" s="31"/>
      <c r="K207" s="31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3:26" outlineLevel="1" x14ac:dyDescent="0.3">
      <c r="C208" s="32" t="s">
        <v>174</v>
      </c>
      <c r="D208" s="19"/>
      <c r="E208" s="19"/>
      <c r="F208" s="27" t="s">
        <v>63</v>
      </c>
      <c r="G208" s="31">
        <v>1</v>
      </c>
      <c r="H208" s="31">
        <v>1</v>
      </c>
      <c r="I208" s="31">
        <v>1</v>
      </c>
      <c r="J208" s="31">
        <v>1</v>
      </c>
      <c r="K208" s="31">
        <v>1</v>
      </c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3:26" outlineLevel="1" x14ac:dyDescent="0.3">
      <c r="C209" s="32" t="s">
        <v>288</v>
      </c>
      <c r="D209" s="19"/>
      <c r="E209" s="19"/>
      <c r="F209" s="27" t="s">
        <v>112</v>
      </c>
      <c r="G209" s="31">
        <v>2235</v>
      </c>
      <c r="H209" s="31">
        <f>G209*1.25</f>
        <v>2793.75</v>
      </c>
      <c r="I209" s="31">
        <f t="shared" ref="I209:K209" si="13">H209*1.25</f>
        <v>3492.1875</v>
      </c>
      <c r="J209" s="31">
        <f t="shared" si="13"/>
        <v>4365.234375</v>
      </c>
      <c r="K209" s="31">
        <f t="shared" si="13"/>
        <v>5456.54296875</v>
      </c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3:26" outlineLevel="1" x14ac:dyDescent="0.3">
      <c r="C210" s="32" t="s">
        <v>131</v>
      </c>
      <c r="D210" s="19"/>
      <c r="E210" s="19"/>
      <c r="F210" s="27" t="s">
        <v>129</v>
      </c>
      <c r="G210" s="31">
        <v>9</v>
      </c>
      <c r="H210" s="31">
        <v>12</v>
      </c>
      <c r="I210" s="31">
        <v>12</v>
      </c>
      <c r="J210" s="31">
        <v>12</v>
      </c>
      <c r="K210" s="31">
        <v>12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3:26" outlineLevel="1" x14ac:dyDescent="0.3">
      <c r="C211" s="30" t="s">
        <v>113</v>
      </c>
      <c r="D211" s="19"/>
      <c r="E211" s="19"/>
      <c r="F211" s="29" t="s">
        <v>112</v>
      </c>
      <c r="G211" s="28">
        <f>G208*G209*G210</f>
        <v>20115</v>
      </c>
      <c r="H211" s="28">
        <f>H208*H209*H210</f>
        <v>33525</v>
      </c>
      <c r="I211" s="28">
        <f>I208*I209*I210</f>
        <v>41906.25</v>
      </c>
      <c r="J211" s="28">
        <f>J208*J209*J210</f>
        <v>52382.8125</v>
      </c>
      <c r="K211" s="28">
        <f>K208*K209*K210</f>
        <v>65478.515625</v>
      </c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3:26" outlineLevel="1" x14ac:dyDescent="0.3">
      <c r="C212" s="30"/>
      <c r="D212" s="19"/>
      <c r="E212" s="19"/>
      <c r="F212" s="29"/>
      <c r="G212" s="28"/>
      <c r="H212" s="28"/>
      <c r="I212" s="28"/>
      <c r="J212" s="28"/>
      <c r="K212" s="28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3:26" outlineLevel="1" x14ac:dyDescent="0.3">
      <c r="C213" s="32" t="s">
        <v>175</v>
      </c>
      <c r="D213" s="19"/>
      <c r="E213" s="19"/>
      <c r="F213" s="27" t="s">
        <v>63</v>
      </c>
      <c r="G213" s="31">
        <v>1</v>
      </c>
      <c r="H213" s="31">
        <v>1</v>
      </c>
      <c r="I213" s="31">
        <v>1</v>
      </c>
      <c r="J213" s="31">
        <v>1</v>
      </c>
      <c r="K213" s="31">
        <v>1</v>
      </c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3:26" outlineLevel="1" x14ac:dyDescent="0.3">
      <c r="C214" s="32" t="s">
        <v>288</v>
      </c>
      <c r="D214" s="19"/>
      <c r="E214" s="19"/>
      <c r="F214" s="27" t="s">
        <v>112</v>
      </c>
      <c r="G214" s="31">
        <v>2235</v>
      </c>
      <c r="H214" s="31">
        <f>G214*1.25</f>
        <v>2793.75</v>
      </c>
      <c r="I214" s="31">
        <f t="shared" ref="I214:K214" si="14">H214*1.25</f>
        <v>3492.1875</v>
      </c>
      <c r="J214" s="31">
        <f t="shared" si="14"/>
        <v>4365.234375</v>
      </c>
      <c r="K214" s="31">
        <f t="shared" si="14"/>
        <v>5456.54296875</v>
      </c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3:26" outlineLevel="1" x14ac:dyDescent="0.3">
      <c r="C215" s="32" t="s">
        <v>131</v>
      </c>
      <c r="D215" s="19"/>
      <c r="E215" s="19"/>
      <c r="F215" s="27" t="s">
        <v>129</v>
      </c>
      <c r="G215" s="31">
        <v>9</v>
      </c>
      <c r="H215" s="31">
        <v>12</v>
      </c>
      <c r="I215" s="31">
        <v>12</v>
      </c>
      <c r="J215" s="31">
        <v>12</v>
      </c>
      <c r="K215" s="31">
        <v>12</v>
      </c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3:26" outlineLevel="1" x14ac:dyDescent="0.3">
      <c r="C216" s="30" t="s">
        <v>113</v>
      </c>
      <c r="D216" s="19"/>
      <c r="E216" s="19"/>
      <c r="F216" s="29" t="s">
        <v>112</v>
      </c>
      <c r="G216" s="28">
        <f>G213*G214*G215</f>
        <v>20115</v>
      </c>
      <c r="H216" s="28">
        <f>H213*H214*H215</f>
        <v>33525</v>
      </c>
      <c r="I216" s="28">
        <f>I213*I214*I215</f>
        <v>41906.25</v>
      </c>
      <c r="J216" s="28">
        <f>J213*J214*J215</f>
        <v>52382.8125</v>
      </c>
      <c r="K216" s="28">
        <f>K213*K214*K215</f>
        <v>65478.515625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3:26" outlineLevel="1" x14ac:dyDescent="0.3">
      <c r="C217" s="30"/>
      <c r="D217" s="19"/>
      <c r="E217" s="19"/>
      <c r="F217" s="29"/>
      <c r="G217" s="28"/>
      <c r="H217" s="28"/>
      <c r="I217" s="28"/>
      <c r="J217" s="28"/>
      <c r="K217" s="28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3:26" outlineLevel="1" x14ac:dyDescent="0.3">
      <c r="C218" s="30" t="s">
        <v>142</v>
      </c>
      <c r="D218" s="19"/>
      <c r="E218" s="19"/>
      <c r="F218" s="29" t="s">
        <v>112</v>
      </c>
      <c r="G218" s="28">
        <f>G223+G228+G233+G238+G243+G248+G253+G258+G263</f>
        <v>152055</v>
      </c>
      <c r="H218" s="28">
        <f t="shared" ref="H218:J218" si="15">H223+H228+H233+H238+H243+H248+H253+H258+H263</f>
        <v>223014</v>
      </c>
      <c r="I218" s="28">
        <f t="shared" si="15"/>
        <v>479014.80000000005</v>
      </c>
      <c r="J218" s="28">
        <f t="shared" si="15"/>
        <v>526916.28</v>
      </c>
      <c r="K218" s="28">
        <f>K223+K228+K233+K238+K243+K248+K253+K258+K263</f>
        <v>1074883.6560000004</v>
      </c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3:26" outlineLevel="1" x14ac:dyDescent="0.3">
      <c r="C219" s="30"/>
      <c r="D219" s="19"/>
      <c r="E219" s="19"/>
      <c r="F219" s="29"/>
      <c r="G219" s="28"/>
      <c r="H219" s="28"/>
      <c r="I219" s="28"/>
      <c r="J219" s="28"/>
      <c r="K219" s="28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3:26" outlineLevel="1" x14ac:dyDescent="0.3">
      <c r="C220" s="19" t="s">
        <v>202</v>
      </c>
      <c r="D220" s="19"/>
      <c r="E220" s="19"/>
      <c r="F220" s="27" t="s">
        <v>63</v>
      </c>
      <c r="G220" s="31">
        <v>1</v>
      </c>
      <c r="H220" s="31">
        <v>1</v>
      </c>
      <c r="I220" s="31">
        <v>2</v>
      </c>
      <c r="J220" s="31">
        <v>2</v>
      </c>
      <c r="K220" s="31">
        <v>4</v>
      </c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3:26" outlineLevel="1" x14ac:dyDescent="0.3">
      <c r="C221" s="19" t="s">
        <v>133</v>
      </c>
      <c r="D221" s="65"/>
      <c r="E221" s="19"/>
      <c r="F221" s="27" t="s">
        <v>63</v>
      </c>
      <c r="G221" s="31">
        <v>9</v>
      </c>
      <c r="H221" s="31">
        <v>12</v>
      </c>
      <c r="I221" s="31">
        <v>12</v>
      </c>
      <c r="J221" s="31">
        <v>12</v>
      </c>
      <c r="K221" s="31">
        <v>12</v>
      </c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3:26" outlineLevel="1" x14ac:dyDescent="0.3">
      <c r="C222" s="19" t="s">
        <v>134</v>
      </c>
      <c r="D222" s="65"/>
      <c r="E222" s="64"/>
      <c r="F222" s="27" t="s">
        <v>112</v>
      </c>
      <c r="G222" s="31">
        <v>2235</v>
      </c>
      <c r="H222" s="31">
        <f>G222*1.1</f>
        <v>2458.5</v>
      </c>
      <c r="I222" s="31">
        <f t="shared" ref="I222:K222" si="16">H222*1.1</f>
        <v>2704.3500000000004</v>
      </c>
      <c r="J222" s="31">
        <f t="shared" si="16"/>
        <v>2974.7850000000008</v>
      </c>
      <c r="K222" s="31">
        <f t="shared" si="16"/>
        <v>3272.2635000000009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3:26" outlineLevel="1" x14ac:dyDescent="0.3">
      <c r="C223" s="30" t="s">
        <v>203</v>
      </c>
      <c r="D223" s="19"/>
      <c r="E223" s="19"/>
      <c r="F223" s="29" t="s">
        <v>112</v>
      </c>
      <c r="G223" s="28">
        <f>G220*G221*G222</f>
        <v>20115</v>
      </c>
      <c r="H223" s="28">
        <f>H220*H221*H222</f>
        <v>29502</v>
      </c>
      <c r="I223" s="28">
        <f>I220*I221*I222</f>
        <v>64904.400000000009</v>
      </c>
      <c r="J223" s="28">
        <f>J220*J221*J222</f>
        <v>71394.840000000026</v>
      </c>
      <c r="K223" s="28">
        <f>K220*K221*K222</f>
        <v>157068.64800000004</v>
      </c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3:26" outlineLevel="1" x14ac:dyDescent="0.3">
      <c r="C224" s="30"/>
      <c r="D224" s="19"/>
      <c r="E224" s="19"/>
      <c r="F224" s="29"/>
      <c r="G224" s="28"/>
      <c r="H224" s="28"/>
      <c r="I224" s="28"/>
      <c r="J224" s="28"/>
      <c r="K224" s="28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3:26" outlineLevel="1" x14ac:dyDescent="0.3">
      <c r="C225" s="19" t="s">
        <v>204</v>
      </c>
      <c r="D225" s="19"/>
      <c r="E225" s="19"/>
      <c r="F225" s="27" t="s">
        <v>63</v>
      </c>
      <c r="G225" s="31">
        <v>1</v>
      </c>
      <c r="H225" s="31">
        <v>1</v>
      </c>
      <c r="I225" s="31">
        <v>2</v>
      </c>
      <c r="J225" s="31">
        <v>2</v>
      </c>
      <c r="K225" s="31">
        <v>4</v>
      </c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3:26" outlineLevel="1" x14ac:dyDescent="0.3">
      <c r="C226" s="19" t="s">
        <v>133</v>
      </c>
      <c r="D226" s="65"/>
      <c r="E226" s="19"/>
      <c r="F226" s="27" t="s">
        <v>63</v>
      </c>
      <c r="G226" s="31">
        <v>9</v>
      </c>
      <c r="H226" s="31">
        <v>12</v>
      </c>
      <c r="I226" s="31">
        <v>12</v>
      </c>
      <c r="J226" s="31">
        <v>12</v>
      </c>
      <c r="K226" s="31">
        <v>12</v>
      </c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3:26" outlineLevel="1" x14ac:dyDescent="0.3">
      <c r="C227" s="19" t="s">
        <v>134</v>
      </c>
      <c r="D227" s="65"/>
      <c r="E227" s="64"/>
      <c r="F227" s="27" t="s">
        <v>112</v>
      </c>
      <c r="G227" s="31">
        <v>1800</v>
      </c>
      <c r="H227" s="31">
        <f>G227*1.1</f>
        <v>1980.0000000000002</v>
      </c>
      <c r="I227" s="31">
        <f t="shared" ref="I227:K227" si="17">H227*1.1</f>
        <v>2178.0000000000005</v>
      </c>
      <c r="J227" s="31">
        <f t="shared" si="17"/>
        <v>2395.8000000000006</v>
      </c>
      <c r="K227" s="31">
        <f t="shared" si="17"/>
        <v>2635.380000000001</v>
      </c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3:26" outlineLevel="1" x14ac:dyDescent="0.3">
      <c r="C228" s="30" t="s">
        <v>205</v>
      </c>
      <c r="D228" s="19"/>
      <c r="E228" s="19"/>
      <c r="F228" s="29" t="s">
        <v>112</v>
      </c>
      <c r="G228" s="28">
        <f>G225*G226*G227</f>
        <v>16200</v>
      </c>
      <c r="H228" s="28">
        <f>H225*H226*H227</f>
        <v>23760.000000000004</v>
      </c>
      <c r="I228" s="28">
        <f>I225*I226*I227</f>
        <v>52272.000000000015</v>
      </c>
      <c r="J228" s="28">
        <f>J225*J226*J227</f>
        <v>57499.200000000012</v>
      </c>
      <c r="K228" s="28">
        <f>K225*K226*K227</f>
        <v>126498.24000000005</v>
      </c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3:26" outlineLevel="1" x14ac:dyDescent="0.3">
      <c r="C229" s="30"/>
      <c r="D229" s="19"/>
      <c r="E229" s="19"/>
      <c r="F229" s="29"/>
      <c r="G229" s="28"/>
      <c r="H229" s="28"/>
      <c r="I229" s="28"/>
      <c r="J229" s="28"/>
      <c r="K229" s="28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3:26" outlineLevel="1" x14ac:dyDescent="0.3">
      <c r="C230" s="19" t="s">
        <v>143</v>
      </c>
      <c r="D230" s="19"/>
      <c r="E230" s="19"/>
      <c r="F230" s="27" t="s">
        <v>63</v>
      </c>
      <c r="G230" s="31">
        <v>1</v>
      </c>
      <c r="H230" s="31">
        <v>1</v>
      </c>
      <c r="I230" s="31">
        <v>2</v>
      </c>
      <c r="J230" s="31">
        <v>2</v>
      </c>
      <c r="K230" s="31">
        <v>4</v>
      </c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3:26" outlineLevel="1" x14ac:dyDescent="0.3">
      <c r="C231" s="19" t="s">
        <v>133</v>
      </c>
      <c r="D231" s="65"/>
      <c r="E231" s="19"/>
      <c r="F231" s="27" t="s">
        <v>63</v>
      </c>
      <c r="G231" s="31">
        <v>9</v>
      </c>
      <c r="H231" s="31">
        <v>12</v>
      </c>
      <c r="I231" s="31">
        <v>12</v>
      </c>
      <c r="J231" s="31">
        <v>12</v>
      </c>
      <c r="K231" s="31">
        <v>12</v>
      </c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3:26" outlineLevel="1" x14ac:dyDescent="0.3">
      <c r="C232" s="19" t="s">
        <v>134</v>
      </c>
      <c r="D232" s="65"/>
      <c r="E232" s="64"/>
      <c r="F232" s="27" t="s">
        <v>112</v>
      </c>
      <c r="G232" s="31">
        <v>1230</v>
      </c>
      <c r="H232" s="31">
        <f>G232*1.1</f>
        <v>1353</v>
      </c>
      <c r="I232" s="31">
        <f t="shared" ref="I232:K232" si="18">H232*1.1</f>
        <v>1488.3000000000002</v>
      </c>
      <c r="J232" s="31">
        <f t="shared" si="18"/>
        <v>1637.1300000000003</v>
      </c>
      <c r="K232" s="31">
        <f t="shared" si="18"/>
        <v>1800.8430000000005</v>
      </c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3:26" outlineLevel="1" x14ac:dyDescent="0.3">
      <c r="C233" s="30" t="s">
        <v>144</v>
      </c>
      <c r="D233" s="19"/>
      <c r="E233" s="19"/>
      <c r="F233" s="29" t="s">
        <v>112</v>
      </c>
      <c r="G233" s="28">
        <f>G230*G231*G232</f>
        <v>11070</v>
      </c>
      <c r="H233" s="28">
        <f>H230*H231*H232</f>
        <v>16236</v>
      </c>
      <c r="I233" s="28">
        <f>I230*I231*I232</f>
        <v>35719.200000000004</v>
      </c>
      <c r="J233" s="28">
        <f>J230*J231*J232</f>
        <v>39291.12000000001</v>
      </c>
      <c r="K233" s="28">
        <f>K230*K231*K232</f>
        <v>86440.464000000022</v>
      </c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3:26" outlineLevel="1" x14ac:dyDescent="0.3">
      <c r="C234" s="30"/>
      <c r="D234" s="19"/>
      <c r="E234" s="19"/>
      <c r="F234" s="29"/>
      <c r="G234" s="28"/>
      <c r="H234" s="28"/>
      <c r="I234" s="28"/>
      <c r="J234" s="28"/>
      <c r="K234" s="28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3:26" outlineLevel="1" x14ac:dyDescent="0.3">
      <c r="C235" s="19" t="s">
        <v>200</v>
      </c>
      <c r="D235" s="65"/>
      <c r="E235" s="19"/>
      <c r="F235" s="27" t="s">
        <v>63</v>
      </c>
      <c r="G235" s="31">
        <v>1</v>
      </c>
      <c r="H235" s="31">
        <v>1</v>
      </c>
      <c r="I235" s="31">
        <v>2</v>
      </c>
      <c r="J235" s="31">
        <v>2</v>
      </c>
      <c r="K235" s="31">
        <v>4</v>
      </c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3:26" outlineLevel="1" x14ac:dyDescent="0.3">
      <c r="C236" s="19" t="s">
        <v>133</v>
      </c>
      <c r="D236" s="65"/>
      <c r="E236" s="19"/>
      <c r="F236" s="27" t="s">
        <v>63</v>
      </c>
      <c r="G236" s="31">
        <v>9</v>
      </c>
      <c r="H236" s="31">
        <v>12</v>
      </c>
      <c r="I236" s="31">
        <v>12</v>
      </c>
      <c r="J236" s="31">
        <v>12</v>
      </c>
      <c r="K236" s="31">
        <v>12</v>
      </c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3:26" outlineLevel="1" x14ac:dyDescent="0.3">
      <c r="C237" s="19" t="s">
        <v>134</v>
      </c>
      <c r="D237" s="65"/>
      <c r="E237" s="19"/>
      <c r="F237" s="27" t="s">
        <v>112</v>
      </c>
      <c r="G237" s="31">
        <v>2235</v>
      </c>
      <c r="H237" s="31">
        <f>G237*1.1</f>
        <v>2458.5</v>
      </c>
      <c r="I237" s="31">
        <f t="shared" ref="I237:K237" si="19">H237*1.1</f>
        <v>2704.3500000000004</v>
      </c>
      <c r="J237" s="31">
        <f t="shared" si="19"/>
        <v>2974.7850000000008</v>
      </c>
      <c r="K237" s="31">
        <f t="shared" si="19"/>
        <v>3272.2635000000009</v>
      </c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3:26" outlineLevel="1" x14ac:dyDescent="0.3">
      <c r="C238" s="30" t="s">
        <v>201</v>
      </c>
      <c r="D238" s="65"/>
      <c r="E238" s="19"/>
      <c r="F238" s="29" t="s">
        <v>112</v>
      </c>
      <c r="G238" s="28">
        <f>G235*G236*G237</f>
        <v>20115</v>
      </c>
      <c r="H238" s="28">
        <f>H235*H236*H237</f>
        <v>29502</v>
      </c>
      <c r="I238" s="28">
        <f>I235*I236*I237</f>
        <v>64904.400000000009</v>
      </c>
      <c r="J238" s="28">
        <f>J235*J236*J237</f>
        <v>71394.840000000026</v>
      </c>
      <c r="K238" s="28">
        <f>K235*K236*K237</f>
        <v>157068.64800000004</v>
      </c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3:26" outlineLevel="1" x14ac:dyDescent="0.3">
      <c r="C239" s="30"/>
      <c r="D239" s="19"/>
      <c r="E239" s="19"/>
      <c r="F239" s="29"/>
      <c r="G239" s="28"/>
      <c r="H239" s="28"/>
      <c r="I239" s="28"/>
      <c r="J239" s="28"/>
      <c r="K239" s="28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3:26" outlineLevel="1" x14ac:dyDescent="0.3">
      <c r="C240" s="19" t="s">
        <v>198</v>
      </c>
      <c r="D240" s="65"/>
      <c r="E240" s="19"/>
      <c r="F240" s="27" t="s">
        <v>63</v>
      </c>
      <c r="G240" s="31">
        <v>1</v>
      </c>
      <c r="H240" s="31">
        <v>1</v>
      </c>
      <c r="I240" s="31">
        <v>2</v>
      </c>
      <c r="J240" s="31">
        <v>2</v>
      </c>
      <c r="K240" s="31">
        <v>4</v>
      </c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3:26" outlineLevel="1" x14ac:dyDescent="0.3">
      <c r="C241" s="19" t="s">
        <v>133</v>
      </c>
      <c r="D241" s="65"/>
      <c r="E241" s="19"/>
      <c r="F241" s="27" t="s">
        <v>63</v>
      </c>
      <c r="G241" s="31">
        <v>9</v>
      </c>
      <c r="H241" s="31">
        <v>12</v>
      </c>
      <c r="I241" s="31">
        <v>12</v>
      </c>
      <c r="J241" s="31">
        <v>12</v>
      </c>
      <c r="K241" s="31">
        <v>12</v>
      </c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3:26" outlineLevel="1" x14ac:dyDescent="0.3">
      <c r="C242" s="19" t="s">
        <v>134</v>
      </c>
      <c r="D242" s="65"/>
      <c r="E242" s="19"/>
      <c r="F242" s="27" t="s">
        <v>112</v>
      </c>
      <c r="G242" s="31">
        <v>1800</v>
      </c>
      <c r="H242" s="31">
        <f>G242*1.1</f>
        <v>1980.0000000000002</v>
      </c>
      <c r="I242" s="31">
        <f t="shared" ref="I242:K242" si="20">H242*1.1</f>
        <v>2178.0000000000005</v>
      </c>
      <c r="J242" s="31">
        <f t="shared" si="20"/>
        <v>2395.8000000000006</v>
      </c>
      <c r="K242" s="31">
        <f t="shared" si="20"/>
        <v>2635.380000000001</v>
      </c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3:26" outlineLevel="1" x14ac:dyDescent="0.3">
      <c r="C243" s="30" t="s">
        <v>199</v>
      </c>
      <c r="D243" s="65"/>
      <c r="E243" s="19"/>
      <c r="F243" s="29" t="s">
        <v>112</v>
      </c>
      <c r="G243" s="28">
        <f>G240*G241*G242</f>
        <v>16200</v>
      </c>
      <c r="H243" s="28">
        <f>H240*H241*H242</f>
        <v>23760.000000000004</v>
      </c>
      <c r="I243" s="28">
        <f>I240*I241*I242</f>
        <v>52272.000000000015</v>
      </c>
      <c r="J243" s="28">
        <f>J240*J241*J242</f>
        <v>57499.200000000012</v>
      </c>
      <c r="K243" s="28">
        <f>K240*K241*K242</f>
        <v>126498.24000000005</v>
      </c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3:26" outlineLevel="1" x14ac:dyDescent="0.3">
      <c r="C244" s="30"/>
      <c r="D244" s="19"/>
      <c r="E244" s="19"/>
      <c r="F244" s="29"/>
      <c r="G244" s="28"/>
      <c r="H244" s="28"/>
      <c r="I244" s="28"/>
      <c r="J244" s="28"/>
      <c r="K244" s="28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3:26" outlineLevel="1" x14ac:dyDescent="0.3">
      <c r="C245" s="19" t="s">
        <v>135</v>
      </c>
      <c r="D245" s="65"/>
      <c r="E245" s="19"/>
      <c r="F245" s="27" t="s">
        <v>63</v>
      </c>
      <c r="G245" s="31">
        <v>1</v>
      </c>
      <c r="H245" s="31">
        <v>1</v>
      </c>
      <c r="I245" s="31">
        <v>2</v>
      </c>
      <c r="J245" s="31">
        <v>2</v>
      </c>
      <c r="K245" s="31">
        <v>4</v>
      </c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3:26" outlineLevel="1" x14ac:dyDescent="0.3">
      <c r="C246" s="19" t="s">
        <v>133</v>
      </c>
      <c r="D246" s="65"/>
      <c r="E246" s="19"/>
      <c r="F246" s="27" t="s">
        <v>63</v>
      </c>
      <c r="G246" s="31">
        <v>9</v>
      </c>
      <c r="H246" s="31">
        <v>12</v>
      </c>
      <c r="I246" s="31">
        <v>12</v>
      </c>
      <c r="J246" s="31">
        <v>12</v>
      </c>
      <c r="K246" s="31">
        <v>12</v>
      </c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3:26" outlineLevel="1" x14ac:dyDescent="0.3">
      <c r="C247" s="19" t="s">
        <v>134</v>
      </c>
      <c r="D247" s="65"/>
      <c r="E247" s="19"/>
      <c r="F247" s="27" t="s">
        <v>112</v>
      </c>
      <c r="G247" s="31">
        <v>1230</v>
      </c>
      <c r="H247" s="31">
        <f>G247*1.1</f>
        <v>1353</v>
      </c>
      <c r="I247" s="31">
        <f t="shared" ref="I247:K247" si="21">H247*1.1</f>
        <v>1488.3000000000002</v>
      </c>
      <c r="J247" s="31">
        <f t="shared" si="21"/>
        <v>1637.1300000000003</v>
      </c>
      <c r="K247" s="31">
        <f t="shared" si="21"/>
        <v>1800.8430000000005</v>
      </c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3:26" outlineLevel="1" x14ac:dyDescent="0.3">
      <c r="C248" s="30" t="s">
        <v>136</v>
      </c>
      <c r="D248" s="65"/>
      <c r="E248" s="19"/>
      <c r="F248" s="29" t="s">
        <v>112</v>
      </c>
      <c r="G248" s="28">
        <f>G245*G246*G247</f>
        <v>11070</v>
      </c>
      <c r="H248" s="28">
        <f>H245*H246*H247</f>
        <v>16236</v>
      </c>
      <c r="I248" s="28">
        <f>I245*I246*I247</f>
        <v>35719.200000000004</v>
      </c>
      <c r="J248" s="28">
        <f>J245*J246*J247</f>
        <v>39291.12000000001</v>
      </c>
      <c r="K248" s="28">
        <f>K245*K246*K247</f>
        <v>86440.464000000022</v>
      </c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3:26" outlineLevel="1" x14ac:dyDescent="0.3">
      <c r="C249" s="30"/>
      <c r="D249" s="65"/>
      <c r="E249" s="19"/>
      <c r="F249" s="29"/>
      <c r="G249" s="28"/>
      <c r="H249" s="28"/>
      <c r="I249" s="28"/>
      <c r="J249" s="28"/>
      <c r="K249" s="28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3:26" outlineLevel="1" x14ac:dyDescent="0.3">
      <c r="C250" s="19" t="s">
        <v>196</v>
      </c>
      <c r="D250" s="65"/>
      <c r="E250" s="19"/>
      <c r="F250" s="27" t="s">
        <v>63</v>
      </c>
      <c r="G250" s="31">
        <v>1</v>
      </c>
      <c r="H250" s="31">
        <v>1</v>
      </c>
      <c r="I250" s="31">
        <v>2</v>
      </c>
      <c r="J250" s="31">
        <v>2</v>
      </c>
      <c r="K250" s="31">
        <v>4</v>
      </c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3:26" outlineLevel="1" x14ac:dyDescent="0.3">
      <c r="C251" s="19" t="s">
        <v>133</v>
      </c>
      <c r="D251" s="65"/>
      <c r="E251" s="19"/>
      <c r="F251" s="27" t="s">
        <v>63</v>
      </c>
      <c r="G251" s="31">
        <v>9</v>
      </c>
      <c r="H251" s="31">
        <v>12</v>
      </c>
      <c r="I251" s="31">
        <v>12</v>
      </c>
      <c r="J251" s="31">
        <v>12</v>
      </c>
      <c r="K251" s="31">
        <v>12</v>
      </c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3:26" outlineLevel="1" x14ac:dyDescent="0.3">
      <c r="C252" s="19" t="s">
        <v>134</v>
      </c>
      <c r="D252" s="65"/>
      <c r="E252" s="19"/>
      <c r="F252" s="27" t="s">
        <v>112</v>
      </c>
      <c r="G252" s="31">
        <v>1565</v>
      </c>
      <c r="H252" s="31">
        <f>G252*1.1</f>
        <v>1721.5000000000002</v>
      </c>
      <c r="I252" s="31">
        <f t="shared" ref="I252:K252" si="22">H252*1.1</f>
        <v>1893.6500000000003</v>
      </c>
      <c r="J252" s="31">
        <f t="shared" si="22"/>
        <v>2083.0150000000003</v>
      </c>
      <c r="K252" s="31">
        <f t="shared" si="22"/>
        <v>2291.3165000000004</v>
      </c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3:26" outlineLevel="1" x14ac:dyDescent="0.3">
      <c r="C253" s="30" t="s">
        <v>197</v>
      </c>
      <c r="D253" s="65"/>
      <c r="E253" s="19"/>
      <c r="F253" s="29" t="s">
        <v>112</v>
      </c>
      <c r="G253" s="28">
        <f>G250*G251*G252</f>
        <v>14085</v>
      </c>
      <c r="H253" s="28">
        <f>H250*H251*H252</f>
        <v>20658.000000000004</v>
      </c>
      <c r="I253" s="28">
        <f>I250*I251*I252</f>
        <v>45447.600000000006</v>
      </c>
      <c r="J253" s="28">
        <f>J250*J251*J252</f>
        <v>49992.360000000008</v>
      </c>
      <c r="K253" s="28">
        <f>K250*K251*K252</f>
        <v>109983.19200000001</v>
      </c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3:26" outlineLevel="1" x14ac:dyDescent="0.3">
      <c r="C254" s="30"/>
      <c r="D254" s="65"/>
      <c r="E254" s="19"/>
      <c r="F254" s="29"/>
      <c r="G254" s="28"/>
      <c r="H254" s="28"/>
      <c r="I254" s="28"/>
      <c r="J254" s="28"/>
      <c r="K254" s="28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3:26" outlineLevel="1" x14ac:dyDescent="0.3">
      <c r="C255" s="19" t="s">
        <v>227</v>
      </c>
      <c r="D255" s="65"/>
      <c r="E255" s="19"/>
      <c r="F255" s="27" t="s">
        <v>63</v>
      </c>
      <c r="G255" s="31">
        <v>2</v>
      </c>
      <c r="H255" s="31">
        <v>2</v>
      </c>
      <c r="I255" s="31">
        <v>4</v>
      </c>
      <c r="J255" s="31">
        <v>4</v>
      </c>
      <c r="K255" s="31">
        <v>6</v>
      </c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3:26" outlineLevel="1" x14ac:dyDescent="0.3">
      <c r="C256" s="19" t="s">
        <v>133</v>
      </c>
      <c r="D256" s="65"/>
      <c r="E256" s="19"/>
      <c r="F256" s="27" t="s">
        <v>63</v>
      </c>
      <c r="G256" s="31">
        <v>9</v>
      </c>
      <c r="H256" s="31">
        <v>12</v>
      </c>
      <c r="I256" s="31">
        <v>12</v>
      </c>
      <c r="J256" s="31">
        <v>12</v>
      </c>
      <c r="K256" s="31">
        <v>12</v>
      </c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3:26" outlineLevel="1" x14ac:dyDescent="0.3">
      <c r="C257" s="19" t="s">
        <v>134</v>
      </c>
      <c r="D257" s="65"/>
      <c r="E257" s="19"/>
      <c r="F257" s="27" t="s">
        <v>112</v>
      </c>
      <c r="G257" s="31">
        <v>2000</v>
      </c>
      <c r="H257" s="31">
        <f>G257*1.1</f>
        <v>2200</v>
      </c>
      <c r="I257" s="31">
        <f t="shared" ref="I257:K257" si="23">H257*1.1</f>
        <v>2420</v>
      </c>
      <c r="J257" s="31">
        <f t="shared" si="23"/>
        <v>2662</v>
      </c>
      <c r="K257" s="31">
        <f t="shared" si="23"/>
        <v>2928.2000000000003</v>
      </c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3:26" outlineLevel="1" x14ac:dyDescent="0.3">
      <c r="C258" s="30" t="s">
        <v>228</v>
      </c>
      <c r="D258" s="65"/>
      <c r="E258" s="19"/>
      <c r="F258" s="29" t="s">
        <v>112</v>
      </c>
      <c r="G258" s="28">
        <f>G255*G256*G257</f>
        <v>36000</v>
      </c>
      <c r="H258" s="28">
        <f>H255*H256*H257</f>
        <v>52800</v>
      </c>
      <c r="I258" s="28">
        <f>I255*I256*I257</f>
        <v>116160</v>
      </c>
      <c r="J258" s="28">
        <f>J255*J256*J257</f>
        <v>127776</v>
      </c>
      <c r="K258" s="28">
        <f>K255*K256*K257</f>
        <v>210830.40000000002</v>
      </c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3:26" outlineLevel="1" x14ac:dyDescent="0.3">
      <c r="C259" s="30"/>
      <c r="D259" s="65"/>
      <c r="E259" s="19"/>
      <c r="F259" s="29"/>
      <c r="G259" s="28"/>
      <c r="H259" s="28"/>
      <c r="I259" s="28"/>
      <c r="J259" s="28"/>
      <c r="K259" s="28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3:26" outlineLevel="1" x14ac:dyDescent="0.3">
      <c r="C260" s="19" t="s">
        <v>229</v>
      </c>
      <c r="D260" s="65"/>
      <c r="E260" s="19"/>
      <c r="F260" s="27" t="s">
        <v>63</v>
      </c>
      <c r="G260" s="31">
        <v>1</v>
      </c>
      <c r="H260" s="31">
        <v>1</v>
      </c>
      <c r="I260" s="31">
        <v>1</v>
      </c>
      <c r="J260" s="31">
        <v>1</v>
      </c>
      <c r="K260" s="31">
        <v>1</v>
      </c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3:26" outlineLevel="1" x14ac:dyDescent="0.3">
      <c r="C261" s="19" t="s">
        <v>133</v>
      </c>
      <c r="D261" s="65"/>
      <c r="E261" s="19"/>
      <c r="F261" s="27" t="s">
        <v>63</v>
      </c>
      <c r="G261" s="31">
        <v>9</v>
      </c>
      <c r="H261" s="31">
        <v>12</v>
      </c>
      <c r="I261" s="31">
        <v>12</v>
      </c>
      <c r="J261" s="31">
        <v>12</v>
      </c>
      <c r="K261" s="31">
        <v>12</v>
      </c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3:26" outlineLevel="1" x14ac:dyDescent="0.3">
      <c r="C262" s="19" t="s">
        <v>134</v>
      </c>
      <c r="D262" s="65"/>
      <c r="E262" s="19"/>
      <c r="F262" s="27" t="s">
        <v>112</v>
      </c>
      <c r="G262" s="31">
        <v>800</v>
      </c>
      <c r="H262" s="31">
        <f>G262*1.1</f>
        <v>880.00000000000011</v>
      </c>
      <c r="I262" s="31">
        <f t="shared" ref="I262:K262" si="24">H262*1.1</f>
        <v>968.00000000000023</v>
      </c>
      <c r="J262" s="31">
        <f t="shared" si="24"/>
        <v>1064.8000000000004</v>
      </c>
      <c r="K262" s="31">
        <f t="shared" si="24"/>
        <v>1171.2800000000007</v>
      </c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3:26" outlineLevel="1" x14ac:dyDescent="0.3">
      <c r="C263" s="30" t="s">
        <v>230</v>
      </c>
      <c r="D263" s="65"/>
      <c r="E263" s="19"/>
      <c r="F263" s="29" t="s">
        <v>112</v>
      </c>
      <c r="G263" s="28">
        <f>G260*G261*G262</f>
        <v>7200</v>
      </c>
      <c r="H263" s="28">
        <f>H260*H261*H262</f>
        <v>10560.000000000002</v>
      </c>
      <c r="I263" s="28">
        <f>I260*I261*I262</f>
        <v>11616.000000000004</v>
      </c>
      <c r="J263" s="28">
        <f>J260*J261*J262</f>
        <v>12777.600000000006</v>
      </c>
      <c r="K263" s="28">
        <f>K260*K261*K262</f>
        <v>14055.360000000008</v>
      </c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3:26" outlineLevel="1" x14ac:dyDescent="0.3">
      <c r="C264" s="30"/>
      <c r="D264" s="65"/>
      <c r="E264" s="19"/>
      <c r="F264" s="29"/>
      <c r="G264" s="28"/>
      <c r="H264" s="28"/>
      <c r="I264" s="28"/>
      <c r="J264" s="28"/>
      <c r="K264" s="28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3:26" outlineLevel="1" x14ac:dyDescent="0.3">
      <c r="C265" s="72" t="s">
        <v>114</v>
      </c>
      <c r="D265" s="19"/>
      <c r="E265" s="19"/>
      <c r="F265" s="29" t="s">
        <v>112</v>
      </c>
      <c r="G265" s="28">
        <f>G270</f>
        <v>18090</v>
      </c>
      <c r="H265" s="28">
        <f t="shared" ref="H265:K265" si="25">H270</f>
        <v>83214</v>
      </c>
      <c r="I265" s="28">
        <f t="shared" si="25"/>
        <v>255189.59999999998</v>
      </c>
      <c r="J265" s="28">
        <f t="shared" si="25"/>
        <v>403518.55499999999</v>
      </c>
      <c r="K265" s="28">
        <f t="shared" si="25"/>
        <v>590604.4304999999</v>
      </c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3:26" outlineLevel="1" x14ac:dyDescent="0.3">
      <c r="D266" s="19"/>
      <c r="E266" s="19"/>
      <c r="F266" s="27"/>
      <c r="G266" s="31"/>
      <c r="H266" s="31"/>
      <c r="I266" s="31"/>
      <c r="J266" s="31"/>
      <c r="K266" s="31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3:26" outlineLevel="1" x14ac:dyDescent="0.3">
      <c r="C267" s="19" t="s">
        <v>225</v>
      </c>
      <c r="D267" s="19"/>
      <c r="E267" s="19"/>
      <c r="F267" s="27" t="s">
        <v>63</v>
      </c>
      <c r="G267" s="31">
        <v>2</v>
      </c>
      <c r="H267" s="31">
        <v>6</v>
      </c>
      <c r="I267" s="31">
        <v>16</v>
      </c>
      <c r="J267" s="31">
        <v>22</v>
      </c>
      <c r="K267" s="31">
        <v>28</v>
      </c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3:26" outlineLevel="1" x14ac:dyDescent="0.3">
      <c r="C268" s="19" t="s">
        <v>133</v>
      </c>
      <c r="D268" s="63"/>
      <c r="E268" s="19"/>
      <c r="F268" s="27" t="s">
        <v>63</v>
      </c>
      <c r="G268" s="31">
        <v>9</v>
      </c>
      <c r="H268" s="31">
        <v>12</v>
      </c>
      <c r="I268" s="31">
        <v>12</v>
      </c>
      <c r="J268" s="31">
        <v>12</v>
      </c>
      <c r="K268" s="31">
        <v>12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3:26" outlineLevel="1" x14ac:dyDescent="0.3">
      <c r="C269" s="19" t="s">
        <v>134</v>
      </c>
      <c r="D269" s="64"/>
      <c r="E269" s="19"/>
      <c r="F269" s="27" t="s">
        <v>112</v>
      </c>
      <c r="G269" s="31">
        <v>1005</v>
      </c>
      <c r="H269" s="31">
        <f>G269*1.15</f>
        <v>1155.75</v>
      </c>
      <c r="I269" s="31">
        <f t="shared" ref="I269:K269" si="26">H269*1.15</f>
        <v>1329.1125</v>
      </c>
      <c r="J269" s="31">
        <f t="shared" si="26"/>
        <v>1528.4793749999999</v>
      </c>
      <c r="K269" s="31">
        <f t="shared" si="26"/>
        <v>1757.7512812499997</v>
      </c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3:26" outlineLevel="1" x14ac:dyDescent="0.3">
      <c r="C270" s="30" t="s">
        <v>226</v>
      </c>
      <c r="D270" s="19"/>
      <c r="E270" s="19"/>
      <c r="F270" s="29" t="s">
        <v>112</v>
      </c>
      <c r="G270" s="28">
        <f>G267*G268*G269</f>
        <v>18090</v>
      </c>
      <c r="H270" s="28">
        <f>H267*H268*H269</f>
        <v>83214</v>
      </c>
      <c r="I270" s="28">
        <f>I267*I268*I269</f>
        <v>255189.59999999998</v>
      </c>
      <c r="J270" s="28">
        <f>J267*J268*J269</f>
        <v>403518.55499999999</v>
      </c>
      <c r="K270" s="28">
        <f>K267*K268*K269</f>
        <v>590604.4304999999</v>
      </c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3:26" outlineLevel="1" x14ac:dyDescent="0.3">
      <c r="C271" s="30"/>
      <c r="D271" s="19"/>
      <c r="E271" s="19"/>
      <c r="F271" s="29"/>
      <c r="G271" s="28"/>
      <c r="H271" s="28"/>
      <c r="I271" s="28"/>
      <c r="J271" s="28"/>
      <c r="K271" s="28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3:26" outlineLevel="1" x14ac:dyDescent="0.3">
      <c r="C272" s="72" t="s">
        <v>145</v>
      </c>
      <c r="D272" s="19"/>
      <c r="E272" s="19"/>
      <c r="F272" s="29" t="s">
        <v>112</v>
      </c>
      <c r="G272" s="28">
        <f>G277+G282</f>
        <v>20160</v>
      </c>
      <c r="H272" s="28">
        <f t="shared" ref="H272:K272" si="27">H277+H282</f>
        <v>92736</v>
      </c>
      <c r="I272" s="28">
        <f t="shared" si="27"/>
        <v>284390.39999999997</v>
      </c>
      <c r="J272" s="28">
        <f t="shared" si="27"/>
        <v>449692.31999999989</v>
      </c>
      <c r="K272" s="28">
        <f t="shared" si="27"/>
        <v>658186.03199999977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3:26" outlineLevel="1" x14ac:dyDescent="0.3">
      <c r="D273" s="19"/>
      <c r="E273" s="19"/>
      <c r="F273" s="27"/>
      <c r="G273" s="31"/>
      <c r="H273" s="31"/>
      <c r="I273" s="31"/>
      <c r="J273" s="31"/>
      <c r="K273" s="31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3:26" outlineLevel="1" x14ac:dyDescent="0.3">
      <c r="C274" s="19" t="s">
        <v>184</v>
      </c>
      <c r="D274" s="19"/>
      <c r="E274" s="19"/>
      <c r="F274" s="27" t="s">
        <v>63</v>
      </c>
      <c r="G274" s="31">
        <v>1</v>
      </c>
      <c r="H274" s="31">
        <v>3</v>
      </c>
      <c r="I274" s="31">
        <v>8</v>
      </c>
      <c r="J274" s="31">
        <v>11</v>
      </c>
      <c r="K274" s="31">
        <v>14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3:26" outlineLevel="1" x14ac:dyDescent="0.3">
      <c r="C275" s="19" t="s">
        <v>133</v>
      </c>
      <c r="D275" s="19"/>
      <c r="E275" s="19"/>
      <c r="F275" s="27" t="s">
        <v>63</v>
      </c>
      <c r="G275" s="31">
        <v>9</v>
      </c>
      <c r="H275" s="31">
        <v>12</v>
      </c>
      <c r="I275" s="31">
        <v>12</v>
      </c>
      <c r="J275" s="31">
        <v>12</v>
      </c>
      <c r="K275" s="31">
        <v>12</v>
      </c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3:26" outlineLevel="1" x14ac:dyDescent="0.3">
      <c r="C276" s="19" t="s">
        <v>134</v>
      </c>
      <c r="D276" s="19"/>
      <c r="E276" s="19"/>
      <c r="F276" s="27" t="s">
        <v>112</v>
      </c>
      <c r="G276" s="31">
        <v>1120</v>
      </c>
      <c r="H276" s="31">
        <f>G276*1.15</f>
        <v>1288</v>
      </c>
      <c r="I276" s="31">
        <f t="shared" ref="I276:K276" si="28">H276*1.15</f>
        <v>1481.1999999999998</v>
      </c>
      <c r="J276" s="31">
        <f t="shared" si="28"/>
        <v>1703.3799999999997</v>
      </c>
      <c r="K276" s="31">
        <f t="shared" si="28"/>
        <v>1958.8869999999995</v>
      </c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3:26" outlineLevel="1" x14ac:dyDescent="0.3">
      <c r="C277" s="30" t="s">
        <v>185</v>
      </c>
      <c r="D277" s="65"/>
      <c r="E277" s="19"/>
      <c r="F277" s="29" t="s">
        <v>112</v>
      </c>
      <c r="G277" s="28">
        <f>G274*G275*G276</f>
        <v>10080</v>
      </c>
      <c r="H277" s="28">
        <f>H274*H275*H276</f>
        <v>46368</v>
      </c>
      <c r="I277" s="28">
        <f>I274*I275*I276</f>
        <v>142195.19999999998</v>
      </c>
      <c r="J277" s="28">
        <f>J274*J275*J276</f>
        <v>224846.15999999995</v>
      </c>
      <c r="K277" s="28">
        <f>K274*K275*K276</f>
        <v>329093.01599999989</v>
      </c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3:26" outlineLevel="1" x14ac:dyDescent="0.3">
      <c r="C278" s="30"/>
      <c r="D278" s="19"/>
      <c r="E278" s="19"/>
      <c r="F278" s="29"/>
      <c r="G278" s="28"/>
      <c r="H278" s="28"/>
      <c r="I278" s="28"/>
      <c r="J278" s="28"/>
      <c r="K278" s="28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3:26" outlineLevel="1" x14ac:dyDescent="0.3">
      <c r="C279" s="19" t="s">
        <v>186</v>
      </c>
      <c r="D279" s="19"/>
      <c r="E279" s="19"/>
      <c r="F279" s="27" t="s">
        <v>63</v>
      </c>
      <c r="G279" s="31">
        <v>1</v>
      </c>
      <c r="H279" s="31">
        <v>3</v>
      </c>
      <c r="I279" s="31">
        <v>8</v>
      </c>
      <c r="J279" s="31">
        <v>11</v>
      </c>
      <c r="K279" s="31">
        <v>14</v>
      </c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3:26" outlineLevel="1" x14ac:dyDescent="0.3">
      <c r="C280" s="19" t="s">
        <v>133</v>
      </c>
      <c r="D280" s="63"/>
      <c r="E280" s="19"/>
      <c r="F280" s="27" t="s">
        <v>63</v>
      </c>
      <c r="G280" s="31">
        <v>9</v>
      </c>
      <c r="H280" s="31">
        <v>12</v>
      </c>
      <c r="I280" s="31">
        <v>12</v>
      </c>
      <c r="J280" s="31">
        <v>12</v>
      </c>
      <c r="K280" s="31">
        <v>12</v>
      </c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3:26" outlineLevel="1" x14ac:dyDescent="0.3">
      <c r="C281" s="19" t="s">
        <v>134</v>
      </c>
      <c r="D281" s="64"/>
      <c r="E281" s="19"/>
      <c r="F281" s="27" t="s">
        <v>112</v>
      </c>
      <c r="G281" s="31">
        <v>1120</v>
      </c>
      <c r="H281" s="31">
        <f>G281*1.15</f>
        <v>1288</v>
      </c>
      <c r="I281" s="31">
        <f t="shared" ref="I281" si="29">H281*1.15</f>
        <v>1481.1999999999998</v>
      </c>
      <c r="J281" s="31">
        <f t="shared" ref="J281" si="30">I281*1.15</f>
        <v>1703.3799999999997</v>
      </c>
      <c r="K281" s="31">
        <f t="shared" ref="K281" si="31">J281*1.15</f>
        <v>1958.8869999999995</v>
      </c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3:26" outlineLevel="1" x14ac:dyDescent="0.3">
      <c r="C282" s="30" t="s">
        <v>187</v>
      </c>
      <c r="D282" s="19"/>
      <c r="E282" s="19"/>
      <c r="F282" s="29" t="s">
        <v>112</v>
      </c>
      <c r="G282" s="28">
        <f>G279*G280*G281</f>
        <v>10080</v>
      </c>
      <c r="H282" s="28">
        <f>H279*H280*H281</f>
        <v>46368</v>
      </c>
      <c r="I282" s="28">
        <f>I279*I280*I281</f>
        <v>142195.19999999998</v>
      </c>
      <c r="J282" s="28">
        <f>J279*J280*J281</f>
        <v>224846.15999999995</v>
      </c>
      <c r="K282" s="28">
        <f>K279*K280*K281</f>
        <v>329093.01599999989</v>
      </c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3:26" outlineLevel="1" x14ac:dyDescent="0.3">
      <c r="C283" s="30"/>
      <c r="D283" s="19"/>
      <c r="E283" s="19"/>
      <c r="F283" s="29"/>
      <c r="G283" s="28"/>
      <c r="H283" s="28"/>
      <c r="I283" s="28"/>
      <c r="J283" s="28"/>
      <c r="K283" s="28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3:26" outlineLevel="1" x14ac:dyDescent="0.3">
      <c r="C284" s="72" t="s">
        <v>188</v>
      </c>
      <c r="D284" s="19"/>
      <c r="E284" s="19"/>
      <c r="F284" s="29" t="s">
        <v>112</v>
      </c>
      <c r="G284" s="28">
        <f>G289+G294</f>
        <v>12240</v>
      </c>
      <c r="H284" s="28">
        <f t="shared" ref="H284:K284" si="32">H289+H294</f>
        <v>56303.999999999993</v>
      </c>
      <c r="I284" s="28">
        <f t="shared" si="32"/>
        <v>172665.59999999998</v>
      </c>
      <c r="J284" s="28">
        <f t="shared" si="32"/>
        <v>273027.47999999992</v>
      </c>
      <c r="K284" s="28">
        <f t="shared" si="32"/>
        <v>399612.94799999986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3:26" outlineLevel="1" x14ac:dyDescent="0.3">
      <c r="D285" s="19"/>
      <c r="E285" s="19"/>
      <c r="F285" s="27"/>
      <c r="G285" s="31"/>
      <c r="H285" s="31"/>
      <c r="I285" s="31"/>
      <c r="J285" s="31"/>
      <c r="K285" s="31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3:26" outlineLevel="1" x14ac:dyDescent="0.3">
      <c r="C286" s="19" t="s">
        <v>189</v>
      </c>
      <c r="D286" s="19"/>
      <c r="E286" s="19"/>
      <c r="F286" s="27" t="s">
        <v>63</v>
      </c>
      <c r="G286" s="31">
        <v>1</v>
      </c>
      <c r="H286" s="31">
        <v>3</v>
      </c>
      <c r="I286" s="31">
        <v>8</v>
      </c>
      <c r="J286" s="31">
        <v>11</v>
      </c>
      <c r="K286" s="31">
        <v>14</v>
      </c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3:26" outlineLevel="1" x14ac:dyDescent="0.3">
      <c r="C287" s="19" t="s">
        <v>133</v>
      </c>
      <c r="D287" s="19"/>
      <c r="E287" s="19"/>
      <c r="F287" s="27" t="s">
        <v>63</v>
      </c>
      <c r="G287" s="31">
        <v>9</v>
      </c>
      <c r="H287" s="31">
        <v>12</v>
      </c>
      <c r="I287" s="31">
        <v>12</v>
      </c>
      <c r="J287" s="31">
        <v>12</v>
      </c>
      <c r="K287" s="31">
        <v>12</v>
      </c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3:26" outlineLevel="1" x14ac:dyDescent="0.3">
      <c r="C288" s="19" t="s">
        <v>134</v>
      </c>
      <c r="D288" s="19"/>
      <c r="E288" s="19"/>
      <c r="F288" s="27" t="s">
        <v>112</v>
      </c>
      <c r="G288" s="31">
        <v>560</v>
      </c>
      <c r="H288" s="31">
        <f>G288*1.15</f>
        <v>644</v>
      </c>
      <c r="I288" s="31">
        <f t="shared" ref="I288:K288" si="33">H288*1.15</f>
        <v>740.59999999999991</v>
      </c>
      <c r="J288" s="31">
        <f t="shared" si="33"/>
        <v>851.68999999999983</v>
      </c>
      <c r="K288" s="31">
        <f t="shared" si="33"/>
        <v>979.44349999999974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3:26" outlineLevel="1" x14ac:dyDescent="0.3">
      <c r="C289" s="30" t="s">
        <v>194</v>
      </c>
      <c r="D289" s="65"/>
      <c r="E289" s="19"/>
      <c r="F289" s="29" t="s">
        <v>112</v>
      </c>
      <c r="G289" s="28">
        <f>G286*G287*G288</f>
        <v>5040</v>
      </c>
      <c r="H289" s="28">
        <f>H286*H287*H288</f>
        <v>23184</v>
      </c>
      <c r="I289" s="28">
        <f>I286*I287*I288</f>
        <v>71097.599999999991</v>
      </c>
      <c r="J289" s="28">
        <f>J286*J287*J288</f>
        <v>112423.07999999997</v>
      </c>
      <c r="K289" s="28">
        <f>K286*K287*K288</f>
        <v>164546.50799999994</v>
      </c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3:26" outlineLevel="1" x14ac:dyDescent="0.3">
      <c r="C290" s="30"/>
      <c r="D290" s="65"/>
      <c r="E290" s="19"/>
      <c r="F290" s="29"/>
      <c r="G290" s="28"/>
      <c r="H290" s="28"/>
      <c r="I290" s="28"/>
      <c r="J290" s="28"/>
      <c r="K290" s="28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3:26" outlineLevel="1" x14ac:dyDescent="0.3">
      <c r="C291" s="19" t="s">
        <v>193</v>
      </c>
      <c r="D291" s="19"/>
      <c r="E291" s="19"/>
      <c r="F291" s="27" t="s">
        <v>63</v>
      </c>
      <c r="G291" s="31">
        <v>2</v>
      </c>
      <c r="H291" s="31">
        <v>6</v>
      </c>
      <c r="I291" s="31">
        <v>16</v>
      </c>
      <c r="J291" s="31">
        <v>22</v>
      </c>
      <c r="K291" s="31">
        <v>28</v>
      </c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3:26" outlineLevel="1" x14ac:dyDescent="0.3">
      <c r="C292" s="19" t="s">
        <v>133</v>
      </c>
      <c r="D292" s="19"/>
      <c r="E292" s="19"/>
      <c r="F292" s="27" t="s">
        <v>63</v>
      </c>
      <c r="G292" s="31">
        <v>9</v>
      </c>
      <c r="H292" s="31">
        <v>12</v>
      </c>
      <c r="I292" s="31">
        <v>12</v>
      </c>
      <c r="J292" s="31">
        <v>12</v>
      </c>
      <c r="K292" s="31">
        <v>12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3:26" outlineLevel="1" x14ac:dyDescent="0.3">
      <c r="C293" s="19" t="s">
        <v>134</v>
      </c>
      <c r="D293" s="19"/>
      <c r="E293" s="19"/>
      <c r="F293" s="27" t="s">
        <v>112</v>
      </c>
      <c r="G293" s="31">
        <v>400</v>
      </c>
      <c r="H293" s="31">
        <f>G293*1.15</f>
        <v>459.99999999999994</v>
      </c>
      <c r="I293" s="31">
        <f t="shared" ref="I293:K293" si="34">H293*1.15</f>
        <v>528.99999999999989</v>
      </c>
      <c r="J293" s="31">
        <f t="shared" si="34"/>
        <v>608.3499999999998</v>
      </c>
      <c r="K293" s="31">
        <f t="shared" si="34"/>
        <v>699.60249999999974</v>
      </c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3:26" outlineLevel="1" x14ac:dyDescent="0.3">
      <c r="C294" s="30" t="s">
        <v>195</v>
      </c>
      <c r="D294" s="65"/>
      <c r="E294" s="19"/>
      <c r="F294" s="29" t="s">
        <v>112</v>
      </c>
      <c r="G294" s="28">
        <f>G291*G292*G293</f>
        <v>7200</v>
      </c>
      <c r="H294" s="28">
        <f>H291*H292*H293</f>
        <v>33119.999999999993</v>
      </c>
      <c r="I294" s="28">
        <f>I291*I292*I293</f>
        <v>101567.99999999997</v>
      </c>
      <c r="J294" s="28">
        <f>J291*J292*J293</f>
        <v>160604.39999999994</v>
      </c>
      <c r="K294" s="28">
        <f>K291*K292*K293</f>
        <v>235066.43999999992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3:26" outlineLevel="1" x14ac:dyDescent="0.3">
      <c r="C295" s="30"/>
      <c r="D295" s="65"/>
      <c r="E295" s="19"/>
      <c r="F295" s="29"/>
      <c r="G295" s="28"/>
      <c r="H295" s="28"/>
      <c r="I295" s="28"/>
      <c r="J295" s="28"/>
      <c r="K295" s="28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3:26" outlineLevel="1" x14ac:dyDescent="0.3">
      <c r="C296" s="72" t="s">
        <v>190</v>
      </c>
      <c r="D296" s="19"/>
      <c r="E296" s="19"/>
      <c r="F296" s="29" t="s">
        <v>112</v>
      </c>
      <c r="G296" s="28">
        <f>G301</f>
        <v>6030</v>
      </c>
      <c r="H296" s="28">
        <f t="shared" ref="H296:K296" si="35">H301</f>
        <v>31356</v>
      </c>
      <c r="I296" s="28">
        <f t="shared" si="35"/>
        <v>108700.79999999999</v>
      </c>
      <c r="J296" s="28">
        <f t="shared" si="35"/>
        <v>194302.68</v>
      </c>
      <c r="K296" s="28">
        <f t="shared" si="35"/>
        <v>321482.61599999998</v>
      </c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3:26" outlineLevel="1" x14ac:dyDescent="0.3">
      <c r="D297" s="19"/>
      <c r="E297" s="19"/>
      <c r="F297" s="27"/>
      <c r="G297" s="31"/>
      <c r="H297" s="31"/>
      <c r="I297" s="31"/>
      <c r="J297" s="31"/>
      <c r="K297" s="31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3:26" outlineLevel="1" x14ac:dyDescent="0.3">
      <c r="C298" s="19" t="s">
        <v>191</v>
      </c>
      <c r="D298" s="19"/>
      <c r="E298" s="19"/>
      <c r="F298" s="27" t="s">
        <v>63</v>
      </c>
      <c r="G298" s="31">
        <v>1</v>
      </c>
      <c r="H298" s="31">
        <v>3</v>
      </c>
      <c r="I298" s="31">
        <v>8</v>
      </c>
      <c r="J298" s="31">
        <v>11</v>
      </c>
      <c r="K298" s="31">
        <v>14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3:26" outlineLevel="1" x14ac:dyDescent="0.3">
      <c r="C299" s="19" t="s">
        <v>133</v>
      </c>
      <c r="D299" s="19"/>
      <c r="E299" s="19"/>
      <c r="F299" s="27" t="s">
        <v>63</v>
      </c>
      <c r="G299" s="31">
        <v>9</v>
      </c>
      <c r="H299" s="31">
        <v>12</v>
      </c>
      <c r="I299" s="31">
        <v>12</v>
      </c>
      <c r="J299" s="31">
        <v>12</v>
      </c>
      <c r="K299" s="31">
        <v>12</v>
      </c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3:26" outlineLevel="1" x14ac:dyDescent="0.3">
      <c r="C300" s="19" t="s">
        <v>134</v>
      </c>
      <c r="D300" s="19"/>
      <c r="E300" s="19"/>
      <c r="F300" s="27" t="s">
        <v>112</v>
      </c>
      <c r="G300" s="31">
        <v>670</v>
      </c>
      <c r="H300" s="31">
        <f>G300*1.3</f>
        <v>871</v>
      </c>
      <c r="I300" s="31">
        <f t="shared" ref="I300:K300" si="36">H300*1.3</f>
        <v>1132.3</v>
      </c>
      <c r="J300" s="31">
        <f t="shared" si="36"/>
        <v>1471.99</v>
      </c>
      <c r="K300" s="31">
        <f t="shared" si="36"/>
        <v>1913.587</v>
      </c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3:26" outlineLevel="1" x14ac:dyDescent="0.3">
      <c r="C301" s="30" t="s">
        <v>192</v>
      </c>
      <c r="D301" s="65"/>
      <c r="E301" s="19"/>
      <c r="F301" s="29" t="s">
        <v>112</v>
      </c>
      <c r="G301" s="28">
        <f>G298*G299*G300</f>
        <v>6030</v>
      </c>
      <c r="H301" s="28">
        <f>H298*H299*H300</f>
        <v>31356</v>
      </c>
      <c r="I301" s="28">
        <f>I298*I299*I300</f>
        <v>108700.79999999999</v>
      </c>
      <c r="J301" s="28">
        <f>J298*J299*J300</f>
        <v>194302.68</v>
      </c>
      <c r="K301" s="28">
        <f>K298*K299*K300</f>
        <v>321482.61599999998</v>
      </c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3:26" outlineLevel="1" x14ac:dyDescent="0.3">
      <c r="C302" s="30"/>
      <c r="D302" s="19"/>
      <c r="E302" s="19"/>
      <c r="F302" s="29"/>
      <c r="G302" s="28"/>
      <c r="H302" s="28"/>
      <c r="I302" s="28"/>
      <c r="J302" s="28"/>
      <c r="K302" s="28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3:26" outlineLevel="1" x14ac:dyDescent="0.3">
      <c r="C303" s="30" t="s">
        <v>115</v>
      </c>
      <c r="D303" s="19"/>
      <c r="E303" s="19"/>
      <c r="F303" s="29" t="s">
        <v>112</v>
      </c>
      <c r="G303" s="28">
        <f>G201+G218+G265+G272+G284+G296</f>
        <v>345330</v>
      </c>
      <c r="H303" s="28">
        <f t="shared" ref="H303:K303" si="37">H201+H218+H265+H272+H284+H296</f>
        <v>714549</v>
      </c>
      <c r="I303" s="28">
        <f t="shared" si="37"/>
        <v>1584867.45</v>
      </c>
      <c r="J303" s="28">
        <f t="shared" si="37"/>
        <v>2203590.1274999999</v>
      </c>
      <c r="K303" s="28">
        <f t="shared" si="37"/>
        <v>3489935.6981249996</v>
      </c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3:26" outlineLevel="1" x14ac:dyDescent="0.3">
      <c r="C304" s="30"/>
      <c r="D304" s="19"/>
      <c r="E304" s="19"/>
      <c r="F304" s="29"/>
      <c r="G304" s="28"/>
      <c r="H304" s="28"/>
      <c r="I304" s="28"/>
      <c r="J304" s="28"/>
      <c r="K304" s="28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3:26" outlineLevel="1" x14ac:dyDescent="0.3">
      <c r="C305" s="30" t="s">
        <v>146</v>
      </c>
      <c r="D305" s="19"/>
      <c r="E305" s="19"/>
      <c r="F305" s="29" t="s">
        <v>112</v>
      </c>
      <c r="G305" s="28">
        <f>G309+G313</f>
        <v>18630</v>
      </c>
      <c r="H305" s="28">
        <f t="shared" ref="H305:K305" si="38">H309+H313</f>
        <v>82800</v>
      </c>
      <c r="I305" s="28">
        <f t="shared" si="38"/>
        <v>207000</v>
      </c>
      <c r="J305" s="28">
        <f t="shared" si="38"/>
        <v>276000</v>
      </c>
      <c r="K305" s="28">
        <f t="shared" si="38"/>
        <v>351900</v>
      </c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3:26" outlineLevel="1" x14ac:dyDescent="0.3">
      <c r="C306" s="30"/>
      <c r="D306" s="19"/>
      <c r="E306" s="19"/>
      <c r="F306" s="29"/>
      <c r="G306" s="28"/>
      <c r="H306" s="28"/>
      <c r="I306" s="28"/>
      <c r="J306" s="28"/>
      <c r="K306" s="28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3:26" outlineLevel="1" x14ac:dyDescent="0.3">
      <c r="C307" s="19" t="s">
        <v>148</v>
      </c>
      <c r="D307" s="19"/>
      <c r="E307" s="19"/>
      <c r="F307" s="27" t="s">
        <v>112</v>
      </c>
      <c r="G307" s="31">
        <v>1800</v>
      </c>
      <c r="H307" s="31">
        <v>6000</v>
      </c>
      <c r="I307" s="31">
        <v>15000</v>
      </c>
      <c r="J307" s="31">
        <v>20000</v>
      </c>
      <c r="K307" s="31">
        <v>25500</v>
      </c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3:26" outlineLevel="1" x14ac:dyDescent="0.3">
      <c r="C308" s="19" t="s">
        <v>133</v>
      </c>
      <c r="D308" s="19"/>
      <c r="E308" s="19"/>
      <c r="F308" s="27" t="s">
        <v>63</v>
      </c>
      <c r="G308" s="31">
        <v>9</v>
      </c>
      <c r="H308" s="31">
        <v>12</v>
      </c>
      <c r="I308" s="31">
        <v>12</v>
      </c>
      <c r="J308" s="31">
        <v>12</v>
      </c>
      <c r="K308" s="31">
        <v>12</v>
      </c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3:26" outlineLevel="1" x14ac:dyDescent="0.3">
      <c r="C309" s="30" t="s">
        <v>147</v>
      </c>
      <c r="D309" s="19"/>
      <c r="E309" s="19"/>
      <c r="F309" s="29" t="s">
        <v>112</v>
      </c>
      <c r="G309" s="28">
        <f>G307*G308</f>
        <v>16200</v>
      </c>
      <c r="H309" s="28">
        <f t="shared" ref="H309:K309" si="39">H307*H308</f>
        <v>72000</v>
      </c>
      <c r="I309" s="28">
        <f t="shared" si="39"/>
        <v>180000</v>
      </c>
      <c r="J309" s="28">
        <f t="shared" si="39"/>
        <v>240000</v>
      </c>
      <c r="K309" s="28">
        <f t="shared" si="39"/>
        <v>306000</v>
      </c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3:26" outlineLevel="1" x14ac:dyDescent="0.3">
      <c r="C310" s="30"/>
      <c r="D310" s="19"/>
      <c r="E310" s="19"/>
      <c r="F310" s="29"/>
      <c r="G310" s="28"/>
      <c r="H310" s="28"/>
      <c r="I310" s="28"/>
      <c r="J310" s="28"/>
      <c r="K310" s="28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3:26" outlineLevel="1" x14ac:dyDescent="0.3">
      <c r="C311" s="19" t="s">
        <v>179</v>
      </c>
      <c r="D311" s="19"/>
      <c r="E311" s="19"/>
      <c r="F311" s="27" t="s">
        <v>112</v>
      </c>
      <c r="G311" s="31">
        <v>270</v>
      </c>
      <c r="H311" s="31">
        <v>900</v>
      </c>
      <c r="I311" s="31">
        <v>2250</v>
      </c>
      <c r="J311" s="31">
        <v>3000</v>
      </c>
      <c r="K311" s="31">
        <v>3825</v>
      </c>
      <c r="M311" s="111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3:26" outlineLevel="1" x14ac:dyDescent="0.3">
      <c r="C312" s="19" t="s">
        <v>133</v>
      </c>
      <c r="D312" s="19"/>
      <c r="E312" s="19"/>
      <c r="F312" s="27" t="s">
        <v>63</v>
      </c>
      <c r="G312" s="31">
        <v>9</v>
      </c>
      <c r="H312" s="31">
        <v>12</v>
      </c>
      <c r="I312" s="31">
        <v>12</v>
      </c>
      <c r="J312" s="31">
        <v>12</v>
      </c>
      <c r="K312" s="31">
        <v>12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3:26" outlineLevel="1" x14ac:dyDescent="0.3">
      <c r="C313" s="30" t="s">
        <v>180</v>
      </c>
      <c r="D313" s="19"/>
      <c r="E313" s="19"/>
      <c r="F313" s="29" t="s">
        <v>112</v>
      </c>
      <c r="G313" s="28">
        <f>G311*G312</f>
        <v>2430</v>
      </c>
      <c r="H313" s="28">
        <f t="shared" ref="H313" si="40">H311*H312</f>
        <v>10800</v>
      </c>
      <c r="I313" s="28">
        <f t="shared" ref="I313" si="41">I311*I312</f>
        <v>27000</v>
      </c>
      <c r="J313" s="28">
        <f t="shared" ref="J313" si="42">J311*J312</f>
        <v>36000</v>
      </c>
      <c r="K313" s="28">
        <f t="shared" ref="K313" si="43">K311*K312</f>
        <v>45900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3:26" outlineLevel="1" x14ac:dyDescent="0.3">
      <c r="C314" s="30"/>
      <c r="D314" s="19"/>
      <c r="E314" s="19"/>
      <c r="F314" s="29"/>
      <c r="G314" s="28"/>
      <c r="H314" s="28"/>
      <c r="I314" s="28"/>
      <c r="J314" s="28"/>
      <c r="K314" s="28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3:26" outlineLevel="1" x14ac:dyDescent="0.3">
      <c r="C315" s="72" t="s">
        <v>64</v>
      </c>
      <c r="D315" s="72"/>
      <c r="E315" s="72"/>
      <c r="F315" s="29" t="s">
        <v>112</v>
      </c>
      <c r="G315" s="28">
        <f>G319+G323+G327</f>
        <v>63000</v>
      </c>
      <c r="H315" s="28">
        <f>H319+H323+H327</f>
        <v>231000</v>
      </c>
      <c r="I315" s="28">
        <f t="shared" ref="I315:J315" si="44">I319+I323+I327</f>
        <v>866250</v>
      </c>
      <c r="J315" s="28">
        <f t="shared" si="44"/>
        <v>1732500</v>
      </c>
      <c r="K315" s="28">
        <f>K319+K323+K327</f>
        <v>2945250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3:26" outlineLevel="1" x14ac:dyDescent="0.3">
      <c r="C316" s="72"/>
      <c r="D316" s="72"/>
      <c r="E316" s="72"/>
      <c r="F316" s="29"/>
      <c r="G316" s="28"/>
      <c r="H316" s="28"/>
      <c r="I316" s="28"/>
      <c r="J316" s="28"/>
      <c r="K316" s="28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3:26" outlineLevel="1" x14ac:dyDescent="0.3">
      <c r="C317" s="19" t="s">
        <v>181</v>
      </c>
      <c r="D317" s="72"/>
      <c r="E317" s="72"/>
      <c r="F317" s="27" t="s">
        <v>112</v>
      </c>
      <c r="G317" s="31">
        <v>3600</v>
      </c>
      <c r="H317" s="31">
        <v>9900</v>
      </c>
      <c r="I317" s="31">
        <v>37125</v>
      </c>
      <c r="J317" s="31">
        <v>74250</v>
      </c>
      <c r="K317" s="31">
        <v>126225</v>
      </c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3:26" outlineLevel="1" x14ac:dyDescent="0.3">
      <c r="C318" s="19" t="s">
        <v>131</v>
      </c>
      <c r="D318" s="72"/>
      <c r="E318" s="72"/>
      <c r="F318" s="27" t="s">
        <v>63</v>
      </c>
      <c r="G318" s="31">
        <v>9</v>
      </c>
      <c r="H318" s="31">
        <v>12</v>
      </c>
      <c r="I318" s="31">
        <v>12</v>
      </c>
      <c r="J318" s="31">
        <v>12</v>
      </c>
      <c r="K318" s="31">
        <v>12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3:26" outlineLevel="1" x14ac:dyDescent="0.3">
      <c r="C319" s="72" t="s">
        <v>149</v>
      </c>
      <c r="D319" s="72"/>
      <c r="E319" s="72"/>
      <c r="F319" s="29" t="s">
        <v>112</v>
      </c>
      <c r="G319" s="28">
        <f>G317*G318</f>
        <v>32400</v>
      </c>
      <c r="H319" s="28">
        <f t="shared" ref="H319:K319" si="45">H317*H318</f>
        <v>118800</v>
      </c>
      <c r="I319" s="28">
        <f t="shared" si="45"/>
        <v>445500</v>
      </c>
      <c r="J319" s="28">
        <f t="shared" si="45"/>
        <v>891000</v>
      </c>
      <c r="K319" s="28">
        <f t="shared" si="45"/>
        <v>1514700</v>
      </c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3:26" outlineLevel="1" x14ac:dyDescent="0.3">
      <c r="C320" s="72"/>
      <c r="D320" s="72"/>
      <c r="E320" s="72"/>
      <c r="F320" s="29"/>
      <c r="G320" s="28"/>
      <c r="H320" s="28"/>
      <c r="I320" s="28"/>
      <c r="J320" s="28"/>
      <c r="K320" s="28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3:26" outlineLevel="1" x14ac:dyDescent="0.3">
      <c r="C321" s="19" t="s">
        <v>150</v>
      </c>
      <c r="D321" s="72"/>
      <c r="E321" s="72"/>
      <c r="F321" s="27" t="s">
        <v>112</v>
      </c>
      <c r="G321" s="31">
        <v>1400</v>
      </c>
      <c r="H321" s="31">
        <v>3850</v>
      </c>
      <c r="I321" s="31">
        <v>14437.5</v>
      </c>
      <c r="J321" s="31">
        <v>28875</v>
      </c>
      <c r="K321" s="31">
        <v>49087.5</v>
      </c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3:26" outlineLevel="1" x14ac:dyDescent="0.3">
      <c r="C322" s="19" t="s">
        <v>131</v>
      </c>
      <c r="D322" s="72"/>
      <c r="E322" s="72"/>
      <c r="F322" s="27" t="s">
        <v>63</v>
      </c>
      <c r="G322" s="31">
        <v>9</v>
      </c>
      <c r="H322" s="31">
        <v>12</v>
      </c>
      <c r="I322" s="31">
        <v>12</v>
      </c>
      <c r="J322" s="31">
        <v>12</v>
      </c>
      <c r="K322" s="31">
        <v>12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3:26" outlineLevel="1" x14ac:dyDescent="0.3">
      <c r="C323" s="72" t="s">
        <v>151</v>
      </c>
      <c r="D323" s="72"/>
      <c r="E323" s="72"/>
      <c r="F323" s="29" t="s">
        <v>112</v>
      </c>
      <c r="G323" s="28">
        <f>G321*G322</f>
        <v>12600</v>
      </c>
      <c r="H323" s="28">
        <f t="shared" ref="H323" si="46">H321*H322</f>
        <v>46200</v>
      </c>
      <c r="I323" s="28">
        <f t="shared" ref="I323" si="47">I321*I322</f>
        <v>173250</v>
      </c>
      <c r="J323" s="28">
        <f t="shared" ref="J323" si="48">J321*J322</f>
        <v>346500</v>
      </c>
      <c r="K323" s="28">
        <f t="shared" ref="K323" si="49">K321*K322</f>
        <v>589050</v>
      </c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3:26" outlineLevel="1" x14ac:dyDescent="0.3">
      <c r="C324" s="72"/>
      <c r="D324" s="72"/>
      <c r="E324" s="72"/>
      <c r="F324" s="29"/>
      <c r="G324" s="28"/>
      <c r="H324" s="28"/>
      <c r="I324" s="28"/>
      <c r="J324" s="28"/>
      <c r="K324" s="28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3:26" outlineLevel="1" x14ac:dyDescent="0.3">
      <c r="C325" s="19" t="s">
        <v>152</v>
      </c>
      <c r="D325" s="72"/>
      <c r="E325" s="72"/>
      <c r="F325" s="27" t="s">
        <v>112</v>
      </c>
      <c r="G325" s="31">
        <v>2000</v>
      </c>
      <c r="H325" s="31">
        <v>5500</v>
      </c>
      <c r="I325" s="31">
        <v>20625</v>
      </c>
      <c r="J325" s="31">
        <v>41250</v>
      </c>
      <c r="K325" s="31">
        <v>70125</v>
      </c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3:26" outlineLevel="1" x14ac:dyDescent="0.3">
      <c r="C326" s="19" t="s">
        <v>131</v>
      </c>
      <c r="D326" s="72"/>
      <c r="E326" s="72"/>
      <c r="F326" s="27" t="s">
        <v>63</v>
      </c>
      <c r="G326" s="31">
        <v>9</v>
      </c>
      <c r="H326" s="31">
        <v>12</v>
      </c>
      <c r="I326" s="31">
        <v>12</v>
      </c>
      <c r="J326" s="31">
        <v>12</v>
      </c>
      <c r="K326" s="31">
        <v>12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3:26" outlineLevel="1" x14ac:dyDescent="0.3">
      <c r="C327" s="72" t="s">
        <v>153</v>
      </c>
      <c r="D327" s="72"/>
      <c r="E327" s="72"/>
      <c r="F327" s="29" t="s">
        <v>112</v>
      </c>
      <c r="G327" s="28">
        <f>G325*G326</f>
        <v>18000</v>
      </c>
      <c r="H327" s="28">
        <f t="shared" ref="H327" si="50">H325*H326</f>
        <v>66000</v>
      </c>
      <c r="I327" s="28">
        <f t="shared" ref="I327" si="51">I325*I326</f>
        <v>247500</v>
      </c>
      <c r="J327" s="28">
        <f t="shared" ref="J327" si="52">J325*J326</f>
        <v>495000</v>
      </c>
      <c r="K327" s="28">
        <f t="shared" ref="K327" si="53">K325*K326</f>
        <v>841500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3:26" outlineLevel="1" x14ac:dyDescent="0.3">
      <c r="C328" s="72"/>
      <c r="D328" s="72"/>
      <c r="E328" s="72"/>
      <c r="F328" s="29"/>
      <c r="G328" s="28"/>
      <c r="H328" s="28"/>
      <c r="I328" s="28"/>
      <c r="J328" s="28"/>
      <c r="K328" s="28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3:26" x14ac:dyDescent="0.3">
      <c r="C329" s="72" t="s">
        <v>65</v>
      </c>
      <c r="D329" s="19"/>
      <c r="E329" s="19"/>
      <c r="F329" s="29" t="s">
        <v>112</v>
      </c>
      <c r="G329" s="28">
        <f>G303+G305+G315</f>
        <v>426960</v>
      </c>
      <c r="H329" s="28">
        <f t="shared" ref="H329:K329" si="54">H303+H305+H315</f>
        <v>1028349</v>
      </c>
      <c r="I329" s="28">
        <f t="shared" si="54"/>
        <v>2658117.4500000002</v>
      </c>
      <c r="J329" s="28">
        <f t="shared" si="54"/>
        <v>4212090.1274999995</v>
      </c>
      <c r="K329" s="28">
        <f t="shared" si="54"/>
        <v>6787085.6981249992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3:26" x14ac:dyDescent="0.3">
      <c r="C330" s="20"/>
      <c r="D330" s="19"/>
      <c r="E330" s="19"/>
      <c r="F330" s="27"/>
      <c r="G330" s="20"/>
      <c r="H330" s="20"/>
      <c r="I330" s="106"/>
      <c r="J330" s="20"/>
      <c r="K330" s="20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3:26" x14ac:dyDescent="0.3">
      <c r="C331" s="72" t="s">
        <v>66</v>
      </c>
      <c r="D331" s="19"/>
      <c r="E331" s="19"/>
      <c r="F331" s="74" t="s">
        <v>112</v>
      </c>
      <c r="G331" s="28">
        <f>G198-G329</f>
        <v>2802126.1052061538</v>
      </c>
      <c r="H331" s="28">
        <f>H198-H329</f>
        <v>4765261.8113117544</v>
      </c>
      <c r="I331" s="28">
        <f>I198-I329</f>
        <v>8543193.5675009824</v>
      </c>
      <c r="J331" s="28">
        <f>J198-J329</f>
        <v>14062151.081790799</v>
      </c>
      <c r="K331" s="28">
        <f>K198-K329</f>
        <v>20053701.384462558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3:26" x14ac:dyDescent="0.3">
      <c r="C332" s="20" t="s">
        <v>67</v>
      </c>
      <c r="D332" s="19"/>
      <c r="E332" s="19"/>
      <c r="F332" s="27" t="s">
        <v>62</v>
      </c>
      <c r="G332" s="40">
        <f>G331/G198</f>
        <v>0.86777683032000108</v>
      </c>
      <c r="H332" s="40">
        <f>H331/H198</f>
        <v>0.82250292028725913</v>
      </c>
      <c r="I332" s="40">
        <f>I331/I198</f>
        <v>0.76269586248904742</v>
      </c>
      <c r="J332" s="40">
        <f>J331/J198</f>
        <v>0.76950670185098946</v>
      </c>
      <c r="K332" s="40">
        <f>K331/K198</f>
        <v>0.74713536986670603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3:26" x14ac:dyDescent="0.3">
      <c r="C333" s="72"/>
      <c r="D333" s="19"/>
      <c r="E333" s="19"/>
      <c r="F333" s="19"/>
      <c r="G333" s="19"/>
      <c r="H333" s="19"/>
      <c r="I333" s="19"/>
      <c r="J333" s="75"/>
      <c r="K333" s="75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3:26" x14ac:dyDescent="0.3">
      <c r="C334" s="19" t="s">
        <v>68</v>
      </c>
      <c r="D334" s="19"/>
      <c r="E334" s="19"/>
      <c r="F334" s="74" t="s">
        <v>112</v>
      </c>
      <c r="G334" s="28">
        <f>MIN(0,-G331*Tax_Rate)</f>
        <v>-420318.91578092304</v>
      </c>
      <c r="H334" s="28">
        <f>MIN(0,-H331*Tax_Rate)</f>
        <v>-714789.27169676311</v>
      </c>
      <c r="I334" s="28">
        <f>MIN(0,-I331*Tax_Rate)</f>
        <v>-1281479.0351251473</v>
      </c>
      <c r="J334" s="28">
        <f>MIN(0,-J331*Tax_Rate)</f>
        <v>-2109322.66226862</v>
      </c>
      <c r="K334" s="28">
        <f>MIN(0,-K331*Tax_Rate)</f>
        <v>-3008055.2076693834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3:26" x14ac:dyDescent="0.3">
      <c r="C335" s="72"/>
      <c r="D335" s="19"/>
      <c r="E335" s="19"/>
      <c r="F335" s="19"/>
      <c r="G335" s="75"/>
      <c r="H335" s="75"/>
      <c r="I335" s="75"/>
      <c r="J335" s="75"/>
      <c r="K335" s="75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3:26" x14ac:dyDescent="0.3">
      <c r="C336" s="72" t="s">
        <v>69</v>
      </c>
      <c r="D336" s="19"/>
      <c r="E336" s="19"/>
      <c r="F336" s="74" t="s">
        <v>112</v>
      </c>
      <c r="G336" s="28">
        <f>+G331+G334</f>
        <v>2381807.189425231</v>
      </c>
      <c r="H336" s="28">
        <f>+H331+H334</f>
        <v>4050472.5396149913</v>
      </c>
      <c r="I336" s="28">
        <f>+I331+I334</f>
        <v>7261714.5323758349</v>
      </c>
      <c r="J336" s="28">
        <f>+J331+J334</f>
        <v>11952828.419522179</v>
      </c>
      <c r="K336" s="28">
        <f>+K331+K334</f>
        <v>17045646.176793173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x14ac:dyDescent="0.3">
      <c r="C337" s="72"/>
      <c r="D337" s="19"/>
      <c r="E337" s="19"/>
      <c r="F337" s="19"/>
      <c r="G337" s="75"/>
      <c r="H337" s="75"/>
      <c r="I337" s="75"/>
      <c r="J337" s="75"/>
      <c r="K337" s="75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x14ac:dyDescent="0.3">
      <c r="C338" s="72" t="s">
        <v>70</v>
      </c>
      <c r="D338" s="19"/>
      <c r="E338" s="19"/>
      <c r="F338" s="19"/>
      <c r="G338" s="75"/>
      <c r="H338" s="75"/>
      <c r="I338" s="75"/>
      <c r="J338" s="75"/>
      <c r="K338" s="75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x14ac:dyDescent="0.3">
      <c r="C339" s="20" t="s">
        <v>71</v>
      </c>
      <c r="D339" s="19"/>
      <c r="E339" s="19"/>
      <c r="F339" s="74" t="s">
        <v>112</v>
      </c>
      <c r="G339" s="28">
        <v>3950</v>
      </c>
      <c r="H339" s="28">
        <v>7350</v>
      </c>
      <c r="I339" s="28">
        <v>16200</v>
      </c>
      <c r="J339" s="28">
        <v>21800</v>
      </c>
      <c r="K339" s="28">
        <v>30300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x14ac:dyDescent="0.3">
      <c r="C340" s="20"/>
      <c r="D340" s="20"/>
      <c r="E340" s="20"/>
      <c r="F340" s="20"/>
      <c r="G340" s="20"/>
      <c r="H340" s="20"/>
      <c r="I340" s="20"/>
      <c r="J340" s="20"/>
      <c r="K340" s="20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x14ac:dyDescent="0.3">
      <c r="C341" s="62" t="s">
        <v>72</v>
      </c>
      <c r="D341" s="19"/>
      <c r="E341" s="19"/>
      <c r="F341" s="74" t="s">
        <v>112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x14ac:dyDescent="0.3">
      <c r="C342" s="20"/>
      <c r="D342" s="19"/>
      <c r="E342" s="19"/>
      <c r="F342" s="19"/>
      <c r="G342" s="19"/>
      <c r="H342" s="19"/>
      <c r="I342" s="19"/>
      <c r="J342" s="75"/>
      <c r="K342" s="75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x14ac:dyDescent="0.3">
      <c r="C343" s="19" t="s">
        <v>176</v>
      </c>
      <c r="D343" s="19"/>
      <c r="E343" s="19"/>
      <c r="F343" s="74" t="s">
        <v>112</v>
      </c>
      <c r="G343" s="28">
        <f>SUM(G344:G345)</f>
        <v>-39500</v>
      </c>
      <c r="H343" s="28">
        <f t="shared" ref="H343:K343" si="55">SUM(H344:H345)</f>
        <v>-34000</v>
      </c>
      <c r="I343" s="28">
        <f t="shared" si="55"/>
        <v>-88500</v>
      </c>
      <c r="J343" s="28">
        <f t="shared" si="55"/>
        <v>-56000</v>
      </c>
      <c r="K343" s="28">
        <f t="shared" si="55"/>
        <v>-85000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x14ac:dyDescent="0.3">
      <c r="C344" s="19" t="s">
        <v>177</v>
      </c>
      <c r="D344" s="19"/>
      <c r="E344" s="19"/>
      <c r="F344" s="74" t="s">
        <v>112</v>
      </c>
      <c r="G344" s="31">
        <v>-5000</v>
      </c>
      <c r="H344" s="31">
        <v>-10000</v>
      </c>
      <c r="I344" s="31">
        <v>-15000</v>
      </c>
      <c r="J344" s="31">
        <v>-20000</v>
      </c>
      <c r="K344" s="31">
        <v>-25000</v>
      </c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x14ac:dyDescent="0.3">
      <c r="C345" s="19" t="s">
        <v>178</v>
      </c>
      <c r="D345" s="19"/>
      <c r="E345" s="19"/>
      <c r="F345" s="74" t="s">
        <v>112</v>
      </c>
      <c r="G345" s="31">
        <v>-34500</v>
      </c>
      <c r="H345" s="28">
        <v>-24000</v>
      </c>
      <c r="I345" s="28">
        <v>-73500</v>
      </c>
      <c r="J345" s="28">
        <v>-36000</v>
      </c>
      <c r="K345" s="28">
        <v>-60000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x14ac:dyDescent="0.3">
      <c r="C346" s="19"/>
      <c r="D346" s="19"/>
      <c r="E346" s="19"/>
      <c r="F346" s="74"/>
      <c r="G346" s="28"/>
      <c r="H346" s="28"/>
      <c r="I346" s="28"/>
      <c r="J346" s="28"/>
      <c r="K346" s="28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x14ac:dyDescent="0.3">
      <c r="C347" s="43" t="s">
        <v>73</v>
      </c>
      <c r="D347" s="43"/>
      <c r="E347" s="76"/>
      <c r="F347" s="57" t="s">
        <v>112</v>
      </c>
      <c r="G347" s="77">
        <f>+G336+G339+G341+G343</f>
        <v>2346257.189425231</v>
      </c>
      <c r="H347" s="77">
        <f>+H336+H339+H341+H343</f>
        <v>4023822.5396149913</v>
      </c>
      <c r="I347" s="77">
        <f>+I336+I339+I341+I343</f>
        <v>7189414.5323758349</v>
      </c>
      <c r="J347" s="77">
        <f>+J336+J339+J341+J343</f>
        <v>11918628.419522179</v>
      </c>
      <c r="K347" s="77">
        <f>+K336+K339+K341+K343</f>
        <v>16990946.176793173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x14ac:dyDescent="0.3">
      <c r="A348" s="19"/>
      <c r="B348" s="19"/>
      <c r="C348" s="32" t="s">
        <v>61</v>
      </c>
      <c r="D348" s="19"/>
      <c r="E348" s="19"/>
      <c r="F348" s="27" t="s">
        <v>62</v>
      </c>
      <c r="G348" s="78"/>
      <c r="H348" s="78">
        <f>IFERROR(+H347/G347-1,"N/A")</f>
        <v>0.71499636005408185</v>
      </c>
      <c r="I348" s="78">
        <f>IFERROR(+I347/H347-1,"N/A")</f>
        <v>0.78671262502141426</v>
      </c>
      <c r="J348" s="78">
        <f>IFERROR(+J347/I347-1,"N/A")</f>
        <v>0.6578023656654437</v>
      </c>
      <c r="K348" s="78">
        <f>IFERROR(+K347/J347-1,"N/A")</f>
        <v>0.42557898264222782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33"/>
      <c r="K349" s="33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x14ac:dyDescent="0.3">
      <c r="A350" s="19"/>
      <c r="B350" s="19"/>
      <c r="C350" s="58" t="s">
        <v>74</v>
      </c>
      <c r="D350" s="58"/>
      <c r="E350" s="58"/>
      <c r="F350" s="79" t="s">
        <v>112</v>
      </c>
      <c r="G350" s="77">
        <f>+G331+G339</f>
        <v>2806076.1052061538</v>
      </c>
      <c r="H350" s="77">
        <f>+H331+H339</f>
        <v>4772611.8113117544</v>
      </c>
      <c r="I350" s="77">
        <f>+I331+I339</f>
        <v>8559393.5675009824</v>
      </c>
      <c r="J350" s="77">
        <f>+J331+J339</f>
        <v>14083951.081790799</v>
      </c>
      <c r="K350" s="77">
        <f>+K331+K339</f>
        <v>20084001.384462558</v>
      </c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x14ac:dyDescent="0.3">
      <c r="A351" s="19"/>
      <c r="B351" s="19"/>
      <c r="C351" s="32" t="s">
        <v>61</v>
      </c>
      <c r="F351" s="34" t="s">
        <v>62</v>
      </c>
      <c r="G351" s="78"/>
      <c r="H351" s="78">
        <f>IFERROR(+H350/G350-1,"N/A")</f>
        <v>0.70081338936497772</v>
      </c>
      <c r="I351" s="78">
        <f>IFERROR(+I350/H350-1,"N/A")</f>
        <v>0.79344013422881532</v>
      </c>
      <c r="J351" s="78">
        <f>IFERROR(+J350/I350-1,"N/A")</f>
        <v>0.64543795897713085</v>
      </c>
      <c r="K351" s="78">
        <f>IFERROR(+K350/J350-1,"N/A")</f>
        <v>0.42602038787462493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x14ac:dyDescent="0.3">
      <c r="Q352" s="19"/>
      <c r="R352" s="19"/>
    </row>
    <row r="354" spans="5:11" x14ac:dyDescent="0.3">
      <c r="G354" s="118"/>
      <c r="H354" s="102"/>
      <c r="I354" s="102"/>
      <c r="J354" s="102"/>
      <c r="K354" s="102"/>
    </row>
    <row r="355" spans="5:11" x14ac:dyDescent="0.3">
      <c r="G355" s="102"/>
      <c r="H355" s="102"/>
      <c r="I355" s="102"/>
      <c r="J355" s="102"/>
      <c r="K355" s="102"/>
    </row>
    <row r="356" spans="5:11" x14ac:dyDescent="0.3">
      <c r="G356" s="120"/>
      <c r="H356" s="120"/>
      <c r="I356" s="120"/>
      <c r="J356" s="120"/>
      <c r="K356" s="120"/>
    </row>
    <row r="357" spans="5:11" x14ac:dyDescent="0.3">
      <c r="H357" s="102"/>
      <c r="I357" s="102"/>
      <c r="J357" s="102"/>
      <c r="K357" s="102"/>
    </row>
    <row r="358" spans="5:11" x14ac:dyDescent="0.3">
      <c r="G358" s="102"/>
      <c r="H358" s="103"/>
      <c r="I358" s="102"/>
    </row>
    <row r="359" spans="5:11" x14ac:dyDescent="0.3">
      <c r="G359" s="102"/>
    </row>
    <row r="360" spans="5:11" x14ac:dyDescent="0.3">
      <c r="E360" s="102"/>
      <c r="G360" s="120"/>
      <c r="H360" s="120"/>
      <c r="I360" s="120"/>
      <c r="J360" s="120"/>
      <c r="K360" s="120"/>
    </row>
    <row r="361" spans="5:11" x14ac:dyDescent="0.3">
      <c r="E361" s="102"/>
      <c r="F361" s="102"/>
      <c r="G361" s="102"/>
      <c r="H361" s="103"/>
    </row>
    <row r="362" spans="5:11" x14ac:dyDescent="0.3">
      <c r="E362" s="102"/>
      <c r="F362" s="102"/>
      <c r="G362" s="103"/>
      <c r="H362" s="102"/>
      <c r="I362" s="102"/>
    </row>
    <row r="363" spans="5:11" x14ac:dyDescent="0.3">
      <c r="E363" s="102"/>
      <c r="F363" s="102"/>
      <c r="G363" s="112"/>
      <c r="H363" s="112"/>
      <c r="I363" s="112"/>
      <c r="J363" s="103"/>
    </row>
    <row r="364" spans="5:11" x14ac:dyDescent="0.3">
      <c r="G364" s="102"/>
      <c r="H364" s="102"/>
      <c r="I364" s="102"/>
      <c r="J364" s="103"/>
    </row>
    <row r="365" spans="5:11" x14ac:dyDescent="0.3">
      <c r="G365" s="102"/>
      <c r="H365" s="102"/>
      <c r="I365" s="102"/>
      <c r="J365" s="103"/>
    </row>
    <row r="366" spans="5:11" x14ac:dyDescent="0.3">
      <c r="G366" s="102"/>
      <c r="H366" s="102"/>
      <c r="I366" s="102"/>
      <c r="J366" s="103"/>
    </row>
    <row r="367" spans="5:11" x14ac:dyDescent="0.3">
      <c r="G367" s="107"/>
      <c r="H367" s="107"/>
      <c r="I367" s="107"/>
    </row>
    <row r="371" spans="7:9" x14ac:dyDescent="0.3">
      <c r="G371" s="102"/>
      <c r="H371" s="102"/>
      <c r="I371" s="102"/>
    </row>
  </sheetData>
  <pageMargins left="0.75" right="0.75" top="1" bottom="1" header="0.5" footer="0.5"/>
  <pageSetup scale="47" orientation="portrait" horizontalDpi="200" verticalDpi="200" r:id="rId1"/>
  <headerFooter alignWithMargins="0"/>
  <rowBreaks count="1" manualBreakCount="1">
    <brk id="24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Cover Page</vt:lpstr>
      <vt:lpstr>Valuation </vt:lpstr>
      <vt:lpstr>Investment Offer</vt:lpstr>
      <vt:lpstr>Comparable Analysis Method</vt:lpstr>
      <vt:lpstr>Berkus Method</vt:lpstr>
      <vt:lpstr>Scorecard Method</vt:lpstr>
      <vt:lpstr>Risk Summutation Method</vt:lpstr>
      <vt:lpstr> DCF </vt:lpstr>
      <vt:lpstr>Venture Capital Method </vt:lpstr>
      <vt:lpstr>Returns Analysis </vt:lpstr>
      <vt:lpstr>' DCF '!Company_Name</vt:lpstr>
      <vt:lpstr>' DCF '!Discount_Rate</vt:lpstr>
      <vt:lpstr>' DCF '!Multiples_Method</vt:lpstr>
      <vt:lpstr>' DCF '!Print_Area</vt:lpstr>
      <vt:lpstr>'Cover Page'!Print_Area</vt:lpstr>
      <vt:lpstr>'Returns Analysis '!Print_Area</vt:lpstr>
      <vt:lpstr>' DCF '!Share_Price</vt:lpstr>
      <vt:lpstr>' DCF '!Tax_Rate</vt:lpstr>
      <vt:lpstr>' DCF '!Terminal_Growth_Rate</vt:lpstr>
      <vt:lpstr>' DCF '!Terminal_Multiple</vt:lpstr>
    </vt:vector>
  </TitlesOfParts>
  <Company>Goldcorp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David</cp:lastModifiedBy>
  <cp:lastPrinted>2019-09-11T17:00:44Z</cp:lastPrinted>
  <dcterms:created xsi:type="dcterms:W3CDTF">2014-03-20T00:13:16Z</dcterms:created>
  <dcterms:modified xsi:type="dcterms:W3CDTF">2025-04-23T13:15:25Z</dcterms:modified>
</cp:coreProperties>
</file>