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/>
  <mc:AlternateContent xmlns:mc="http://schemas.openxmlformats.org/markup-compatibility/2006">
    <mc:Choice Requires="x15">
      <x15ac:absPath xmlns:x15ac="http://schemas.microsoft.com/office/spreadsheetml/2010/11/ac" url="E:\WebDev\Projekty aplikacji\Kalkulator-druk wielkoformatowy excel\"/>
    </mc:Choice>
  </mc:AlternateContent>
  <xr:revisionPtr revIDLastSave="0" documentId="8_{02187A73-BCDE-4E31-B9AC-87ED8D4BEF98}" xr6:coauthVersionLast="43" xr6:coauthVersionMax="43" xr10:uidLastSave="{00000000-0000-0000-0000-000000000000}"/>
  <bookViews>
    <workbookView xWindow="-120" yWindow="-120" windowWidth="21840" windowHeight="13140" tabRatio="743" xr2:uid="{00000000-000D-0000-FFFF-FFFF00000000}"/>
  </bookViews>
  <sheets>
    <sheet name="KALKULATOR" sheetId="1" r:id="rId1"/>
    <sheet name="Ustawienia-druk wielkoformatowy" sheetId="2" r:id="rId2"/>
    <sheet name="Ustawienia-plakaty" sheetId="3" r:id="rId3"/>
    <sheet name="Ustawienia-bannery" sheetId="6" r:id="rId4"/>
    <sheet name="Pomocnicze-Obliczenia" sheetId="5" r:id="rId5"/>
    <sheet name="Komunikaty" sheetId="7" r:id="rId6"/>
  </sheets>
  <definedNames>
    <definedName name="nowa">Tabela1[]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5" i="7" l="1"/>
  <c r="D20" i="5"/>
  <c r="D21" i="5" s="1"/>
  <c r="D22" i="5" s="1"/>
  <c r="C20" i="5"/>
  <c r="C21" i="5" s="1"/>
  <c r="C22" i="5" s="1"/>
  <c r="E22" i="5" l="1"/>
  <c r="C16" i="7" s="1"/>
  <c r="E20" i="5"/>
  <c r="E21" i="5"/>
  <c r="E24" i="1"/>
  <c r="D10" i="7"/>
  <c r="E38" i="1" l="1"/>
  <c r="E41" i="1"/>
  <c r="D12" i="5"/>
  <c r="D13" i="5" s="1"/>
  <c r="D14" i="5" s="1"/>
  <c r="C12" i="5"/>
  <c r="C13" i="5" s="1"/>
  <c r="C14" i="5" s="1"/>
  <c r="D4" i="5"/>
  <c r="D5" i="5" s="1"/>
  <c r="D6" i="5" s="1"/>
  <c r="C4" i="5"/>
  <c r="C5" i="5" s="1"/>
  <c r="C6" i="5" s="1"/>
  <c r="D4" i="7"/>
  <c r="C15" i="7" l="1"/>
  <c r="B43" i="1" s="1"/>
  <c r="E42" i="1"/>
  <c r="E39" i="1"/>
  <c r="E14" i="5"/>
  <c r="E6" i="5"/>
  <c r="E5" i="5" s="1"/>
  <c r="E13" i="5"/>
  <c r="E12" i="5"/>
  <c r="E43" i="1" l="1"/>
  <c r="E45" i="1" s="1"/>
  <c r="E40" i="1"/>
  <c r="E23" i="1"/>
  <c r="E26" i="1"/>
  <c r="E4" i="5"/>
  <c r="E7" i="1"/>
  <c r="C5" i="7"/>
  <c r="E27" i="1" l="1"/>
  <c r="C10" i="7"/>
  <c r="B27" i="1" s="1"/>
  <c r="E25" i="1"/>
  <c r="E4" i="1"/>
  <c r="E9" i="1" l="1"/>
  <c r="E10" i="1"/>
  <c r="C4" i="7"/>
  <c r="E28" i="1"/>
  <c r="E30" i="1" s="1"/>
  <c r="E8" i="1"/>
  <c r="E5" i="1"/>
  <c r="E11" i="1" l="1"/>
  <c r="B13" i="1"/>
  <c r="E6" i="1"/>
  <c r="E47" i="1"/>
  <c r="E48" i="1" s="1"/>
  <c r="E32" i="1" l="1"/>
  <c r="E33" i="1" s="1"/>
  <c r="E12" i="1"/>
  <c r="E13" i="1" l="1"/>
  <c r="E15" i="1" s="1"/>
  <c r="E17" i="1" s="1"/>
  <c r="I8" i="1" s="1"/>
  <c r="I10" i="1" s="1"/>
  <c r="E18" i="1" l="1"/>
</calcChain>
</file>

<file path=xl/sharedStrings.xml><?xml version="1.0" encoding="utf-8"?>
<sst xmlns="http://schemas.openxmlformats.org/spreadsheetml/2006/main" count="244" uniqueCount="130">
  <si>
    <t>WYDRUKI WIELKOFORMATOWE</t>
  </si>
  <si>
    <t>PARAMETRY</t>
  </si>
  <si>
    <t>Szerokość (cm)</t>
  </si>
  <si>
    <t>Wysokość (cm)</t>
  </si>
  <si>
    <t>Dodatkowe usługi</t>
  </si>
  <si>
    <t>Naklejanie na podkład</t>
  </si>
  <si>
    <t>Narzut</t>
  </si>
  <si>
    <t>Ilość</t>
  </si>
  <si>
    <t>WYCENA</t>
  </si>
  <si>
    <t>Koszt naklejania</t>
  </si>
  <si>
    <t>Koszt nacinania</t>
  </si>
  <si>
    <t>Koszt produkcji (suma)</t>
  </si>
  <si>
    <t>Narzut netto</t>
  </si>
  <si>
    <t>Rabat %</t>
  </si>
  <si>
    <t>Kwota netto</t>
  </si>
  <si>
    <t>Kwota netto z rabatem</t>
  </si>
  <si>
    <t>Kwota brutto</t>
  </si>
  <si>
    <t>Cena za m2</t>
  </si>
  <si>
    <t>papier 140g</t>
  </si>
  <si>
    <t>papier 200g</t>
  </si>
  <si>
    <t>folia samoprzylepna matowa</t>
  </si>
  <si>
    <t>folia samoprzylepna błyszcząca</t>
  </si>
  <si>
    <t>folia perforowana OWV</t>
  </si>
  <si>
    <t>Backlit folia samoprzylepna do podświetleń</t>
  </si>
  <si>
    <t>Folia wylewana</t>
  </si>
  <si>
    <t>Block Out Poster/Rollup</t>
  </si>
  <si>
    <t>Canvas</t>
  </si>
  <si>
    <t>DODATKOWE USŁUGI</t>
  </si>
  <si>
    <t>Usługa</t>
  </si>
  <si>
    <t>Nacinanie</t>
  </si>
  <si>
    <t>Brak</t>
  </si>
  <si>
    <t>Nacinanie, transport i wybieranie</t>
  </si>
  <si>
    <t>RODZAJ CIĘCIA NA WYMIAR</t>
  </si>
  <si>
    <t>Cięcie</t>
  </si>
  <si>
    <t>Na użytki</t>
  </si>
  <si>
    <t>Na arkusze</t>
  </si>
  <si>
    <t>Mini</t>
  </si>
  <si>
    <t>NAKLEJANIE NA PODKŁAD</t>
  </si>
  <si>
    <t>Rodzaj podkładu</t>
  </si>
  <si>
    <t>PCV 3mm</t>
  </si>
  <si>
    <t>PCV 5mm</t>
  </si>
  <si>
    <t>Plexi 3mm</t>
  </si>
  <si>
    <t>Plexi 5mm</t>
  </si>
  <si>
    <t>PCV twarde 3mm</t>
  </si>
  <si>
    <t>PCV twarde 5mm</t>
  </si>
  <si>
    <t>Dibond</t>
  </si>
  <si>
    <t>NACINANIE PLOTEROWE</t>
  </si>
  <si>
    <t>nie</t>
  </si>
  <si>
    <t>tak - małe elementy</t>
  </si>
  <si>
    <t>tak - duże elementy</t>
  </si>
  <si>
    <t>NARZUT</t>
  </si>
  <si>
    <t>%</t>
  </si>
  <si>
    <t>express</t>
  </si>
  <si>
    <t>Margines wokół wydruku (mm)</t>
  </si>
  <si>
    <t>CENA MATERIAŁU</t>
  </si>
  <si>
    <t>Materiał</t>
  </si>
  <si>
    <t>Szerokość materiału (mm)</t>
  </si>
  <si>
    <t>Rodzaj materiału</t>
  </si>
  <si>
    <t>Minimalna ilość zamówienia (m2)</t>
  </si>
  <si>
    <t>Cena netto za szt. z rabatem</t>
  </si>
  <si>
    <t>DODATKOWE PARAMETRY</t>
  </si>
  <si>
    <t>Koszt materiału</t>
  </si>
  <si>
    <t>PLAKATY</t>
  </si>
  <si>
    <t>Format</t>
  </si>
  <si>
    <t>Długość A</t>
  </si>
  <si>
    <t>Długość B</t>
  </si>
  <si>
    <t>A3 297x420mm</t>
  </si>
  <si>
    <t>A4 210x297mm</t>
  </si>
  <si>
    <t>A5 148x210mm</t>
  </si>
  <si>
    <t>A6 105x148mm</t>
  </si>
  <si>
    <t>BANERY</t>
  </si>
  <si>
    <t>Cena powyżej 20m2</t>
  </si>
  <si>
    <t>Cena do 5 m2</t>
  </si>
  <si>
    <t>Cięcie na wymiar</t>
  </si>
  <si>
    <t>powlekany</t>
  </si>
  <si>
    <t>odblaskowy</t>
  </si>
  <si>
    <t>siatka mesh</t>
  </si>
  <si>
    <t>dwustronny</t>
  </si>
  <si>
    <t>Cena 6-10 m2</t>
  </si>
  <si>
    <t>Cena 11-20 m2</t>
  </si>
  <si>
    <t>Ilość zużytego materiału (m2)</t>
  </si>
  <si>
    <t>Ilość zadrukowana (m2)</t>
  </si>
  <si>
    <t>Ilość odpadów (m2)</t>
  </si>
  <si>
    <t>aktywny</t>
  </si>
  <si>
    <t>zbyt małe zamówenie</t>
  </si>
  <si>
    <t>rodzaj komunikatu</t>
  </si>
  <si>
    <t>treść</t>
  </si>
  <si>
    <t>Stawka VAT</t>
  </si>
  <si>
    <t>parametr</t>
  </si>
  <si>
    <t>wariant A</t>
  </si>
  <si>
    <t>wariant B</t>
  </si>
  <si>
    <t>korzystniejszy wariant</t>
  </si>
  <si>
    <t xml:space="preserve">Ile szt w rzędzie </t>
  </si>
  <si>
    <t>Ile rzędów</t>
  </si>
  <si>
    <t>zbyt duży rozmiar wydruku</t>
  </si>
  <si>
    <t>Podane wymiary wydruku są zbyt duże i nie mieszczą się na wybranym materiale</t>
  </si>
  <si>
    <t>Długość zużytego materału cm</t>
  </si>
  <si>
    <t>Długość zużytego materiału (mb)</t>
  </si>
  <si>
    <t>FORMAT WYDRUKU</t>
  </si>
  <si>
    <t>oce 140g</t>
  </si>
  <si>
    <t>Cena 11-15 m2</t>
  </si>
  <si>
    <t>Cena 16-20 m2</t>
  </si>
  <si>
    <t>cena do 5m2</t>
  </si>
  <si>
    <t>cena 6-10m2</t>
  </si>
  <si>
    <t>cena 11-20m2</t>
  </si>
  <si>
    <t>cena powyżej 20m2</t>
  </si>
  <si>
    <t>Koszt</t>
  </si>
  <si>
    <t>CENA</t>
  </si>
  <si>
    <t>Ile szt w rzędzie</t>
  </si>
  <si>
    <t>Długość zużytego materiału cm</t>
  </si>
  <si>
    <t>tak</t>
  </si>
  <si>
    <t>Wydruki wielkoformatowe</t>
  </si>
  <si>
    <t>Plakaty</t>
  </si>
  <si>
    <t>Bannery</t>
  </si>
  <si>
    <t>PODSUMOWANIE</t>
  </si>
  <si>
    <t>Suma netto z rabatami</t>
  </si>
  <si>
    <t>Rabat</t>
  </si>
  <si>
    <t>super express</t>
  </si>
  <si>
    <t>Pola do edycji</t>
  </si>
  <si>
    <t>Pola automatyczne</t>
  </si>
  <si>
    <t>Pola z kwotami netto</t>
  </si>
  <si>
    <t>Pola z kwotami brutto</t>
  </si>
  <si>
    <t>LEGENDA</t>
  </si>
  <si>
    <t>Laminowanie</t>
  </si>
  <si>
    <t>LAMINOWANIE</t>
  </si>
  <si>
    <t>laminat 1</t>
  </si>
  <si>
    <t>laminat 2</t>
  </si>
  <si>
    <t>laminat 3</t>
  </si>
  <si>
    <t>Koszt laminowania</t>
  </si>
  <si>
    <t>standard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</si>
</sst>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zł&quot;"/>
  </numFmts>
  <fonts count="1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charset val="238"/>
      <scheme val="minor"/>
    </font>
    <font>
      <b/>
      <sz val="20"/>
      <color theme="0"/>
      <name val="Calibri"/>
      <family val="2"/>
      <charset val="238"/>
      <scheme val="minor"/>
    </font>
    <font>
      <sz val="18"/>
      <color theme="0"/>
      <name val="Calibri"/>
      <family val="2"/>
      <scheme val="minor"/>
    </font>
    <font>
      <sz val="12"/>
      <color theme="1"/>
      <name val="Arial"/>
      <family val="2"/>
      <charset val="238"/>
    </font>
    <font>
      <b/>
      <sz val="20"/>
      <color theme="0"/>
      <name val="Arial"/>
      <family val="2"/>
      <charset val="238"/>
    </font>
    <font>
      <b/>
      <sz val="12"/>
      <color theme="0"/>
      <name val="Arial"/>
      <family val="2"/>
      <charset val="238"/>
    </font>
    <font>
      <b/>
      <sz val="12"/>
      <color theme="1"/>
      <name val="Arial"/>
      <family val="2"/>
      <charset val="238"/>
    </font>
    <font>
      <sz val="12"/>
      <color rgb="FFFF0000"/>
      <name val="Arial"/>
      <family val="2"/>
      <charset val="238"/>
    </font>
    <font>
      <b/>
      <sz val="12"/>
      <name val="Arial"/>
      <family val="2"/>
      <charset val="238"/>
    </font>
    <font>
      <sz val="12"/>
      <name val="Arial"/>
      <family val="2"/>
      <charset val="238"/>
    </font>
    <font>
      <b/>
      <sz val="11"/>
      <color theme="5"/>
      <name val="Calibri"/>
      <family val="2"/>
      <charset val="238"/>
      <scheme val="minor"/>
    </font>
    <font>
      <sz val="11"/>
      <color theme="0"/>
      <name val="Calibri"/>
      <family val="2"/>
      <scheme val="minor"/>
    </font>
    <font>
      <b/>
      <sz val="16"/>
      <color theme="0"/>
      <name val="Arial"/>
      <family val="2"/>
      <charset val="238"/>
    </font>
  </fonts>
  <fills count="10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4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8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/>
    <xf numFmtId="0" fontId="0" fillId="0" borderId="7" xfId="0" applyBorder="1"/>
    <xf numFmtId="164" fontId="0" fillId="0" borderId="0" xfId="0" applyNumberFormat="1"/>
    <xf numFmtId="164" fontId="0" fillId="0" borderId="0" xfId="0" applyNumberFormat="1" applyBorder="1"/>
    <xf numFmtId="9" fontId="0" fillId="0" borderId="0" xfId="0" applyNumberFormat="1"/>
    <xf numFmtId="9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vertical="top" wrapText="1"/>
    </xf>
    <xf numFmtId="0" fontId="0" fillId="0" borderId="0" xfId="0" quotePrefix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8" borderId="0" xfId="0" applyFont="1" applyFill="1" applyAlignment="1">
      <alignment horizontal="center"/>
    </xf>
    <xf numFmtId="0" fontId="0" fillId="0" borderId="0" xfId="0" applyAlignment="1">
      <alignment vertical="center" wrapText="1"/>
    </xf>
    <xf numFmtId="0" fontId="4" fillId="0" borderId="0" xfId="0" applyFont="1"/>
    <xf numFmtId="0" fontId="4" fillId="4" borderId="8" xfId="0" applyFont="1" applyFill="1" applyBorder="1" applyAlignment="1" applyProtection="1">
      <alignment horizontal="center"/>
      <protection locked="0"/>
    </xf>
    <xf numFmtId="0" fontId="7" fillId="5" borderId="15" xfId="0" applyFont="1" applyFill="1" applyBorder="1"/>
    <xf numFmtId="2" fontId="4" fillId="5" borderId="16" xfId="0" applyNumberFormat="1" applyFont="1" applyFill="1" applyBorder="1" applyAlignment="1">
      <alignment horizontal="center"/>
    </xf>
    <xf numFmtId="164" fontId="4" fillId="5" borderId="16" xfId="0" applyNumberFormat="1" applyFont="1" applyFill="1" applyBorder="1" applyAlignment="1">
      <alignment horizontal="center"/>
    </xf>
    <xf numFmtId="9" fontId="4" fillId="4" borderId="8" xfId="0" applyNumberFormat="1" applyFont="1" applyFill="1" applyBorder="1" applyAlignment="1" applyProtection="1">
      <alignment horizontal="center"/>
      <protection locked="0"/>
    </xf>
    <xf numFmtId="0" fontId="4" fillId="4" borderId="18" xfId="0" applyFont="1" applyFill="1" applyBorder="1" applyAlignment="1" applyProtection="1">
      <alignment horizontal="center"/>
      <protection locked="0"/>
    </xf>
    <xf numFmtId="0" fontId="7" fillId="6" borderId="15" xfId="0" applyFont="1" applyFill="1" applyBorder="1"/>
    <xf numFmtId="164" fontId="4" fillId="6" borderId="16" xfId="0" applyNumberFormat="1" applyFont="1" applyFill="1" applyBorder="1"/>
    <xf numFmtId="0" fontId="9" fillId="4" borderId="15" xfId="0" applyFont="1" applyFill="1" applyBorder="1"/>
    <xf numFmtId="9" fontId="10" fillId="4" borderId="16" xfId="0" applyNumberFormat="1" applyFont="1" applyFill="1" applyBorder="1" applyAlignment="1" applyProtection="1">
      <alignment horizontal="right"/>
      <protection locked="0"/>
    </xf>
    <xf numFmtId="0" fontId="8" fillId="0" borderId="0" xfId="0" applyFont="1" applyFill="1" applyBorder="1" applyAlignment="1">
      <alignment horizontal="center" vertical="center" wrapText="1"/>
    </xf>
    <xf numFmtId="0" fontId="4" fillId="4" borderId="16" xfId="0" applyFont="1" applyFill="1" applyBorder="1" applyAlignment="1">
      <alignment horizontal="center"/>
    </xf>
    <xf numFmtId="0" fontId="7" fillId="5" borderId="30" xfId="0" applyFont="1" applyFill="1" applyBorder="1" applyAlignment="1">
      <alignment horizontal="left"/>
    </xf>
    <xf numFmtId="0" fontId="7" fillId="5" borderId="15" xfId="0" applyFont="1" applyFill="1" applyBorder="1" applyAlignment="1">
      <alignment horizontal="left"/>
    </xf>
    <xf numFmtId="2" fontId="4" fillId="5" borderId="24" xfId="0" applyNumberFormat="1" applyFont="1" applyFill="1" applyBorder="1" applyAlignment="1">
      <alignment horizontal="center"/>
    </xf>
    <xf numFmtId="164" fontId="4" fillId="6" borderId="16" xfId="0" applyNumberFormat="1" applyFont="1" applyFill="1" applyBorder="1" applyAlignment="1">
      <alignment horizontal="center"/>
    </xf>
    <xf numFmtId="9" fontId="10" fillId="4" borderId="16" xfId="0" applyNumberFormat="1" applyFont="1" applyFill="1" applyBorder="1" applyAlignment="1" applyProtection="1">
      <alignment horizontal="center"/>
      <protection locked="0"/>
    </xf>
    <xf numFmtId="2" fontId="0" fillId="0" borderId="7" xfId="0" applyNumberFormat="1" applyBorder="1"/>
    <xf numFmtId="2" fontId="0" fillId="0" borderId="0" xfId="0" applyNumberFormat="1"/>
    <xf numFmtId="0" fontId="0" fillId="0" borderId="0" xfId="0" applyNumberFormat="1"/>
    <xf numFmtId="4" fontId="4" fillId="5" borderId="16" xfId="0" applyNumberFormat="1" applyFont="1" applyFill="1" applyBorder="1" applyAlignment="1">
      <alignment horizontal="center"/>
    </xf>
    <xf numFmtId="0" fontId="5" fillId="2" borderId="11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Font="1"/>
    <xf numFmtId="0" fontId="4" fillId="4" borderId="35" xfId="0" applyFont="1" applyFill="1" applyBorder="1" applyAlignment="1">
      <alignment horizontal="center"/>
    </xf>
    <xf numFmtId="9" fontId="4" fillId="4" borderId="16" xfId="0" applyNumberFormat="1" applyFont="1" applyFill="1" applyBorder="1" applyAlignment="1">
      <alignment horizontal="center"/>
    </xf>
    <xf numFmtId="164" fontId="7" fillId="6" borderId="16" xfId="0" applyNumberFormat="1" applyFont="1" applyFill="1" applyBorder="1" applyAlignment="1">
      <alignment horizontal="center"/>
    </xf>
    <xf numFmtId="0" fontId="7" fillId="6" borderId="17" xfId="0" applyFont="1" applyFill="1" applyBorder="1"/>
    <xf numFmtId="164" fontId="4" fillId="6" borderId="18" xfId="0" applyNumberFormat="1" applyFont="1" applyFill="1" applyBorder="1"/>
    <xf numFmtId="164" fontId="4" fillId="6" borderId="18" xfId="0" applyNumberFormat="1" applyFont="1" applyFill="1" applyBorder="1" applyAlignment="1">
      <alignment horizontal="center"/>
    </xf>
    <xf numFmtId="0" fontId="7" fillId="5" borderId="15" xfId="0" applyFont="1" applyFill="1" applyBorder="1" applyAlignment="1">
      <alignment horizontal="center"/>
    </xf>
    <xf numFmtId="0" fontId="7" fillId="5" borderId="19" xfId="0" applyFont="1" applyFill="1" applyBorder="1" applyAlignment="1">
      <alignment horizontal="center"/>
    </xf>
    <xf numFmtId="0" fontId="7" fillId="5" borderId="17" xfId="0" applyFont="1" applyFill="1" applyBorder="1" applyAlignment="1">
      <alignment horizontal="center"/>
    </xf>
    <xf numFmtId="0" fontId="4" fillId="5" borderId="34" xfId="0" applyFont="1" applyFill="1" applyBorder="1"/>
    <xf numFmtId="0" fontId="4" fillId="5" borderId="15" xfId="0" applyFont="1" applyFill="1" applyBorder="1"/>
    <xf numFmtId="0" fontId="7" fillId="5" borderId="25" xfId="0" applyFont="1" applyFill="1" applyBorder="1"/>
    <xf numFmtId="164" fontId="4" fillId="5" borderId="26" xfId="0" applyNumberFormat="1" applyFont="1" applyFill="1" applyBorder="1" applyAlignment="1">
      <alignment horizontal="center"/>
    </xf>
    <xf numFmtId="0" fontId="7" fillId="6" borderId="34" xfId="0" applyFont="1" applyFill="1" applyBorder="1"/>
    <xf numFmtId="164" fontId="4" fillId="6" borderId="35" xfId="0" applyNumberFormat="1" applyFont="1" applyFill="1" applyBorder="1" applyAlignment="1">
      <alignment horizontal="center"/>
    </xf>
    <xf numFmtId="0" fontId="7" fillId="5" borderId="17" xfId="0" applyFont="1" applyFill="1" applyBorder="1"/>
    <xf numFmtId="164" fontId="4" fillId="6" borderId="35" xfId="0" applyNumberFormat="1" applyFont="1" applyFill="1" applyBorder="1"/>
    <xf numFmtId="0" fontId="7" fillId="5" borderId="25" xfId="0" applyFont="1" applyFill="1" applyBorder="1" applyAlignment="1">
      <alignment horizontal="center"/>
    </xf>
    <xf numFmtId="0" fontId="7" fillId="6" borderId="39" xfId="0" applyFont="1" applyFill="1" applyBorder="1"/>
    <xf numFmtId="10" fontId="4" fillId="4" borderId="36" xfId="0" applyNumberFormat="1" applyFont="1" applyFill="1" applyBorder="1" applyAlignment="1" applyProtection="1">
      <alignment horizontal="center"/>
      <protection locked="0"/>
    </xf>
    <xf numFmtId="0" fontId="7" fillId="6" borderId="30" xfId="0" applyFont="1" applyFill="1" applyBorder="1"/>
    <xf numFmtId="0" fontId="7" fillId="6" borderId="41" xfId="0" applyFont="1" applyFill="1" applyBorder="1"/>
    <xf numFmtId="0" fontId="9" fillId="4" borderId="30" xfId="0" applyFont="1" applyFill="1" applyBorder="1"/>
    <xf numFmtId="0" fontId="7" fillId="5" borderId="42" xfId="0" applyFont="1" applyFill="1" applyBorder="1"/>
    <xf numFmtId="164" fontId="4" fillId="5" borderId="38" xfId="0" applyNumberFormat="1" applyFont="1" applyFill="1" applyBorder="1" applyAlignment="1">
      <alignment horizontal="center"/>
    </xf>
    <xf numFmtId="9" fontId="4" fillId="4" borderId="36" xfId="0" applyNumberFormat="1" applyFont="1" applyFill="1" applyBorder="1" applyAlignment="1" applyProtection="1">
      <alignment horizontal="center"/>
      <protection locked="0"/>
    </xf>
    <xf numFmtId="0" fontId="6" fillId="3" borderId="40" xfId="0" applyFont="1" applyFill="1" applyBorder="1" applyAlignment="1">
      <alignment horizontal="center"/>
    </xf>
    <xf numFmtId="0" fontId="4" fillId="4" borderId="44" xfId="0" applyFont="1" applyFill="1" applyBorder="1" applyAlignment="1">
      <alignment horizontal="left"/>
    </xf>
    <xf numFmtId="0" fontId="4" fillId="5" borderId="43" xfId="0" applyFont="1" applyFill="1" applyBorder="1" applyAlignment="1">
      <alignment horizontal="left"/>
    </xf>
    <xf numFmtId="0" fontId="4" fillId="6" borderId="43" xfId="0" applyFont="1" applyFill="1" applyBorder="1" applyAlignment="1">
      <alignment horizontal="left"/>
    </xf>
    <xf numFmtId="0" fontId="4" fillId="7" borderId="37" xfId="0" applyFont="1" applyFill="1" applyBorder="1" applyAlignment="1">
      <alignment horizontal="left"/>
    </xf>
    <xf numFmtId="0" fontId="5" fillId="2" borderId="10" xfId="0" applyFont="1" applyFill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13" fillId="2" borderId="1" xfId="0" applyFont="1" applyFill="1" applyBorder="1" applyAlignment="1">
      <alignment horizontal="center"/>
    </xf>
    <xf numFmtId="0" fontId="13" fillId="2" borderId="3" xfId="0" applyFont="1" applyFill="1" applyBorder="1" applyAlignment="1">
      <alignment horizontal="center"/>
    </xf>
    <xf numFmtId="0" fontId="8" fillId="0" borderId="9" xfId="0" applyFont="1" applyFill="1" applyBorder="1" applyAlignment="1">
      <alignment horizontal="center" vertical="center" wrapText="1"/>
    </xf>
    <xf numFmtId="0" fontId="8" fillId="0" borderId="21" xfId="0" applyFont="1" applyFill="1" applyBorder="1" applyAlignment="1">
      <alignment horizontal="center" vertical="center" wrapText="1"/>
    </xf>
    <xf numFmtId="0" fontId="8" fillId="0" borderId="12" xfId="0" applyFont="1" applyFill="1" applyBorder="1" applyAlignment="1">
      <alignment horizontal="center" vertical="center" wrapText="1"/>
    </xf>
    <xf numFmtId="0" fontId="8" fillId="0" borderId="13" xfId="0" applyFont="1" applyFill="1" applyBorder="1" applyAlignment="1">
      <alignment horizontal="center" vertical="center" wrapText="1"/>
    </xf>
    <xf numFmtId="0" fontId="8" fillId="0" borderId="32" xfId="0" applyFont="1" applyFill="1" applyBorder="1" applyAlignment="1">
      <alignment horizontal="center" vertical="center" wrapText="1"/>
    </xf>
    <xf numFmtId="0" fontId="8" fillId="0" borderId="33" xfId="0" applyFont="1" applyFill="1" applyBorder="1" applyAlignment="1">
      <alignment horizontal="center" vertical="center" wrapText="1"/>
    </xf>
    <xf numFmtId="0" fontId="7" fillId="7" borderId="15" xfId="0" applyFont="1" applyFill="1" applyBorder="1" applyAlignment="1">
      <alignment horizontal="center" vertical="center"/>
    </xf>
    <xf numFmtId="0" fontId="7" fillId="7" borderId="17" xfId="0" applyFont="1" applyFill="1" applyBorder="1" applyAlignment="1">
      <alignment horizontal="center" vertical="center"/>
    </xf>
    <xf numFmtId="164" fontId="7" fillId="7" borderId="16" xfId="0" applyNumberFormat="1" applyFont="1" applyFill="1" applyBorder="1" applyAlignment="1">
      <alignment horizontal="center" vertical="center"/>
    </xf>
    <xf numFmtId="164" fontId="7" fillId="7" borderId="18" xfId="0" applyNumberFormat="1" applyFont="1" applyFill="1" applyBorder="1" applyAlignment="1">
      <alignment horizontal="center" vertical="center"/>
    </xf>
    <xf numFmtId="0" fontId="7" fillId="9" borderId="3" xfId="0" applyFont="1" applyFill="1" applyBorder="1" applyAlignment="1">
      <alignment horizontal="center"/>
    </xf>
    <xf numFmtId="0" fontId="6" fillId="3" borderId="15" xfId="0" applyFont="1" applyFill="1" applyBorder="1" applyAlignment="1">
      <alignment horizontal="center"/>
    </xf>
    <xf numFmtId="0" fontId="6" fillId="3" borderId="8" xfId="0" applyFont="1" applyFill="1" applyBorder="1" applyAlignment="1">
      <alignment horizontal="center"/>
    </xf>
    <xf numFmtId="0" fontId="6" fillId="3" borderId="16" xfId="0" applyFont="1" applyFill="1" applyBorder="1" applyAlignment="1">
      <alignment horizontal="center"/>
    </xf>
    <xf numFmtId="0" fontId="5" fillId="2" borderId="14" xfId="0" applyFont="1" applyFill="1" applyBorder="1" applyAlignment="1">
      <alignment horizontal="center"/>
    </xf>
    <xf numFmtId="0" fontId="5" fillId="2" borderId="6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20" xfId="0" applyFont="1" applyFill="1" applyBorder="1" applyAlignment="1">
      <alignment horizontal="center"/>
    </xf>
    <xf numFmtId="0" fontId="6" fillId="3" borderId="23" xfId="0" applyFont="1" applyFill="1" applyBorder="1" applyAlignment="1">
      <alignment horizontal="center"/>
    </xf>
    <xf numFmtId="0" fontId="6" fillId="3" borderId="24" xfId="0" applyFont="1" applyFill="1" applyBorder="1" applyAlignment="1">
      <alignment horizontal="center"/>
    </xf>
    <xf numFmtId="0" fontId="5" fillId="2" borderId="10" xfId="0" applyFont="1" applyFill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5" fillId="2" borderId="11" xfId="0" applyFont="1" applyFill="1" applyBorder="1" applyAlignment="1">
      <alignment horizontal="center"/>
    </xf>
    <xf numFmtId="0" fontId="7" fillId="9" borderId="2" xfId="0" applyFont="1" applyFill="1" applyBorder="1" applyAlignment="1">
      <alignment horizontal="center"/>
    </xf>
    <xf numFmtId="0" fontId="4" fillId="9" borderId="1" xfId="0" applyFont="1" applyFill="1" applyBorder="1" applyAlignment="1">
      <alignment horizontal="center"/>
    </xf>
    <xf numFmtId="0" fontId="4" fillId="9" borderId="3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3" fillId="2" borderId="21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2" fillId="2" borderId="27" xfId="0" applyFont="1" applyFill="1" applyBorder="1" applyAlignment="1">
      <alignment horizontal="center"/>
    </xf>
    <xf numFmtId="0" fontId="2" fillId="2" borderId="28" xfId="0" applyFont="1" applyFill="1" applyBorder="1" applyAlignment="1">
      <alignment horizontal="center"/>
    </xf>
    <xf numFmtId="0" fontId="2" fillId="2" borderId="29" xfId="0" applyFont="1" applyFill="1" applyBorder="1" applyAlignment="1">
      <alignment horizontal="center"/>
    </xf>
    <xf numFmtId="0" fontId="2" fillId="2" borderId="31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2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4" fillId="4" borderId="26" xfId="0" applyFont="1" applyFill="1" applyBorder="1" applyAlignment="1" applyProtection="1">
      <alignment horizontal="center"/>
      <protection locked="0"/>
    </xf>
  </cellXfs>
  <cellStyles count="1">
    <cellStyle name="Normalny" xfId="0" builtinId="0"/>
  </cellStyles>
  <dxfs count="42">
    <dxf>
      <font>
        <b val="0"/>
        <i val="0"/>
        <color rgb="FFFF0000"/>
      </font>
      <fill>
        <patternFill>
          <bgColor rgb="FFFFC1C1"/>
        </patternFill>
      </fill>
    </dxf>
    <dxf>
      <font>
        <b val="0"/>
        <i val="0"/>
        <color rgb="FFFF0000"/>
      </font>
      <fill>
        <patternFill>
          <bgColor rgb="FFFFB3B3"/>
        </patternFill>
      </fill>
    </dxf>
    <dxf>
      <font>
        <b val="0"/>
        <i val="0"/>
        <color rgb="FFFF0000"/>
      </font>
      <fill>
        <patternFill>
          <bgColor rgb="FFFFC1C1"/>
        </patternFill>
      </fill>
    </dxf>
    <dxf>
      <font>
        <b/>
        <i val="0"/>
        <color rgb="FFFF0000"/>
      </font>
      <fill>
        <patternFill>
          <bgColor theme="9" tint="0.59996337778862885"/>
        </patternFill>
      </fill>
    </dxf>
    <dxf>
      <font>
        <b/>
        <i val="0"/>
        <color rgb="FFFF0000"/>
      </font>
      <fill>
        <patternFill patternType="solid">
          <bgColor theme="9" tint="0.59996337778862885"/>
        </patternFill>
      </fill>
    </dxf>
    <dxf>
      <numFmt numFmtId="164" formatCode="#,##0.00\ &quot;zł&quot;"/>
    </dxf>
    <dxf>
      <numFmt numFmtId="164" formatCode="#,##0.00\ &quot;zł&quot;"/>
    </dxf>
    <dxf>
      <numFmt numFmtId="164" formatCode="#,##0.00\ &quot;zł&quot;"/>
    </dxf>
    <dxf>
      <numFmt numFmtId="164" formatCode="#,##0.00\ &quot;zł&quot;"/>
    </dxf>
    <dxf>
      <numFmt numFmtId="164" formatCode="#,##0.00\ &quot;zł&quot;"/>
    </dxf>
    <dxf>
      <border outline="0">
        <top style="medium">
          <color indexed="64"/>
        </top>
      </border>
    </dxf>
    <dxf>
      <font>
        <b/>
        <strike val="0"/>
        <outline val="0"/>
        <shadow val="0"/>
        <u val="none"/>
        <vertAlign val="baseline"/>
        <sz val="11"/>
        <color theme="5"/>
        <name val="Calibri"/>
        <family val="2"/>
        <charset val="238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medium">
          <color indexed="64"/>
        </top>
      </border>
    </dxf>
    <dxf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5"/>
        <name val="Calibri"/>
        <family val="2"/>
        <charset val="238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5"/>
        <name val="Calibri"/>
        <family val="2"/>
        <charset val="238"/>
        <scheme val="minor"/>
      </font>
      <alignment horizontal="center" vertical="bottom" textRotation="0" wrapText="0" indent="0" justifyLastLine="0" shrinkToFit="0" readingOrder="0"/>
    </dxf>
    <dxf>
      <numFmt numFmtId="13" formatCode="0%"/>
    </dxf>
    <dxf>
      <numFmt numFmtId="164" formatCode="#,##0.00\ &quot;zł&quot;"/>
    </dxf>
    <dxf>
      <numFmt numFmtId="164" formatCode="#,##0.00\ &quot;zł&quot;"/>
    </dxf>
    <dxf>
      <numFmt numFmtId="164" formatCode="#,##0.00\ &quot;zł&quot;"/>
    </dxf>
    <dxf>
      <numFmt numFmtId="164" formatCode="#,##0.00\ &quot;zł&quot;"/>
    </dxf>
    <dxf>
      <border diagonalUp="0" diagonalDown="0">
        <left/>
        <right/>
        <top/>
        <bottom/>
        <vertical/>
        <horizontal/>
      </border>
    </dxf>
    <dxf>
      <numFmt numFmtId="13" formatCode="0%"/>
    </dxf>
    <dxf>
      <numFmt numFmtId="164" formatCode="#,##0.00\ &quot;zł&quot;"/>
    </dxf>
    <dxf>
      <numFmt numFmtId="164" formatCode="#,##0.00\ &quot;zł&quot;"/>
    </dxf>
    <dxf>
      <numFmt numFmtId="164" formatCode="#,##0.00\ &quot;zł&quot;"/>
    </dxf>
    <dxf>
      <numFmt numFmtId="164" formatCode="#,##0.00\ &quot;zł&quot;"/>
    </dxf>
    <dxf>
      <border outline="0">
        <top style="medium">
          <color indexed="64"/>
        </top>
      </border>
    </dxf>
    <dxf>
      <border outline="0">
        <top style="medium">
          <color indexed="64"/>
        </top>
      </border>
    </dxf>
    <dxf>
      <numFmt numFmtId="13" formatCode="0%"/>
    </dxf>
    <dxf>
      <numFmt numFmtId="164" formatCode="#,##0.00\ &quot;zł&quot;"/>
    </dxf>
    <dxf>
      <numFmt numFmtId="164" formatCode="#,##0.00\ &quot;zł&quot;"/>
    </dxf>
    <dxf>
      <numFmt numFmtId="164" formatCode="#,##0.00\ &quot;zł&quot;"/>
    </dxf>
    <dxf>
      <numFmt numFmtId="164" formatCode="#,##0.00\ &quot;zł&quot;"/>
    </dxf>
    <dxf>
      <numFmt numFmtId="164" formatCode="#,##0.00\ &quot;zł&quot;"/>
    </dxf>
    <dxf>
      <numFmt numFmtId="164" formatCode="#,##0.00\ &quot;zł&quot;"/>
    </dxf>
    <dxf>
      <numFmt numFmtId="164" formatCode="#,##0.00\ &quot;zł&quot;"/>
    </dxf>
    <dxf>
      <numFmt numFmtId="164" formatCode="#,##0.00\ &quot;zł&quot;"/>
    </dxf>
    <dxf>
      <numFmt numFmtId="164" formatCode="#,##0.00\ &quot;zł&quot;"/>
    </dxf>
    <dxf>
      <border diagonalUp="0" diagonalDown="0">
        <left/>
        <right/>
        <top/>
        <bottom/>
        <vertical/>
        <horizontal/>
      </border>
    </dxf>
  </dxfs>
  <tableStyles count="0" defaultTableStyle="TableStyleMedium2" defaultPivotStyle="PivotStyleLight16"/>
  <colors>
    <mruColors>
      <color rgb="FFFFC1C1"/>
      <color rgb="FFFFAFAF"/>
      <color rgb="FFFFA3A3"/>
      <color rgb="FFFFB3B3"/>
      <color rgb="FFFF898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3FD8167-80FB-4162-9620-338E8CB1D9BC}" name="Tabela1" displayName="Tabela1" ref="B3:G12" totalsRowShown="0" headerRowDxfId="41">
  <autoFilter ref="B3:G12" xr:uid="{72E04293-905B-48B7-BA79-F4057D7D9764}"/>
  <tableColumns count="6">
    <tableColumn id="1" xr3:uid="{347F1ADB-C46D-403A-A6D4-0E2EC5E6E519}" name="Materiał"/>
    <tableColumn id="2" xr3:uid="{D80A535D-C3BE-48E8-9FFD-6D5DE72E1C55}" name="Cena do 5 m2" dataDxfId="40"/>
    <tableColumn id="3" xr3:uid="{D13A6D32-1813-417B-8229-797B5E091B95}" name="Cena 6-10 m2" dataDxfId="39"/>
    <tableColumn id="4" xr3:uid="{CBB2240C-493C-4B80-B116-1A537E37285C}" name="Cena 11-15 m2" dataDxfId="38"/>
    <tableColumn id="5" xr3:uid="{25E4B13F-A820-4EBF-B2EE-CA06A061B016}" name="Cena 16-20 m2" dataDxfId="37"/>
    <tableColumn id="6" xr3:uid="{32188B7E-2F29-40ED-A3C0-6B8E5CEDB1A3}" name="Cena powyżej 20m2" dataDxfId="36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7894A4B-69B4-4A9F-9AFF-54374DECA21B}" name="Tabela712" displayName="Tabela712" ref="B17:C22" totalsRowShown="0">
  <autoFilter ref="B17:C22" xr:uid="{06AE2AE6-0398-4BDF-9F62-AF6429ED61EC}"/>
  <tableColumns count="2">
    <tableColumn id="1" xr3:uid="{C95933CA-B24F-4B9F-91E5-D90D063FA4ED}" name="Narzut"/>
    <tableColumn id="2" xr3:uid="{69D71DC3-2E1C-4AC4-AB9C-A8CA980C8395}" name="%" dataDxfId="24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36474754-9D79-4B91-BA01-7D3BF0FE870B}" name="Tabela110" displayName="Tabela110" ref="B3:F7" totalsRowShown="0" headerRowDxfId="23">
  <autoFilter ref="B3:F7" xr:uid="{31871211-3C87-4FD2-BDAF-3D257E6AEFAE}"/>
  <tableColumns count="5">
    <tableColumn id="1" xr3:uid="{704D8359-3098-4779-BDB9-3CF9B74EB8E2}" name="Materiał"/>
    <tableColumn id="2" xr3:uid="{9CF5C0FD-794F-4216-A12F-A6EBE20F1807}" name="Cena do 5 m2" dataDxfId="22"/>
    <tableColumn id="3" xr3:uid="{56F285B5-C28C-43D7-A13D-DB9F2CA77B60}" name="Cena 6-10 m2" dataDxfId="21"/>
    <tableColumn id="4" xr3:uid="{39D0ACF9-7CF9-465B-9C6E-F092E0A1021A}" name="Cena 11-20 m2" dataDxfId="20"/>
    <tableColumn id="6" xr3:uid="{E65C3AF0-5976-4240-8C0B-FD24FB77D2EE}" name="Cena powyżej 20m2" dataDxfId="19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EB268829-E46B-4231-B55F-313F0E863FFE}" name="Tabela71213" displayName="Tabela71213" ref="B11:C16" totalsRowShown="0">
  <autoFilter ref="B11:C16" xr:uid="{6C76A9DC-D061-42AF-91DA-18700479D62A}"/>
  <tableColumns count="2">
    <tableColumn id="1" xr3:uid="{E19692A1-1781-4A60-B870-F5F94B4445EE}" name="Narzut"/>
    <tableColumn id="2" xr3:uid="{06944115-AEAF-48BB-9D02-D70D5BEDFC81}" name="%" dataDxfId="18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D4DC6CF-9B51-4239-B4B0-4DB555C44648}" name="Tabela13" displayName="Tabela13" ref="B3:E6" totalsRowShown="0">
  <autoFilter ref="B3:E6" xr:uid="{3BAB02F6-3509-4D8C-BE10-CD28180C7598}"/>
  <tableColumns count="4">
    <tableColumn id="1" xr3:uid="{8B1ED193-F251-4880-B351-F26895B6E74D}" name="parametr"/>
    <tableColumn id="2" xr3:uid="{59A3B658-2E67-4F59-A28C-FAA61AFD1476}" name="wariant A"/>
    <tableColumn id="3" xr3:uid="{ACC514A5-D384-47FB-B1EB-D72FF4E4F578}" name="wariant B"/>
    <tableColumn id="4" xr3:uid="{B62D3D9D-57FB-4269-B589-D92195F1A9F8}" name="korzystniejszy wariant" dataDxfId="17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3B677708-3CD5-488E-A7AD-21F285BD7D36}" name="Tabela1315" displayName="Tabela1315" ref="B11:E14" totalsRowShown="0">
  <autoFilter ref="B11:E14" xr:uid="{44302434-7CCD-4C97-A782-250CB9AA1861}"/>
  <tableColumns count="4">
    <tableColumn id="1" xr3:uid="{178FB6CA-C770-4E0C-A1EA-01914F39B6F1}" name="parametr"/>
    <tableColumn id="2" xr3:uid="{B2ED617C-8E4C-4B8F-A34F-D26C71E16AD1}" name="wariant A"/>
    <tableColumn id="3" xr3:uid="{AC68C5FB-A43E-459C-9E10-F8E0FCD4C97E}" name="wariant B"/>
    <tableColumn id="4" xr3:uid="{F0572276-8956-4693-82C7-C1A8B4EBB417}" name="korzystniejszy wariant" dataDxfId="16">
      <calculatedColumnFormula>IF('Pomocnicze-Obliczenia'!$C$14=0,IF('Pomocnicze-Obliczenia'!$D$14=0,0,'Pomocnicze-Obliczenia'!$D12),IF('Pomocnicze-Obliczenia'!$D$14=0,'Pomocnicze-Obliczenia'!$C12,IF('Pomocnicze-Obliczenia'!$C$14&lt;'Pomocnicze-Obliczenia'!$D$14,'Pomocnicze-Obliczenia'!$C12,'Pomocnicze-Obliczenia'!$D12)))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D8617A1B-3148-4744-94EC-C64C9FD7D805}" name="Tabela15" displayName="Tabela15" ref="B19:E22" totalsRowShown="0" dataDxfId="15" tableBorderDxfId="14">
  <autoFilter ref="B19:E22" xr:uid="{B68FFF2F-DEBC-4A03-93A7-CB3C79E6E45C}"/>
  <tableColumns count="4">
    <tableColumn id="1" xr3:uid="{264A64EF-EBC0-4E6F-9108-850B122A20EF}" name="parametr"/>
    <tableColumn id="2" xr3:uid="{6FF4AD06-D122-4920-8CCA-9A982EE70EEE}" name="wariant A" dataDxfId="13"/>
    <tableColumn id="3" xr3:uid="{6F395B00-E415-41E0-B7E0-2181AEADFE09}" name="wariant B" dataDxfId="12"/>
    <tableColumn id="4" xr3:uid="{8E0055A5-F46A-473B-B751-9562B003ECC4}" name="korzystniejszy wariant" dataDxfId="11">
      <calculatedColumnFormula>IF('Pomocnicze-Obliczenia'!$C$22=0,IF('Pomocnicze-Obliczenia'!$D$22=0,0,'Pomocnicze-Obliczenia'!$D20),IF('Pomocnicze-Obliczenia'!$D$22=0,'Pomocnicze-Obliczenia'!$C20,IF('Pomocnicze-Obliczenia'!$C$22&lt;'Pomocnicze-Obliczenia'!$D$22,'Pomocnicze-Obliczenia'!$C20,'Pomocnicze-Obliczenia'!$D20))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E278F57-C57D-42FB-84B0-2DDD8631E708}" name="Tabela3" displayName="Tabela3" ref="B24:C27" totalsRowShown="0">
  <autoFilter ref="B24:C27" xr:uid="{B2C71F5A-2F95-4694-902B-A51EB2ED2C28}"/>
  <tableColumns count="2">
    <tableColumn id="1" xr3:uid="{AE216D30-F01C-4AA4-95C4-0883EF91686D}" name="Usługa"/>
    <tableColumn id="2" xr3:uid="{6D2086DC-08B9-408C-9B7E-B035D967AA15}" name="Cena za m2" dataDxfId="3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D34871D-686A-4D33-BD20-934FD35334CE}" name="Tabela4" displayName="Tabela4" ref="B30:C34" totalsRowShown="0">
  <autoFilter ref="B30:C34" xr:uid="{932DC52C-55F0-441A-8C4C-32F568B383C7}"/>
  <tableColumns count="2">
    <tableColumn id="1" xr3:uid="{D564C846-3906-4DE1-A2F3-4BACBF21ED18}" name="Cięcie"/>
    <tableColumn id="2" xr3:uid="{452FA48C-15BB-4938-BD85-9B9F2C7EB204}" name="Cena za m2" dataDxfId="3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BFE30B0-BB4B-4089-9BB4-1BB537DAA36C}" name="Tabela5" displayName="Tabela5" ref="B37:C45" totalsRowShown="0">
  <autoFilter ref="B37:C45" xr:uid="{956C8BE3-0BCA-4138-86EB-09AD6FC7D2D8}"/>
  <tableColumns count="2">
    <tableColumn id="1" xr3:uid="{6D6B72AF-7366-4EFF-822E-6A89C7F0F460}" name="Rodzaj podkładu"/>
    <tableColumn id="2" xr3:uid="{A25EC903-9B02-48D6-8739-B86A5D7CE6B4}" name="Cena za m2" dataDxfId="33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2344B27-7A9C-4D53-B0F2-FAADE66DCBB3}" name="Tabela6" displayName="Tabela6" ref="B48:C51" totalsRowShown="0">
  <autoFilter ref="B48:C51" xr:uid="{AA62947A-65DB-4428-9288-2C3961CE107B}"/>
  <tableColumns count="2">
    <tableColumn id="1" xr3:uid="{0A65D4B4-E23C-4156-888C-4BBD4339243D}" name="Nacinanie"/>
    <tableColumn id="2" xr3:uid="{1074B862-3B63-4A0B-AEC3-20A9AB6B1611}" name="Cena za m2" dataDxfId="3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7007C5B-B443-49BB-AEAD-F83D25CF1D5E}" name="Tabela7" displayName="Tabela7" ref="B54:C59" totalsRowShown="0">
  <autoFilter ref="B54:C59" xr:uid="{DA804319-BA0D-4684-9475-93E2776A4833}"/>
  <tableColumns count="2">
    <tableColumn id="1" xr3:uid="{674AEA01-5425-4364-978D-2FEC2562A324}" name="Narzut"/>
    <tableColumn id="2" xr3:uid="{B175A9C9-7092-4CB3-9449-FE843E84F9E9}" name="%" dataDxfId="31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3DEF5BF-851F-47EB-9F82-2DBE009672EA}" name="Tabela2" displayName="Tabela2" ref="B16:G20" totalsRowShown="0" tableBorderDxfId="10">
  <autoFilter ref="B16:G20" xr:uid="{FCC9CB57-901C-4B50-BAAD-D662AA9DB5EB}"/>
  <tableColumns count="6">
    <tableColumn id="1" xr3:uid="{9FF01814-5F5B-4B12-BE7B-7D8721A3AA50}" name="Materiał"/>
    <tableColumn id="2" xr3:uid="{3BE75767-8296-430F-943A-6B5C60E46CA9}" name="Cena do 5 m2" dataDxfId="9"/>
    <tableColumn id="3" xr3:uid="{C16EEC30-F1D9-46CC-ABEF-AE77D5CB6CF3}" name="Cena 6-10 m2" dataDxfId="8"/>
    <tableColumn id="4" xr3:uid="{2E6BC29F-2F53-4369-A72D-8FC7B238E7BB}" name="Cena 11-15 m2" dataDxfId="7"/>
    <tableColumn id="5" xr3:uid="{495271F7-7676-411A-BC3B-3E145108B24E}" name="Cena 16-20 m2" dataDxfId="6"/>
    <tableColumn id="6" xr3:uid="{FEA27020-4CE1-4321-85E2-F34C495DD426}" name="Cena powyżej 20m2" dataDxfId="5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99B8B24-B8BC-4670-98F3-2469FAF24CA2}" name="Tabela8" displayName="Tabela8" ref="B4:D8" totalsRowShown="0" tableBorderDxfId="30">
  <autoFilter ref="B4:D8" xr:uid="{D1A6DEAE-5958-4B9C-A404-5DAB00DA1DA9}"/>
  <tableColumns count="3">
    <tableColumn id="1" xr3:uid="{32BF3DB2-8494-4823-BC49-0343D33071FF}" name="Format"/>
    <tableColumn id="2" xr3:uid="{E0A6DA09-92F1-40C2-9577-EE14D1C0905C}" name="Długość A"/>
    <tableColumn id="3" xr3:uid="{438D344F-962D-4DD6-9E95-CFD80FD5AFAF}" name="Długość B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6356710A-F738-487D-8F8A-808C67D162A6}" name="Tabela10" displayName="Tabela10" ref="B12:F13" totalsRowShown="0" tableBorderDxfId="29">
  <autoFilter ref="B12:F13" xr:uid="{7E861FB6-582C-4E3E-8785-E2A579DE04EF}"/>
  <tableColumns count="5">
    <tableColumn id="1" xr3:uid="{2C3E900B-99F7-4EA6-A89F-52F8B5595354}" name="Materiał"/>
    <tableColumn id="2" xr3:uid="{CB697684-D1FB-44C9-B58D-59EB46DD16DF}" name="cena do 5m2" dataDxfId="28"/>
    <tableColumn id="3" xr3:uid="{5D1E7DEE-3B66-4FD7-97B2-35D696EF5B8B}" name="cena 6-10m2" dataDxfId="27"/>
    <tableColumn id="4" xr3:uid="{4A6DDC2D-9C0C-4746-A468-C1CC35DCBB8C}" name="cena 11-20m2" dataDxfId="26"/>
    <tableColumn id="5" xr3:uid="{6F3BAB34-1E8E-414C-988A-7627A608F519}" name="cena powyżej 20m2" dataDxfId="2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10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table" Target="../tables/table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39997558519241921"/>
  </sheetPr>
  <dimension ref="B1:I48"/>
  <sheetViews>
    <sheetView tabSelected="1" topLeftCell="A4" workbookViewId="0">
      <selection activeCell="J15" sqref="J15"/>
    </sheetView>
  </sheetViews>
  <sheetFormatPr defaultRowHeight="15" x14ac:dyDescent="0.2"/>
  <cols>
    <col min="1" max="1" width="9.140625" style="14"/>
    <col min="2" max="2" width="25.85546875" style="14" bestFit="1" customWidth="1"/>
    <col min="3" max="3" width="45" style="14" bestFit="1" customWidth="1"/>
    <col min="4" max="4" width="38" style="14" bestFit="1" customWidth="1"/>
    <col min="5" max="5" width="11.42578125" style="14" bestFit="1" customWidth="1"/>
    <col min="6" max="7" width="9.140625" style="14"/>
    <col min="8" max="8" width="30.140625" style="14" bestFit="1" customWidth="1"/>
    <col min="9" max="9" width="12" style="14" bestFit="1" customWidth="1"/>
    <col min="10" max="13" width="9.140625" style="14"/>
    <col min="14" max="14" width="9.85546875" style="14" bestFit="1" customWidth="1"/>
    <col min="15" max="16384" width="9.140625" style="14"/>
  </cols>
  <sheetData>
    <row r="1" spans="2:9" ht="15.75" thickBot="1" x14ac:dyDescent="0.25"/>
    <row r="2" spans="2:9" ht="26.25" x14ac:dyDescent="0.4">
      <c r="B2" s="88" t="s">
        <v>0</v>
      </c>
      <c r="C2" s="89"/>
      <c r="D2" s="90"/>
      <c r="E2" s="91"/>
    </row>
    <row r="3" spans="2:9" ht="16.5" thickBot="1" x14ac:dyDescent="0.3">
      <c r="B3" s="85" t="s">
        <v>1</v>
      </c>
      <c r="C3" s="86"/>
      <c r="D3" s="85" t="s">
        <v>8</v>
      </c>
      <c r="E3" s="87"/>
    </row>
    <row r="4" spans="2:9" ht="21" thickBot="1" x14ac:dyDescent="0.35">
      <c r="B4" s="45" t="s">
        <v>57</v>
      </c>
      <c r="C4" s="15" t="s">
        <v>19</v>
      </c>
      <c r="D4" s="16" t="s">
        <v>80</v>
      </c>
      <c r="E4" s="17">
        <f>('Ustawienia-druk wielkoformatowy'!C62/1000)*KALKULATOR!E7</f>
        <v>0.61813499999999999</v>
      </c>
      <c r="H4" s="72" t="s">
        <v>114</v>
      </c>
      <c r="I4" s="73"/>
    </row>
    <row r="5" spans="2:9" ht="15.75" x14ac:dyDescent="0.25">
      <c r="B5" s="45" t="s">
        <v>2</v>
      </c>
      <c r="C5" s="15">
        <v>10</v>
      </c>
      <c r="D5" s="16" t="s">
        <v>81</v>
      </c>
      <c r="E5" s="17">
        <f>IF(E4&gt;0,((C5/100)*(C6/100))*C12,0)</f>
        <v>0.50000000000000011</v>
      </c>
      <c r="H5" s="48" t="s">
        <v>111</v>
      </c>
      <c r="I5" s="39" t="s">
        <v>47</v>
      </c>
    </row>
    <row r="6" spans="2:9" ht="15.75" x14ac:dyDescent="0.25">
      <c r="B6" s="45" t="s">
        <v>3</v>
      </c>
      <c r="C6" s="15">
        <v>10</v>
      </c>
      <c r="D6" s="16" t="s">
        <v>82</v>
      </c>
      <c r="E6" s="17">
        <f>IF(E4&gt;0,E4-E5,0)</f>
        <v>0.11813499999999988</v>
      </c>
      <c r="H6" s="49" t="s">
        <v>112</v>
      </c>
      <c r="I6" s="26" t="s">
        <v>47</v>
      </c>
    </row>
    <row r="7" spans="2:9" ht="15.75" x14ac:dyDescent="0.25">
      <c r="B7" s="45" t="s">
        <v>4</v>
      </c>
      <c r="C7" s="15" t="s">
        <v>30</v>
      </c>
      <c r="D7" s="16" t="s">
        <v>97</v>
      </c>
      <c r="E7" s="17">
        <f>'Pomocnicze-Obliczenia'!E6/100</f>
        <v>0.73499999999999999</v>
      </c>
      <c r="H7" s="49" t="s">
        <v>113</v>
      </c>
      <c r="I7" s="26" t="s">
        <v>47</v>
      </c>
    </row>
    <row r="8" spans="2:9" ht="15.75" x14ac:dyDescent="0.25">
      <c r="B8" s="45" t="s">
        <v>73</v>
      </c>
      <c r="C8" s="15" t="s">
        <v>30</v>
      </c>
      <c r="D8" s="16" t="s">
        <v>61</v>
      </c>
      <c r="E8" s="18">
        <f>(VLOOKUP(C4,Tabela1[],IF(E4&gt;20,6,IF(E4&gt;15,5,IF(E4&gt;10,4,IF(E4&gt;5,3,2)))),0)*(IF(E4&gt;'Ustawienia-druk wielkoformatowy'!C64,E4,'Ustawienia-druk wielkoformatowy'!C64)))</f>
        <v>18.544049999999999</v>
      </c>
      <c r="H8" s="21" t="s">
        <v>115</v>
      </c>
      <c r="I8" s="41">
        <f>IF(I5="tak",E17,0)+IF(I6="tak",E32,0)+IF(I7="tak",E47,0)</f>
        <v>0</v>
      </c>
    </row>
    <row r="9" spans="2:9" ht="15.75" x14ac:dyDescent="0.25">
      <c r="B9" s="45" t="s">
        <v>123</v>
      </c>
      <c r="C9" s="15" t="s">
        <v>30</v>
      </c>
      <c r="D9" s="16" t="s">
        <v>10</v>
      </c>
      <c r="E9" s="18">
        <f>(VLOOKUP(C7,Tabela3[],2,0)*(IF(E4&gt;'Ustawienia-druk wielkoformatowy'!C64,E4,'Ustawienia-druk wielkoformatowy'!C64)))+(VLOOKUP(C8,Tabela4[],2,0)*(IF(E4&gt;'Ustawienia-druk wielkoformatowy'!C64,E4,'Ustawienia-druk wielkoformatowy'!C64)))</f>
        <v>0</v>
      </c>
      <c r="H9" s="49" t="s">
        <v>87</v>
      </c>
      <c r="I9" s="40">
        <v>0.23</v>
      </c>
    </row>
    <row r="10" spans="2:9" ht="15.75" x14ac:dyDescent="0.25">
      <c r="B10" s="46" t="s">
        <v>5</v>
      </c>
      <c r="C10" s="15" t="s">
        <v>30</v>
      </c>
      <c r="D10" s="16" t="s">
        <v>128</v>
      </c>
      <c r="E10" s="18">
        <f>VLOOKUP(C9,Tabela2[],IF(KALKULATOR!E4&gt;20,6,IF(KALKULATOR!E4&gt;15,5,IF(KALKULATOR!E4&gt;10,4,IF(KALKULATOR!E4&gt;5,3,2)))))*IF(KALKULATOR!E4&gt;'Ustawienia-druk wielkoformatowy'!C64,KALKULATOR!E4,'Ustawienia-druk wielkoformatowy'!C64)</f>
        <v>0</v>
      </c>
      <c r="H10" s="80" t="s">
        <v>16</v>
      </c>
      <c r="I10" s="82">
        <f>I8+(I8*I9)</f>
        <v>0</v>
      </c>
    </row>
    <row r="11" spans="2:9" ht="16.5" thickBot="1" x14ac:dyDescent="0.3">
      <c r="B11" s="45" t="s">
        <v>6</v>
      </c>
      <c r="C11" s="19" t="s">
        <v>129</v>
      </c>
      <c r="D11" s="16" t="s">
        <v>9</v>
      </c>
      <c r="E11" s="18">
        <f>(VLOOKUP(C10,Tabela5[],2,0)*(IF(E5&gt;'Ustawienia-druk wielkoformatowy'!C64,E5,'Ustawienia-druk wielkoformatowy'!C64)))</f>
        <v>0</v>
      </c>
      <c r="H11" s="81"/>
      <c r="I11" s="83"/>
    </row>
    <row r="12" spans="2:9" ht="16.5" thickBot="1" x14ac:dyDescent="0.3">
      <c r="B12" s="56" t="s">
        <v>7</v>
      </c>
      <c r="C12" s="117">
        <v>50</v>
      </c>
      <c r="D12" s="16" t="s">
        <v>11</v>
      </c>
      <c r="E12" s="18">
        <f>SUM(E8:E11)</f>
        <v>18.544049999999999</v>
      </c>
    </row>
    <row r="13" spans="2:9" ht="16.5" thickBot="1" x14ac:dyDescent="0.3">
      <c r="B13" s="74" t="str">
        <f>IF(Komunikaty!C4="tak",Komunikaty!D4&amp;". ","")&amp;IF(Komunikaty!C5="tak",Komunikaty!D5&amp;". ","")</f>
        <v/>
      </c>
      <c r="C13" s="75"/>
      <c r="D13" s="62" t="s">
        <v>12</v>
      </c>
      <c r="E13" s="51">
        <f>VLOOKUP(C11,Tabela7[],2,0)*E12</f>
        <v>0</v>
      </c>
    </row>
    <row r="14" spans="2:9" ht="15" customHeight="1" thickBot="1" x14ac:dyDescent="0.3">
      <c r="B14" s="76"/>
      <c r="C14" s="77"/>
      <c r="D14" s="97"/>
      <c r="E14" s="84"/>
      <c r="H14" s="65" t="s">
        <v>122</v>
      </c>
    </row>
    <row r="15" spans="2:9" ht="15.75" x14ac:dyDescent="0.25">
      <c r="B15" s="76"/>
      <c r="C15" s="77"/>
      <c r="D15" s="60" t="s">
        <v>14</v>
      </c>
      <c r="E15" s="55">
        <f>SUM(E12:E13)</f>
        <v>18.544049999999999</v>
      </c>
      <c r="H15" s="66" t="s">
        <v>118</v>
      </c>
    </row>
    <row r="16" spans="2:9" ht="15.75" x14ac:dyDescent="0.25">
      <c r="B16" s="76"/>
      <c r="C16" s="77"/>
      <c r="D16" s="61" t="s">
        <v>116</v>
      </c>
      <c r="E16" s="24">
        <v>0.15</v>
      </c>
      <c r="H16" s="67" t="s">
        <v>119</v>
      </c>
    </row>
    <row r="17" spans="2:8" ht="15.75" x14ac:dyDescent="0.25">
      <c r="B17" s="76"/>
      <c r="C17" s="77"/>
      <c r="D17" s="59" t="s">
        <v>15</v>
      </c>
      <c r="E17" s="22">
        <f>E15-(E15*E16)</f>
        <v>15.762442499999999</v>
      </c>
      <c r="H17" s="68" t="s">
        <v>120</v>
      </c>
    </row>
    <row r="18" spans="2:8" ht="16.5" thickBot="1" x14ac:dyDescent="0.3">
      <c r="B18" s="78"/>
      <c r="C18" s="79"/>
      <c r="D18" s="57" t="s">
        <v>59</v>
      </c>
      <c r="E18" s="43">
        <f>E17/C12</f>
        <v>0.31524884999999997</v>
      </c>
      <c r="H18" s="69" t="s">
        <v>121</v>
      </c>
    </row>
    <row r="19" spans="2:8" x14ac:dyDescent="0.2">
      <c r="B19" s="25"/>
      <c r="C19" s="25"/>
    </row>
    <row r="20" spans="2:8" ht="15.75" thickBot="1" x14ac:dyDescent="0.25"/>
    <row r="21" spans="2:8" ht="26.25" x14ac:dyDescent="0.4">
      <c r="B21" s="94" t="s">
        <v>62</v>
      </c>
      <c r="C21" s="95"/>
      <c r="D21" s="95"/>
      <c r="E21" s="96"/>
    </row>
    <row r="22" spans="2:8" ht="15.75" x14ac:dyDescent="0.25">
      <c r="B22" s="92" t="s">
        <v>1</v>
      </c>
      <c r="C22" s="93"/>
      <c r="D22" s="92" t="s">
        <v>8</v>
      </c>
      <c r="E22" s="93"/>
    </row>
    <row r="23" spans="2:8" ht="15.75" x14ac:dyDescent="0.25">
      <c r="B23" s="45" t="s">
        <v>57</v>
      </c>
      <c r="C23" s="26" t="s">
        <v>99</v>
      </c>
      <c r="D23" s="27" t="s">
        <v>80</v>
      </c>
      <c r="E23" s="29">
        <f>('Ustawienia-plakaty'!C26/1000)*('Pomocnicze-Obliczenia'!E14/100)</f>
        <v>1.7871249999999999</v>
      </c>
    </row>
    <row r="24" spans="2:8" ht="15.75" x14ac:dyDescent="0.25">
      <c r="B24" s="45" t="s">
        <v>63</v>
      </c>
      <c r="C24" s="15" t="s">
        <v>66</v>
      </c>
      <c r="D24" s="16" t="s">
        <v>81</v>
      </c>
      <c r="E24" s="17">
        <f>((VLOOKUP(C24,Tabela8[],2,0)/1000)*(VLOOKUP(C24,Tabela8[],3,0)/1000))*KALKULATOR!C26</f>
        <v>1.2473999999999998</v>
      </c>
    </row>
    <row r="25" spans="2:8" ht="15.75" x14ac:dyDescent="0.25">
      <c r="B25" s="56" t="s">
        <v>6</v>
      </c>
      <c r="C25" s="58" t="s">
        <v>129</v>
      </c>
      <c r="D25" s="16" t="s">
        <v>82</v>
      </c>
      <c r="E25" s="17">
        <f>E23-E24</f>
        <v>0.53972500000000001</v>
      </c>
    </row>
    <row r="26" spans="2:8" ht="16.5" thickBot="1" x14ac:dyDescent="0.3">
      <c r="B26" s="47" t="s">
        <v>7</v>
      </c>
      <c r="C26" s="20">
        <v>10</v>
      </c>
      <c r="D26" s="16" t="s">
        <v>97</v>
      </c>
      <c r="E26" s="17">
        <f>'Pomocnicze-Obliczenia'!E14/100</f>
        <v>2.125</v>
      </c>
    </row>
    <row r="27" spans="2:8" ht="15.75" x14ac:dyDescent="0.25">
      <c r="B27" s="74" t="str">
        <f>IF(Komunikaty!C10="tak",Komunikaty!D10,"")</f>
        <v/>
      </c>
      <c r="C27" s="75"/>
      <c r="D27" s="62" t="s">
        <v>106</v>
      </c>
      <c r="E27" s="51">
        <f>(VLOOKUP(C23,Tabela10[#All],IF(KALKULATOR!E23&gt;20,5,IF(KALKULATOR!E23&gt;10,4,IF(KALKULATOR!E23&gt;5,3,2))),0))*IF(KALKULATOR!E23&gt;'Ustawienia-plakaty'!C28,KALKULATOR!E23,'Ustawienia-plakaty'!C28)</f>
        <v>53.613749999999996</v>
      </c>
    </row>
    <row r="28" spans="2:8" ht="16.5" thickBot="1" x14ac:dyDescent="0.3">
      <c r="B28" s="76"/>
      <c r="C28" s="77"/>
      <c r="D28" s="54" t="s">
        <v>6</v>
      </c>
      <c r="E28" s="63">
        <f>E27*VLOOKUP(C25,Tabela712[],2,0)</f>
        <v>0</v>
      </c>
    </row>
    <row r="29" spans="2:8" ht="16.5" thickBot="1" x14ac:dyDescent="0.3">
      <c r="B29" s="76"/>
      <c r="C29" s="77"/>
      <c r="D29" s="97"/>
      <c r="E29" s="84"/>
    </row>
    <row r="30" spans="2:8" ht="15.75" x14ac:dyDescent="0.25">
      <c r="B30" s="76"/>
      <c r="C30" s="77"/>
      <c r="D30" s="60" t="s">
        <v>14</v>
      </c>
      <c r="E30" s="53">
        <f>SUM(E27:E28)</f>
        <v>53.613749999999996</v>
      </c>
    </row>
    <row r="31" spans="2:8" ht="15.75" x14ac:dyDescent="0.25">
      <c r="B31" s="76"/>
      <c r="C31" s="77"/>
      <c r="D31" s="61" t="s">
        <v>13</v>
      </c>
      <c r="E31" s="31">
        <v>0.15</v>
      </c>
    </row>
    <row r="32" spans="2:8" ht="15.75" x14ac:dyDescent="0.25">
      <c r="B32" s="76"/>
      <c r="C32" s="77"/>
      <c r="D32" s="59" t="s">
        <v>15</v>
      </c>
      <c r="E32" s="30">
        <f>E30-(E30*E31)</f>
        <v>45.571687499999996</v>
      </c>
    </row>
    <row r="33" spans="2:5" ht="16.5" thickBot="1" x14ac:dyDescent="0.3">
      <c r="B33" s="78"/>
      <c r="C33" s="79"/>
      <c r="D33" s="57" t="s">
        <v>59</v>
      </c>
      <c r="E33" s="44">
        <f>IF(C26&gt;0,E32/C26,0)</f>
        <v>4.5571687499999998</v>
      </c>
    </row>
    <row r="35" spans="2:5" ht="15.75" thickBot="1" x14ac:dyDescent="0.25"/>
    <row r="36" spans="2:5" ht="26.25" x14ac:dyDescent="0.4">
      <c r="B36" s="70" t="s">
        <v>70</v>
      </c>
      <c r="C36" s="71"/>
      <c r="D36" s="71"/>
      <c r="E36" s="36"/>
    </row>
    <row r="37" spans="2:5" ht="15.75" x14ac:dyDescent="0.25">
      <c r="B37" s="92" t="s">
        <v>1</v>
      </c>
      <c r="C37" s="93"/>
      <c r="D37" s="92" t="s">
        <v>8</v>
      </c>
      <c r="E37" s="93"/>
    </row>
    <row r="38" spans="2:5" ht="15.75" x14ac:dyDescent="0.25">
      <c r="B38" s="45" t="s">
        <v>57</v>
      </c>
      <c r="C38" s="15" t="s">
        <v>74</v>
      </c>
      <c r="D38" s="28" t="s">
        <v>80</v>
      </c>
      <c r="E38" s="17">
        <f>('Ustawienia-bannery'!C19/1000)*('Pomocnicze-Obliczenia'!E22/100)</f>
        <v>0.61813499999999999</v>
      </c>
    </row>
    <row r="39" spans="2:5" ht="15.75" x14ac:dyDescent="0.25">
      <c r="B39" s="45" t="s">
        <v>2</v>
      </c>
      <c r="C39" s="15">
        <v>10</v>
      </c>
      <c r="D39" s="16" t="s">
        <v>81</v>
      </c>
      <c r="E39" s="17">
        <f>IF(E38&gt;0,((C39/100)*(C40/100))*C42,0)</f>
        <v>0.50000000000000011</v>
      </c>
    </row>
    <row r="40" spans="2:5" ht="15.75" x14ac:dyDescent="0.25">
      <c r="B40" s="45" t="s">
        <v>3</v>
      </c>
      <c r="C40" s="15">
        <v>10</v>
      </c>
      <c r="D40" s="16" t="s">
        <v>82</v>
      </c>
      <c r="E40" s="35">
        <f>IF(E38&gt;0,E38-E39,0)</f>
        <v>0.11813499999999988</v>
      </c>
    </row>
    <row r="41" spans="2:5" ht="15.75" x14ac:dyDescent="0.25">
      <c r="B41" s="56" t="s">
        <v>6</v>
      </c>
      <c r="C41" s="64" t="s">
        <v>129</v>
      </c>
      <c r="D41" s="16" t="s">
        <v>97</v>
      </c>
      <c r="E41" s="35">
        <f>'Pomocnicze-Obliczenia'!E22/100</f>
        <v>0.73499999999999999</v>
      </c>
    </row>
    <row r="42" spans="2:5" ht="16.5" thickBot="1" x14ac:dyDescent="0.3">
      <c r="B42" s="47" t="s">
        <v>7</v>
      </c>
      <c r="C42" s="20">
        <v>50</v>
      </c>
      <c r="D42" s="50" t="s">
        <v>106</v>
      </c>
      <c r="E42" s="51">
        <f>VLOOKUP(C38,Tabela110[#All],IF(KALKULATOR!E38&gt;20,5,IF(KALKULATOR!E38&gt;10,4,IF(KALKULATOR!E38&gt;5,3,2))),0)*(IF(E38&gt;'Ustawienia-bannery'!C21,E38,'Ustawienia-bannery'!C21))</f>
        <v>18.544049999999999</v>
      </c>
    </row>
    <row r="43" spans="2:5" ht="18" customHeight="1" thickBot="1" x14ac:dyDescent="0.3">
      <c r="B43" s="74" t="str">
        <f>IF(Komunikaty!C15="tak",Komunikaty!D15&amp;". ","")&amp;IF(Komunikaty!C16="tak",Komunikaty!D16&amp;". ","")</f>
        <v/>
      </c>
      <c r="C43" s="75"/>
      <c r="D43" s="54" t="s">
        <v>6</v>
      </c>
      <c r="E43" s="63">
        <f>E42*VLOOKUP(C41,Tabela71213[],2,0)</f>
        <v>0</v>
      </c>
    </row>
    <row r="44" spans="2:5" ht="16.5" customHeight="1" thickBot="1" x14ac:dyDescent="0.25">
      <c r="B44" s="76"/>
      <c r="C44" s="77"/>
      <c r="D44" s="98"/>
      <c r="E44" s="99"/>
    </row>
    <row r="45" spans="2:5" ht="15.75" x14ac:dyDescent="0.25">
      <c r="B45" s="76"/>
      <c r="C45" s="77"/>
      <c r="D45" s="52" t="s">
        <v>14</v>
      </c>
      <c r="E45" s="55">
        <f>SUM(E42:E43)</f>
        <v>18.544049999999999</v>
      </c>
    </row>
    <row r="46" spans="2:5" ht="15.75" x14ac:dyDescent="0.25">
      <c r="B46" s="76"/>
      <c r="C46" s="77"/>
      <c r="D46" s="23" t="s">
        <v>13</v>
      </c>
      <c r="E46" s="24">
        <v>0.15</v>
      </c>
    </row>
    <row r="47" spans="2:5" ht="15.75" x14ac:dyDescent="0.25">
      <c r="B47" s="76"/>
      <c r="C47" s="77"/>
      <c r="D47" s="21" t="s">
        <v>15</v>
      </c>
      <c r="E47" s="22">
        <f>E45-(E45*E46)</f>
        <v>15.762442499999999</v>
      </c>
    </row>
    <row r="48" spans="2:5" ht="16.5" thickBot="1" x14ac:dyDescent="0.3">
      <c r="B48" s="78"/>
      <c r="C48" s="79"/>
      <c r="D48" s="42" t="s">
        <v>59</v>
      </c>
      <c r="E48" s="43">
        <f>IF(C42&gt;0,E47/C42,0)</f>
        <v>0.31524884999999997</v>
      </c>
    </row>
  </sheetData>
  <sheetProtection deleteColumns="0" deleteRows="0"/>
  <mergeCells count="17">
    <mergeCell ref="D44:E44"/>
    <mergeCell ref="B27:C33"/>
    <mergeCell ref="B43:C48"/>
    <mergeCell ref="B13:C18"/>
    <mergeCell ref="B3:C3"/>
    <mergeCell ref="D3:E3"/>
    <mergeCell ref="B2:E2"/>
    <mergeCell ref="B22:C22"/>
    <mergeCell ref="B37:C37"/>
    <mergeCell ref="D37:E37"/>
    <mergeCell ref="D22:E22"/>
    <mergeCell ref="B21:E21"/>
    <mergeCell ref="D29:E29"/>
    <mergeCell ref="H4:I4"/>
    <mergeCell ref="H10:H11"/>
    <mergeCell ref="I10:I11"/>
    <mergeCell ref="D14:E14"/>
  </mergeCells>
  <dataValidations count="1">
    <dataValidation type="whole" operator="greaterThanOrEqual" allowBlank="1" showInputMessage="1" showErrorMessage="1" sqref="C12 C26 C42" xr:uid="{8D250D10-D041-485D-A2AF-5E3DD910C5FF}">
      <formula1>0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5" id="{D5384640-29A4-4326-BA98-1EBA5581DFD5}">
            <xm:f>Komunikaty!$C$5="tak"</xm:f>
            <x14:dxf>
              <font>
                <b/>
                <i val="0"/>
                <color rgb="FFFF0000"/>
              </font>
              <fill>
                <patternFill patternType="solid">
                  <bgColor theme="9" tint="0.59996337778862885"/>
                </patternFill>
              </fill>
            </x14:dxf>
          </x14:cfRule>
          <xm:sqref>C5</xm:sqref>
        </x14:conditionalFormatting>
        <x14:conditionalFormatting xmlns:xm="http://schemas.microsoft.com/office/excel/2006/main">
          <x14:cfRule type="expression" priority="4" id="{3EF9BF1B-D8F0-4834-81C5-0622E4ECA94E}">
            <xm:f>Komunikaty!$C$5="tak"</xm:f>
            <x14:dxf>
              <font>
                <b/>
                <i val="0"/>
                <color rgb="FFFF0000"/>
              </font>
              <fill>
                <patternFill>
                  <bgColor theme="9" tint="0.59996337778862885"/>
                </patternFill>
              </fill>
            </x14:dxf>
          </x14:cfRule>
          <xm:sqref>C6</xm:sqref>
        </x14:conditionalFormatting>
        <x14:conditionalFormatting xmlns:xm="http://schemas.microsoft.com/office/excel/2006/main">
          <x14:cfRule type="expression" priority="3" id="{8BB92969-301C-4A1A-9690-ABA5ADDCE6C5}">
            <xm:f>Komunikaty!$C$10="tak"</xm:f>
            <x14:dxf>
              <font>
                <b val="0"/>
                <i val="0"/>
                <color rgb="FFFF0000"/>
              </font>
              <fill>
                <patternFill>
                  <bgColor rgb="FFFFC1C1"/>
                </patternFill>
              </fill>
            </x14:dxf>
          </x14:cfRule>
          <xm:sqref>E23</xm:sqref>
        </x14:conditionalFormatting>
        <x14:conditionalFormatting xmlns:xm="http://schemas.microsoft.com/office/excel/2006/main">
          <x14:cfRule type="expression" priority="2" id="{A1A28882-D690-4F6A-87A1-B4C38082295C}">
            <xm:f>Komunikaty!$C$15="tak"</xm:f>
            <x14:dxf>
              <font>
                <b val="0"/>
                <i val="0"/>
                <color rgb="FFFF0000"/>
              </font>
              <fill>
                <patternFill>
                  <bgColor rgb="FFFFB3B3"/>
                </patternFill>
              </fill>
            </x14:dxf>
          </x14:cfRule>
          <xm:sqref>E38</xm:sqref>
        </x14:conditionalFormatting>
        <x14:conditionalFormatting xmlns:xm="http://schemas.microsoft.com/office/excel/2006/main">
          <x14:cfRule type="expression" priority="1" id="{BDF87279-0B09-4C03-9834-E844C9095F1A}">
            <xm:f>Komunikaty!$C$4="tak"</xm:f>
            <x14:dxf>
              <font>
                <b val="0"/>
                <i val="0"/>
                <color rgb="FFFF0000"/>
              </font>
              <fill>
                <patternFill>
                  <bgColor rgb="FFFFC1C1"/>
                </patternFill>
              </fill>
            </x14:dxf>
          </x14:cfRule>
          <xm:sqref>E4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2">
        <x14:dataValidation type="list" allowBlank="1" showInputMessage="1" showErrorMessage="1" xr:uid="{F37908D1-669A-432B-9ACC-607B397635FE}">
          <x14:formula1>
            <xm:f>'Ustawienia-druk wielkoformatowy'!$B$4:$B$12</xm:f>
          </x14:formula1>
          <xm:sqref>C4</xm:sqref>
        </x14:dataValidation>
        <x14:dataValidation type="list" allowBlank="1" showInputMessage="1" showErrorMessage="1" xr:uid="{EF43804B-0413-4005-96BD-F6F5F6F9C2E1}">
          <x14:formula1>
            <xm:f>'Ustawienia-druk wielkoformatowy'!$B$25:$B$27</xm:f>
          </x14:formula1>
          <xm:sqref>C7</xm:sqref>
        </x14:dataValidation>
        <x14:dataValidation type="list" allowBlank="1" showInputMessage="1" showErrorMessage="1" xr:uid="{A26EBF2E-87AA-49C6-A866-C15DF3EC719B}">
          <x14:formula1>
            <xm:f>'Ustawienia-druk wielkoformatowy'!$B$31:$B$34</xm:f>
          </x14:formula1>
          <xm:sqref>C8</xm:sqref>
        </x14:dataValidation>
        <x14:dataValidation type="list" allowBlank="1" showInputMessage="1" showErrorMessage="1" xr:uid="{88C274FC-3062-4D48-BC68-9E1C83C1DCDC}">
          <x14:formula1>
            <xm:f>'Ustawienia-druk wielkoformatowy'!$B$38:$B$45</xm:f>
          </x14:formula1>
          <xm:sqref>C10</xm:sqref>
        </x14:dataValidation>
        <x14:dataValidation type="list" allowBlank="1" showInputMessage="1" showErrorMessage="1" xr:uid="{313AFA75-3912-4EC9-B94B-AFCE4D4A2E63}">
          <x14:formula1>
            <xm:f>'Ustawienia-plakaty'!$B$5:$B$8</xm:f>
          </x14:formula1>
          <xm:sqref>C24</xm:sqref>
        </x14:dataValidation>
        <x14:dataValidation type="list" allowBlank="1" showInputMessage="1" showErrorMessage="1" xr:uid="{5305A870-EBEC-4B23-B35E-2715FB5E4ABF}">
          <x14:formula1>
            <xm:f>'Ustawienia-bannery'!$B$4:$B$7</xm:f>
          </x14:formula1>
          <xm:sqref>C38</xm:sqref>
        </x14:dataValidation>
        <x14:dataValidation type="list" allowBlank="1" showInputMessage="1" showErrorMessage="1" xr:uid="{616DAE40-F915-45B5-9FD8-966BE5BB87F2}">
          <x14:formula1>
            <xm:f>'Ustawienia-plakaty'!$B$13</xm:f>
          </x14:formula1>
          <xm:sqref>C23</xm:sqref>
        </x14:dataValidation>
        <x14:dataValidation type="list" allowBlank="1" showInputMessage="1" showErrorMessage="1" xr:uid="{4C7DC44E-BB30-49C5-9629-F3CA9E005432}">
          <x14:formula1>
            <xm:f>'Pomocnicze-Obliczenia'!$A$1:$A$2</xm:f>
          </x14:formula1>
          <xm:sqref>I5:I7</xm:sqref>
        </x14:dataValidation>
        <x14:dataValidation type="list" allowBlank="1" showInputMessage="1" showErrorMessage="1" xr:uid="{7A1D6839-725D-4981-9040-02DB21FD7A28}">
          <x14:formula1>
            <xm:f>'Ustawienia-druk wielkoformatowy'!$B$17:$B$20</xm:f>
          </x14:formula1>
          <xm:sqref>C9</xm:sqref>
        </x14:dataValidation>
        <x14:dataValidation type="list" allowBlank="1" showInputMessage="1" showErrorMessage="1" xr:uid="{D6F3C083-F708-453D-8F0E-0F643B0EBBB2}">
          <x14:formula1>
            <xm:f>'Ustawienia-druk wielkoformatowy'!$B$55:$B$59</xm:f>
          </x14:formula1>
          <xm:sqref>C11</xm:sqref>
        </x14:dataValidation>
        <x14:dataValidation type="list" allowBlank="1" showInputMessage="1" showErrorMessage="1" xr:uid="{463DD88B-AE31-4A2A-9C12-C12317DFFFA9}">
          <x14:formula1>
            <xm:f>'Ustawienia-plakaty'!$B$18:$B$22</xm:f>
          </x14:formula1>
          <xm:sqref>C25</xm:sqref>
        </x14:dataValidation>
        <x14:dataValidation type="list" allowBlank="1" showInputMessage="1" showErrorMessage="1" xr:uid="{90FB578D-0F33-4882-A687-19DAE60F33AD}">
          <x14:formula1>
            <xm:f>'Ustawienia-bannery'!$B$12:$B$16</xm:f>
          </x14:formula1>
          <xm:sqref>C41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8E9D0-E2F0-4A77-B95B-846C88600646}">
  <dimension ref="B1:G64"/>
  <sheetViews>
    <sheetView topLeftCell="A13" workbookViewId="0">
      <selection activeCell="C17" sqref="B17:G17"/>
    </sheetView>
  </sheetViews>
  <sheetFormatPr defaultRowHeight="15" x14ac:dyDescent="0.25"/>
  <cols>
    <col min="2" max="2" width="40.42578125" bestFit="1" customWidth="1"/>
    <col min="3" max="3" width="16" customWidth="1"/>
    <col min="4" max="4" width="15" bestFit="1" customWidth="1"/>
    <col min="5" max="6" width="16.140625" bestFit="1" customWidth="1"/>
    <col min="7" max="7" width="20.5703125" customWidth="1"/>
  </cols>
  <sheetData>
    <row r="1" spans="2:7" ht="15.75" thickBot="1" x14ac:dyDescent="0.3"/>
    <row r="2" spans="2:7" ht="24" thickBot="1" x14ac:dyDescent="0.4">
      <c r="B2" s="104" t="s">
        <v>54</v>
      </c>
      <c r="C2" s="105"/>
      <c r="D2" s="105"/>
      <c r="E2" s="105"/>
      <c r="F2" s="105"/>
      <c r="G2" s="106"/>
    </row>
    <row r="3" spans="2:7" x14ac:dyDescent="0.25">
      <c r="B3" s="2" t="s">
        <v>55</v>
      </c>
      <c r="C3" s="2" t="s">
        <v>72</v>
      </c>
      <c r="D3" s="2" t="s">
        <v>78</v>
      </c>
      <c r="E3" s="2" t="s">
        <v>100</v>
      </c>
      <c r="F3" s="2" t="s">
        <v>101</v>
      </c>
      <c r="G3" s="2" t="s">
        <v>71</v>
      </c>
    </row>
    <row r="4" spans="2:7" x14ac:dyDescent="0.25">
      <c r="B4" s="2" t="s">
        <v>18</v>
      </c>
      <c r="C4" s="5">
        <v>30</v>
      </c>
      <c r="D4" s="4">
        <v>28</v>
      </c>
      <c r="E4" s="4">
        <v>26</v>
      </c>
      <c r="F4" s="4">
        <v>23</v>
      </c>
      <c r="G4" s="4">
        <v>20</v>
      </c>
    </row>
    <row r="5" spans="2:7" x14ac:dyDescent="0.25">
      <c r="B5" s="2" t="s">
        <v>19</v>
      </c>
      <c r="C5" s="5">
        <v>30</v>
      </c>
      <c r="D5" s="4">
        <v>28</v>
      </c>
      <c r="E5" s="4">
        <v>26</v>
      </c>
      <c r="F5" s="4">
        <v>23</v>
      </c>
      <c r="G5" s="4">
        <v>20</v>
      </c>
    </row>
    <row r="6" spans="2:7" x14ac:dyDescent="0.25">
      <c r="B6" s="2" t="s">
        <v>20</v>
      </c>
      <c r="C6" s="5">
        <v>40</v>
      </c>
      <c r="D6" s="4">
        <v>38</v>
      </c>
      <c r="E6" s="4">
        <v>36</v>
      </c>
      <c r="F6" s="4">
        <v>33</v>
      </c>
      <c r="G6" s="4">
        <v>30</v>
      </c>
    </row>
    <row r="7" spans="2:7" x14ac:dyDescent="0.25">
      <c r="B7" s="2" t="s">
        <v>21</v>
      </c>
      <c r="C7" s="5">
        <v>40</v>
      </c>
      <c r="D7" s="4">
        <v>38</v>
      </c>
      <c r="E7" s="4">
        <v>36</v>
      </c>
      <c r="F7" s="4">
        <v>33</v>
      </c>
      <c r="G7" s="4">
        <v>30</v>
      </c>
    </row>
    <row r="8" spans="2:7" x14ac:dyDescent="0.25">
      <c r="B8" s="2" t="s">
        <v>22</v>
      </c>
      <c r="C8" s="5">
        <v>45</v>
      </c>
      <c r="D8" s="4">
        <v>43</v>
      </c>
      <c r="E8" s="4">
        <v>41</v>
      </c>
      <c r="F8" s="4">
        <v>38</v>
      </c>
      <c r="G8" s="4">
        <v>35</v>
      </c>
    </row>
    <row r="9" spans="2:7" x14ac:dyDescent="0.25">
      <c r="B9" s="2" t="s">
        <v>23</v>
      </c>
      <c r="C9" s="5">
        <v>60</v>
      </c>
      <c r="D9" s="4">
        <v>58</v>
      </c>
      <c r="E9" s="4">
        <v>56</v>
      </c>
      <c r="F9" s="4">
        <v>53</v>
      </c>
      <c r="G9" s="4">
        <v>50</v>
      </c>
    </row>
    <row r="10" spans="2:7" x14ac:dyDescent="0.25">
      <c r="B10" s="2" t="s">
        <v>24</v>
      </c>
      <c r="C10" s="5">
        <v>90</v>
      </c>
      <c r="D10" s="4">
        <v>88</v>
      </c>
      <c r="E10" s="4">
        <v>86</v>
      </c>
      <c r="F10" s="4">
        <v>83</v>
      </c>
      <c r="G10" s="4">
        <v>80</v>
      </c>
    </row>
    <row r="11" spans="2:7" x14ac:dyDescent="0.25">
      <c r="B11" s="2" t="s">
        <v>25</v>
      </c>
      <c r="C11" s="5">
        <v>60</v>
      </c>
      <c r="D11" s="4">
        <v>58</v>
      </c>
      <c r="E11" s="4">
        <v>56</v>
      </c>
      <c r="F11" s="4">
        <v>53</v>
      </c>
      <c r="G11" s="4">
        <v>50</v>
      </c>
    </row>
    <row r="12" spans="2:7" x14ac:dyDescent="0.25">
      <c r="B12" s="2" t="s">
        <v>26</v>
      </c>
      <c r="C12" s="5">
        <v>90</v>
      </c>
      <c r="D12" s="4">
        <v>88</v>
      </c>
      <c r="E12" s="4">
        <v>86</v>
      </c>
      <c r="F12" s="4">
        <v>83</v>
      </c>
      <c r="G12" s="4">
        <v>80</v>
      </c>
    </row>
    <row r="14" spans="2:7" ht="15.75" thickBot="1" x14ac:dyDescent="0.3"/>
    <row r="15" spans="2:7" ht="23.25" x14ac:dyDescent="0.35">
      <c r="B15" s="100" t="s">
        <v>124</v>
      </c>
      <c r="C15" s="107"/>
      <c r="D15" s="107"/>
      <c r="E15" s="107"/>
      <c r="F15" s="107"/>
      <c r="G15" s="101"/>
    </row>
    <row r="16" spans="2:7" x14ac:dyDescent="0.25">
      <c r="B16" s="2" t="s">
        <v>55</v>
      </c>
      <c r="C16" s="2" t="s">
        <v>72</v>
      </c>
      <c r="D16" s="2" t="s">
        <v>78</v>
      </c>
      <c r="E16" s="2" t="s">
        <v>100</v>
      </c>
      <c r="F16" s="2" t="s">
        <v>101</v>
      </c>
      <c r="G16" s="2" t="s">
        <v>71</v>
      </c>
    </row>
    <row r="17" spans="2:7" x14ac:dyDescent="0.25">
      <c r="B17" s="2" t="s">
        <v>30</v>
      </c>
      <c r="C17" s="5">
        <v>0</v>
      </c>
      <c r="D17" s="4">
        <v>0</v>
      </c>
      <c r="E17" s="4">
        <v>0</v>
      </c>
      <c r="F17" s="4">
        <v>0</v>
      </c>
      <c r="G17" s="4">
        <v>0</v>
      </c>
    </row>
    <row r="18" spans="2:7" x14ac:dyDescent="0.25">
      <c r="B18" s="2" t="s">
        <v>125</v>
      </c>
      <c r="C18" s="5">
        <v>30</v>
      </c>
      <c r="D18" s="4">
        <v>28</v>
      </c>
      <c r="E18" s="4">
        <v>26</v>
      </c>
      <c r="F18" s="4">
        <v>23</v>
      </c>
      <c r="G18" s="4">
        <v>20</v>
      </c>
    </row>
    <row r="19" spans="2:7" x14ac:dyDescent="0.25">
      <c r="B19" s="2" t="s">
        <v>126</v>
      </c>
      <c r="C19" s="5">
        <v>30</v>
      </c>
      <c r="D19" s="4">
        <v>28</v>
      </c>
      <c r="E19" s="4">
        <v>26</v>
      </c>
      <c r="F19" s="4">
        <v>23</v>
      </c>
      <c r="G19" s="4">
        <v>20</v>
      </c>
    </row>
    <row r="20" spans="2:7" x14ac:dyDescent="0.25">
      <c r="B20" s="2" t="s">
        <v>127</v>
      </c>
      <c r="C20" s="5">
        <v>40</v>
      </c>
      <c r="D20" s="4">
        <v>38</v>
      </c>
      <c r="E20" s="4">
        <v>36</v>
      </c>
      <c r="F20" s="4">
        <v>33</v>
      </c>
      <c r="G20" s="4">
        <v>30</v>
      </c>
    </row>
    <row r="22" spans="2:7" ht="15.75" thickBot="1" x14ac:dyDescent="0.3"/>
    <row r="23" spans="2:7" ht="23.25" x14ac:dyDescent="0.35">
      <c r="B23" s="100" t="s">
        <v>27</v>
      </c>
      <c r="C23" s="101"/>
    </row>
    <row r="24" spans="2:7" x14ac:dyDescent="0.25">
      <c r="B24" t="s">
        <v>28</v>
      </c>
      <c r="C24" t="s">
        <v>17</v>
      </c>
    </row>
    <row r="25" spans="2:7" x14ac:dyDescent="0.25">
      <c r="B25" t="s">
        <v>30</v>
      </c>
      <c r="C25" s="4">
        <v>0</v>
      </c>
    </row>
    <row r="26" spans="2:7" x14ac:dyDescent="0.25">
      <c r="B26" t="s">
        <v>29</v>
      </c>
      <c r="C26" s="4">
        <v>10</v>
      </c>
    </row>
    <row r="27" spans="2:7" x14ac:dyDescent="0.25">
      <c r="B27" t="s">
        <v>31</v>
      </c>
      <c r="C27" s="4">
        <v>20</v>
      </c>
    </row>
    <row r="28" spans="2:7" ht="15.75" thickBot="1" x14ac:dyDescent="0.3"/>
    <row r="29" spans="2:7" ht="23.25" x14ac:dyDescent="0.35">
      <c r="B29" s="100" t="s">
        <v>32</v>
      </c>
      <c r="C29" s="101"/>
    </row>
    <row r="30" spans="2:7" x14ac:dyDescent="0.25">
      <c r="B30" t="s">
        <v>33</v>
      </c>
      <c r="C30" t="s">
        <v>17</v>
      </c>
    </row>
    <row r="31" spans="2:7" x14ac:dyDescent="0.25">
      <c r="B31" t="s">
        <v>30</v>
      </c>
      <c r="C31" s="4">
        <v>0</v>
      </c>
    </row>
    <row r="32" spans="2:7" x14ac:dyDescent="0.25">
      <c r="B32" t="s">
        <v>34</v>
      </c>
      <c r="C32" s="4">
        <v>10</v>
      </c>
    </row>
    <row r="33" spans="2:3" x14ac:dyDescent="0.25">
      <c r="B33" t="s">
        <v>35</v>
      </c>
      <c r="C33" s="4">
        <v>20</v>
      </c>
    </row>
    <row r="34" spans="2:3" x14ac:dyDescent="0.25">
      <c r="B34" t="s">
        <v>36</v>
      </c>
      <c r="C34" s="4">
        <v>30</v>
      </c>
    </row>
    <row r="35" spans="2:3" ht="15.75" thickBot="1" x14ac:dyDescent="0.3"/>
    <row r="36" spans="2:3" ht="23.25" x14ac:dyDescent="0.35">
      <c r="B36" s="100" t="s">
        <v>37</v>
      </c>
      <c r="C36" s="101"/>
    </row>
    <row r="37" spans="2:3" x14ac:dyDescent="0.25">
      <c r="B37" t="s">
        <v>38</v>
      </c>
      <c r="C37" t="s">
        <v>17</v>
      </c>
    </row>
    <row r="38" spans="2:3" x14ac:dyDescent="0.25">
      <c r="B38" t="s">
        <v>30</v>
      </c>
      <c r="C38" s="4">
        <v>0</v>
      </c>
    </row>
    <row r="39" spans="2:3" x14ac:dyDescent="0.25">
      <c r="B39" t="s">
        <v>39</v>
      </c>
      <c r="C39" s="4">
        <v>35</v>
      </c>
    </row>
    <row r="40" spans="2:3" x14ac:dyDescent="0.25">
      <c r="B40" t="s">
        <v>40</v>
      </c>
      <c r="C40" s="4">
        <v>50</v>
      </c>
    </row>
    <row r="41" spans="2:3" x14ac:dyDescent="0.25">
      <c r="B41" t="s">
        <v>41</v>
      </c>
      <c r="C41" s="4">
        <v>45</v>
      </c>
    </row>
    <row r="42" spans="2:3" x14ac:dyDescent="0.25">
      <c r="B42" t="s">
        <v>42</v>
      </c>
      <c r="C42" s="4">
        <v>60</v>
      </c>
    </row>
    <row r="43" spans="2:3" x14ac:dyDescent="0.25">
      <c r="B43" t="s">
        <v>43</v>
      </c>
      <c r="C43" s="4">
        <v>40</v>
      </c>
    </row>
    <row r="44" spans="2:3" x14ac:dyDescent="0.25">
      <c r="B44" t="s">
        <v>44</v>
      </c>
      <c r="C44" s="4">
        <v>60</v>
      </c>
    </row>
    <row r="45" spans="2:3" x14ac:dyDescent="0.25">
      <c r="B45" t="s">
        <v>45</v>
      </c>
      <c r="C45" s="4">
        <v>90</v>
      </c>
    </row>
    <row r="46" spans="2:3" ht="15.75" thickBot="1" x14ac:dyDescent="0.3"/>
    <row r="47" spans="2:3" ht="23.25" x14ac:dyDescent="0.35">
      <c r="B47" s="100" t="s">
        <v>46</v>
      </c>
      <c r="C47" s="101"/>
    </row>
    <row r="48" spans="2:3" x14ac:dyDescent="0.25">
      <c r="B48" t="s">
        <v>29</v>
      </c>
      <c r="C48" t="s">
        <v>17</v>
      </c>
    </row>
    <row r="49" spans="2:3" x14ac:dyDescent="0.25">
      <c r="B49" t="s">
        <v>47</v>
      </c>
      <c r="C49" s="4">
        <v>0</v>
      </c>
    </row>
    <row r="50" spans="2:3" x14ac:dyDescent="0.25">
      <c r="B50" t="s">
        <v>48</v>
      </c>
      <c r="C50" s="4">
        <v>45</v>
      </c>
    </row>
    <row r="51" spans="2:3" x14ac:dyDescent="0.25">
      <c r="B51" t="s">
        <v>49</v>
      </c>
      <c r="C51" s="4">
        <v>30</v>
      </c>
    </row>
    <row r="52" spans="2:3" ht="15.75" thickBot="1" x14ac:dyDescent="0.3"/>
    <row r="53" spans="2:3" ht="23.25" x14ac:dyDescent="0.35">
      <c r="B53" s="100" t="s">
        <v>50</v>
      </c>
      <c r="C53" s="101"/>
    </row>
    <row r="54" spans="2:3" x14ac:dyDescent="0.25">
      <c r="B54" t="s">
        <v>6</v>
      </c>
      <c r="C54" s="1" t="s">
        <v>51</v>
      </c>
    </row>
    <row r="55" spans="2:3" x14ac:dyDescent="0.25">
      <c r="B55" s="7" t="s">
        <v>129</v>
      </c>
      <c r="C55" s="6">
        <v>0</v>
      </c>
    </row>
    <row r="56" spans="2:3" x14ac:dyDescent="0.25">
      <c r="B56" s="7">
        <v>0.15</v>
      </c>
      <c r="C56" s="6">
        <v>0.15</v>
      </c>
    </row>
    <row r="57" spans="2:3" x14ac:dyDescent="0.25">
      <c r="B57" s="7">
        <v>0.2</v>
      </c>
      <c r="C57" s="6">
        <v>0.2</v>
      </c>
    </row>
    <row r="58" spans="2:3" x14ac:dyDescent="0.25">
      <c r="B58" s="7" t="s">
        <v>52</v>
      </c>
      <c r="C58" s="6">
        <v>0.5</v>
      </c>
    </row>
    <row r="59" spans="2:3" x14ac:dyDescent="0.25">
      <c r="B59" s="8" t="s">
        <v>117</v>
      </c>
      <c r="C59" s="6">
        <v>1</v>
      </c>
    </row>
    <row r="60" spans="2:3" ht="15.75" thickBot="1" x14ac:dyDescent="0.3"/>
    <row r="61" spans="2:3" ht="23.25" x14ac:dyDescent="0.35">
      <c r="B61" s="102" t="s">
        <v>60</v>
      </c>
      <c r="C61" s="103"/>
    </row>
    <row r="62" spans="2:3" x14ac:dyDescent="0.25">
      <c r="B62" s="3" t="s">
        <v>56</v>
      </c>
      <c r="C62" s="3">
        <v>841</v>
      </c>
    </row>
    <row r="63" spans="2:3" x14ac:dyDescent="0.25">
      <c r="B63" s="3" t="s">
        <v>53</v>
      </c>
      <c r="C63" s="3">
        <v>2.5</v>
      </c>
    </row>
    <row r="64" spans="2:3" x14ac:dyDescent="0.25">
      <c r="B64" s="3" t="s">
        <v>58</v>
      </c>
      <c r="C64" s="3">
        <v>0.5</v>
      </c>
    </row>
  </sheetData>
  <mergeCells count="8">
    <mergeCell ref="B53:C53"/>
    <mergeCell ref="B61:C61"/>
    <mergeCell ref="B2:G2"/>
    <mergeCell ref="B23:C23"/>
    <mergeCell ref="B29:C29"/>
    <mergeCell ref="B36:C36"/>
    <mergeCell ref="B47:C47"/>
    <mergeCell ref="B15:G15"/>
  </mergeCells>
  <pageMargins left="0.7" right="0.7" top="0.75" bottom="0.75" header="0.3" footer="0.3"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D0356-3052-4D42-913D-ED88360B8504}">
  <dimension ref="B2:H28"/>
  <sheetViews>
    <sheetView workbookViewId="0">
      <selection activeCell="C19" sqref="C19"/>
    </sheetView>
  </sheetViews>
  <sheetFormatPr defaultRowHeight="15" x14ac:dyDescent="0.25"/>
  <cols>
    <col min="2" max="2" width="31.28515625" bestFit="1" customWidth="1"/>
    <col min="3" max="4" width="14.85546875" customWidth="1"/>
    <col min="5" max="5" width="15.85546875" customWidth="1"/>
    <col min="6" max="6" width="21" bestFit="1" customWidth="1"/>
    <col min="7" max="7" width="20.5703125" customWidth="1"/>
  </cols>
  <sheetData>
    <row r="2" spans="2:8" ht="15.75" thickBot="1" x14ac:dyDescent="0.3"/>
    <row r="3" spans="2:8" ht="23.25" x14ac:dyDescent="0.35">
      <c r="B3" s="100" t="s">
        <v>98</v>
      </c>
      <c r="C3" s="107"/>
      <c r="D3" s="101"/>
    </row>
    <row r="4" spans="2:8" x14ac:dyDescent="0.25">
      <c r="B4" t="s">
        <v>63</v>
      </c>
      <c r="C4" t="s">
        <v>64</v>
      </c>
      <c r="D4" t="s">
        <v>65</v>
      </c>
    </row>
    <row r="5" spans="2:8" x14ac:dyDescent="0.25">
      <c r="B5" t="s">
        <v>66</v>
      </c>
      <c r="C5">
        <v>297</v>
      </c>
      <c r="D5">
        <v>420</v>
      </c>
    </row>
    <row r="6" spans="2:8" x14ac:dyDescent="0.25">
      <c r="B6" t="s">
        <v>67</v>
      </c>
      <c r="C6">
        <v>210</v>
      </c>
      <c r="D6">
        <v>297</v>
      </c>
    </row>
    <row r="7" spans="2:8" x14ac:dyDescent="0.25">
      <c r="B7" t="s">
        <v>68</v>
      </c>
      <c r="C7">
        <v>148</v>
      </c>
      <c r="D7">
        <v>210</v>
      </c>
    </row>
    <row r="8" spans="2:8" x14ac:dyDescent="0.25">
      <c r="B8" t="s">
        <v>69</v>
      </c>
      <c r="C8">
        <v>105</v>
      </c>
      <c r="D8">
        <v>148</v>
      </c>
    </row>
    <row r="10" spans="2:8" ht="15.75" thickBot="1" x14ac:dyDescent="0.3"/>
    <row r="11" spans="2:8" ht="23.25" x14ac:dyDescent="0.35">
      <c r="B11" s="100" t="s">
        <v>107</v>
      </c>
      <c r="C11" s="107"/>
      <c r="D11" s="107"/>
      <c r="E11" s="107"/>
      <c r="F11" s="101"/>
    </row>
    <row r="12" spans="2:8" x14ac:dyDescent="0.25">
      <c r="B12" t="s">
        <v>55</v>
      </c>
      <c r="C12" t="s">
        <v>102</v>
      </c>
      <c r="D12" t="s">
        <v>103</v>
      </c>
      <c r="E12" t="s">
        <v>104</v>
      </c>
      <c r="F12" t="s">
        <v>105</v>
      </c>
      <c r="H12" s="4"/>
    </row>
    <row r="13" spans="2:8" x14ac:dyDescent="0.25">
      <c r="B13" t="s">
        <v>99</v>
      </c>
      <c r="C13" s="4">
        <v>30</v>
      </c>
      <c r="D13" s="4">
        <v>28</v>
      </c>
      <c r="E13" s="4">
        <v>25</v>
      </c>
      <c r="F13" s="4">
        <v>22</v>
      </c>
    </row>
    <row r="15" spans="2:8" ht="15.75" thickBot="1" x14ac:dyDescent="0.3"/>
    <row r="16" spans="2:8" ht="23.25" x14ac:dyDescent="0.35">
      <c r="B16" s="100" t="s">
        <v>50</v>
      </c>
      <c r="C16" s="101"/>
    </row>
    <row r="17" spans="2:3" x14ac:dyDescent="0.25">
      <c r="B17" t="s">
        <v>6</v>
      </c>
      <c r="C17" s="1" t="s">
        <v>51</v>
      </c>
    </row>
    <row r="18" spans="2:3" x14ac:dyDescent="0.25">
      <c r="B18" s="7" t="s">
        <v>129</v>
      </c>
      <c r="C18" s="6">
        <v>0</v>
      </c>
    </row>
    <row r="19" spans="2:3" x14ac:dyDescent="0.25">
      <c r="B19" s="7">
        <v>0.15</v>
      </c>
      <c r="C19" s="6">
        <v>0.15</v>
      </c>
    </row>
    <row r="20" spans="2:3" x14ac:dyDescent="0.25">
      <c r="B20" s="7">
        <v>0.2</v>
      </c>
      <c r="C20" s="6">
        <v>0.2</v>
      </c>
    </row>
    <row r="21" spans="2:3" x14ac:dyDescent="0.25">
      <c r="B21" s="7" t="s">
        <v>52</v>
      </c>
      <c r="C21" s="6">
        <v>0.5</v>
      </c>
    </row>
    <row r="22" spans="2:3" x14ac:dyDescent="0.25">
      <c r="B22" s="8" t="s">
        <v>117</v>
      </c>
      <c r="C22" s="6">
        <v>1</v>
      </c>
    </row>
    <row r="24" spans="2:3" ht="15.75" thickBot="1" x14ac:dyDescent="0.3"/>
    <row r="25" spans="2:3" ht="23.25" x14ac:dyDescent="0.35">
      <c r="B25" s="102" t="s">
        <v>60</v>
      </c>
      <c r="C25" s="103"/>
    </row>
    <row r="26" spans="2:3" x14ac:dyDescent="0.25">
      <c r="B26" s="3" t="s">
        <v>56</v>
      </c>
      <c r="C26" s="3">
        <v>841</v>
      </c>
    </row>
    <row r="27" spans="2:3" x14ac:dyDescent="0.25">
      <c r="B27" s="3" t="s">
        <v>53</v>
      </c>
      <c r="C27" s="3">
        <v>2.5</v>
      </c>
    </row>
    <row r="28" spans="2:3" x14ac:dyDescent="0.25">
      <c r="B28" s="3" t="s">
        <v>58</v>
      </c>
      <c r="C28" s="32">
        <v>0.5</v>
      </c>
    </row>
  </sheetData>
  <mergeCells count="4">
    <mergeCell ref="B3:D3"/>
    <mergeCell ref="B25:C25"/>
    <mergeCell ref="B11:F11"/>
    <mergeCell ref="B16:C16"/>
  </mergeCell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25F955-1A6F-4580-BFD4-1F074F9B35BE}">
  <dimension ref="B1:F21"/>
  <sheetViews>
    <sheetView topLeftCell="A4" workbookViewId="0">
      <selection activeCell="B13" sqref="B13"/>
    </sheetView>
  </sheetViews>
  <sheetFormatPr defaultRowHeight="15" x14ac:dyDescent="0.25"/>
  <cols>
    <col min="2" max="2" width="40.42578125" bestFit="1" customWidth="1"/>
    <col min="3" max="4" width="15" bestFit="1" customWidth="1"/>
    <col min="5" max="6" width="16.140625" bestFit="1" customWidth="1"/>
    <col min="7" max="7" width="21" bestFit="1" customWidth="1"/>
  </cols>
  <sheetData>
    <row r="1" spans="2:6" ht="15.75" thickBot="1" x14ac:dyDescent="0.3"/>
    <row r="2" spans="2:6" ht="24" thickBot="1" x14ac:dyDescent="0.4">
      <c r="B2" s="104" t="s">
        <v>107</v>
      </c>
      <c r="C2" s="105"/>
      <c r="D2" s="105"/>
      <c r="E2" s="105"/>
      <c r="F2" s="106"/>
    </row>
    <row r="3" spans="2:6" x14ac:dyDescent="0.25">
      <c r="B3" s="2" t="s">
        <v>55</v>
      </c>
      <c r="C3" s="2" t="s">
        <v>72</v>
      </c>
      <c r="D3" s="2" t="s">
        <v>78</v>
      </c>
      <c r="E3" s="2" t="s">
        <v>79</v>
      </c>
      <c r="F3" s="2" t="s">
        <v>71</v>
      </c>
    </row>
    <row r="4" spans="2:6" x14ac:dyDescent="0.25">
      <c r="B4" s="2" t="s">
        <v>74</v>
      </c>
      <c r="C4" s="5">
        <v>30</v>
      </c>
      <c r="D4" s="4">
        <v>28</v>
      </c>
      <c r="E4" s="4">
        <v>26</v>
      </c>
      <c r="F4" s="4">
        <v>24</v>
      </c>
    </row>
    <row r="5" spans="2:6" x14ac:dyDescent="0.25">
      <c r="B5" s="2" t="s">
        <v>75</v>
      </c>
      <c r="C5" s="5">
        <v>32</v>
      </c>
      <c r="D5" s="4">
        <v>30</v>
      </c>
      <c r="E5" s="4">
        <v>28</v>
      </c>
      <c r="F5" s="4">
        <v>26</v>
      </c>
    </row>
    <row r="6" spans="2:6" x14ac:dyDescent="0.25">
      <c r="B6" s="2" t="s">
        <v>76</v>
      </c>
      <c r="C6" s="5">
        <v>34</v>
      </c>
      <c r="D6" s="4">
        <v>32</v>
      </c>
      <c r="E6" s="4">
        <v>30</v>
      </c>
      <c r="F6" s="4">
        <v>28</v>
      </c>
    </row>
    <row r="7" spans="2:6" x14ac:dyDescent="0.25">
      <c r="B7" s="2" t="s">
        <v>77</v>
      </c>
      <c r="C7" s="5">
        <v>36</v>
      </c>
      <c r="D7" s="4">
        <v>34</v>
      </c>
      <c r="E7" s="4">
        <v>32</v>
      </c>
      <c r="F7" s="4">
        <v>30</v>
      </c>
    </row>
    <row r="9" spans="2:6" ht="15.75" thickBot="1" x14ac:dyDescent="0.3"/>
    <row r="10" spans="2:6" ht="23.25" x14ac:dyDescent="0.35">
      <c r="B10" s="100" t="s">
        <v>50</v>
      </c>
      <c r="C10" s="101"/>
    </row>
    <row r="11" spans="2:6" x14ac:dyDescent="0.25">
      <c r="B11" t="s">
        <v>6</v>
      </c>
      <c r="C11" s="1" t="s">
        <v>51</v>
      </c>
    </row>
    <row r="12" spans="2:6" x14ac:dyDescent="0.25">
      <c r="B12" s="7" t="s">
        <v>129</v>
      </c>
      <c r="C12" s="6">
        <v>0</v>
      </c>
    </row>
    <row r="13" spans="2:6" x14ac:dyDescent="0.25">
      <c r="B13" s="7">
        <v>0.15</v>
      </c>
      <c r="C13" s="6">
        <v>0.15</v>
      </c>
    </row>
    <row r="14" spans="2:6" x14ac:dyDescent="0.25">
      <c r="B14" s="7">
        <v>0.2</v>
      </c>
      <c r="C14" s="6">
        <v>0.2</v>
      </c>
    </row>
    <row r="15" spans="2:6" x14ac:dyDescent="0.25">
      <c r="B15" s="7" t="s">
        <v>52</v>
      </c>
      <c r="C15" s="6">
        <v>0.5</v>
      </c>
    </row>
    <row r="16" spans="2:6" x14ac:dyDescent="0.25">
      <c r="B16" s="8" t="s">
        <v>117</v>
      </c>
      <c r="C16" s="6">
        <v>1</v>
      </c>
    </row>
    <row r="17" spans="2:3" ht="15.75" thickBot="1" x14ac:dyDescent="0.3"/>
    <row r="18" spans="2:3" ht="23.25" x14ac:dyDescent="0.35">
      <c r="B18" s="102" t="s">
        <v>60</v>
      </c>
      <c r="C18" s="103"/>
    </row>
    <row r="19" spans="2:3" x14ac:dyDescent="0.25">
      <c r="B19" s="3" t="s">
        <v>56</v>
      </c>
      <c r="C19" s="3">
        <v>841</v>
      </c>
    </row>
    <row r="20" spans="2:3" x14ac:dyDescent="0.25">
      <c r="B20" s="3" t="s">
        <v>53</v>
      </c>
      <c r="C20" s="3">
        <v>2.5</v>
      </c>
    </row>
    <row r="21" spans="2:3" x14ac:dyDescent="0.25">
      <c r="B21" s="3" t="s">
        <v>58</v>
      </c>
      <c r="C21" s="3">
        <v>0.5</v>
      </c>
    </row>
  </sheetData>
  <mergeCells count="3">
    <mergeCell ref="B2:F2"/>
    <mergeCell ref="B18:C18"/>
    <mergeCell ref="B10:C10"/>
  </mergeCells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5A603-87CD-4A2F-B1A2-A1C882CA10C1}">
  <dimension ref="A1:E22"/>
  <sheetViews>
    <sheetView workbookViewId="0">
      <selection activeCell="J8" sqref="J8"/>
    </sheetView>
  </sheetViews>
  <sheetFormatPr defaultRowHeight="15" x14ac:dyDescent="0.25"/>
  <cols>
    <col min="2" max="2" width="28.140625" bestFit="1" customWidth="1"/>
    <col min="3" max="3" width="11.5703125" customWidth="1"/>
    <col min="4" max="4" width="11.42578125" customWidth="1"/>
    <col min="5" max="5" width="22.7109375" customWidth="1"/>
  </cols>
  <sheetData>
    <row r="1" spans="1:5" ht="15.75" thickBot="1" x14ac:dyDescent="0.3">
      <c r="A1" s="38" t="s">
        <v>110</v>
      </c>
    </row>
    <row r="2" spans="1:5" ht="27" thickBot="1" x14ac:dyDescent="0.45">
      <c r="A2" s="38" t="s">
        <v>47</v>
      </c>
      <c r="B2" s="108" t="s">
        <v>0</v>
      </c>
      <c r="C2" s="109"/>
      <c r="D2" s="109"/>
      <c r="E2" s="110"/>
    </row>
    <row r="3" spans="1:5" x14ac:dyDescent="0.25">
      <c r="B3" t="s">
        <v>88</v>
      </c>
      <c r="C3" t="s">
        <v>89</v>
      </c>
      <c r="D3" t="s">
        <v>90</v>
      </c>
      <c r="E3" t="s">
        <v>91</v>
      </c>
    </row>
    <row r="4" spans="1:5" x14ac:dyDescent="0.25">
      <c r="B4" t="s">
        <v>92</v>
      </c>
      <c r="C4">
        <f>IF((0.1*'Ustawienia-druk wielkoformatowy'!C62)&gt;=(KALKULATOR!C5+2*(0.1*'Ustawienia-druk wielkoformatowy'!C63)),ROUNDDOWN((0.1*'Ustawienia-druk wielkoformatowy'!C62)/(KALKULATOR!C5+2*(0.1*'Ustawienia-druk wielkoformatowy'!C63)),0),0)</f>
        <v>8</v>
      </c>
      <c r="D4">
        <f>IF((0.1*'Ustawienia-druk wielkoformatowy'!C62)&gt;=(KALKULATOR!C6+2*(0.1*'Ustawienia-druk wielkoformatowy'!C63)),ROUNDDOWN((0.1*'Ustawienia-druk wielkoformatowy'!C62)/(KALKULATOR!C6+2*(0.1*'Ustawienia-druk wielkoformatowy'!C63)),0),0)</f>
        <v>8</v>
      </c>
      <c r="E4" s="37">
        <f>IF('Pomocnicze-Obliczenia'!E6='Pomocnicze-Obliczenia'!C6,Tabela13[[#This Row],[wariant A]],IF('Pomocnicze-Obliczenia'!E6='Pomocnicze-Obliczenia'!D6,Tabela13[[#This Row],[wariant B]],0))</f>
        <v>8</v>
      </c>
    </row>
    <row r="5" spans="1:5" x14ac:dyDescent="0.25">
      <c r="B5" t="s">
        <v>93</v>
      </c>
      <c r="C5">
        <f>IF('Pomocnicze-Obliczenia'!C4&gt;0,ROUNDUP(KALKULATOR!C12/'Pomocnicze-Obliczenia'!C4,0),0)</f>
        <v>7</v>
      </c>
      <c r="D5">
        <f>IF('Pomocnicze-Obliczenia'!D4&gt;0,ROUNDUP(KALKULATOR!C12/'Pomocnicze-Obliczenia'!D4,0),0)</f>
        <v>7</v>
      </c>
      <c r="E5" s="37">
        <f>IF('Pomocnicze-Obliczenia'!E6='Pomocnicze-Obliczenia'!C6,Tabela13[[#This Row],[wariant A]],IF('Pomocnicze-Obliczenia'!E6='Pomocnicze-Obliczenia'!D6,Tabela13[[#This Row],[wariant B]],0))</f>
        <v>7</v>
      </c>
    </row>
    <row r="6" spans="1:5" x14ac:dyDescent="0.25">
      <c r="B6" t="s">
        <v>96</v>
      </c>
      <c r="C6">
        <f>'Pomocnicze-Obliczenia'!C5*(KALKULATOR!C6+2*(0.1*'Ustawienia-druk wielkoformatowy'!C63))</f>
        <v>73.5</v>
      </c>
      <c r="D6">
        <f>'Pomocnicze-Obliczenia'!D5*(KALKULATOR!C5+2*(0.1*'Ustawienia-druk wielkoformatowy'!C63))</f>
        <v>73.5</v>
      </c>
      <c r="E6" s="37">
        <f>IF('Pomocnicze-Obliczenia'!C6=0,IF('Pomocnicze-Obliczenia'!D6=0,0,'Pomocnicze-Obliczenia'!D6),IF('Pomocnicze-Obliczenia'!D6=0,'Pomocnicze-Obliczenia'!C6,IF('Pomocnicze-Obliczenia'!C6&lt;'Pomocnicze-Obliczenia'!D6,'Pomocnicze-Obliczenia'!C6,'Pomocnicze-Obliczenia'!D6)))</f>
        <v>73.5</v>
      </c>
    </row>
    <row r="9" spans="1:5" ht="15.75" thickBot="1" x14ac:dyDescent="0.3"/>
    <row r="10" spans="1:5" ht="27" thickBot="1" x14ac:dyDescent="0.45">
      <c r="B10" s="108" t="s">
        <v>62</v>
      </c>
      <c r="C10" s="109"/>
      <c r="D10" s="109"/>
      <c r="E10" s="110"/>
    </row>
    <row r="11" spans="1:5" x14ac:dyDescent="0.25">
      <c r="B11" t="s">
        <v>88</v>
      </c>
      <c r="C11" t="s">
        <v>89</v>
      </c>
      <c r="D11" t="s">
        <v>90</v>
      </c>
      <c r="E11" t="s">
        <v>91</v>
      </c>
    </row>
    <row r="12" spans="1:5" x14ac:dyDescent="0.25">
      <c r="B12" t="s">
        <v>92</v>
      </c>
      <c r="C12">
        <f>IF(((0.1*VLOOKUP(KALKULATOR!C24,Tabela8[],2,0))+(2*(0.1*'Ustawienia-plakaty'!C27)))&gt;0,ROUNDDOWN((0.1*'Ustawienia-plakaty'!C26)/((0.1*VLOOKUP(KALKULATOR!C24,Tabela8[],2,0))+(2*(0.1*'Ustawienia-plakaty'!C27))),0),0)</f>
        <v>2</v>
      </c>
      <c r="D12">
        <f>IF(((0.1*VLOOKUP(KALKULATOR!C24,Tabela8[],3,0))+(2*(0.1*'Ustawienia-plakaty'!C27)))&gt;0,ROUNDDOWN((0.1*'Ustawienia-plakaty'!C26)/((0.1*VLOOKUP(KALKULATOR!C24,Tabela8[],3,0))+(2*(0.1*'Ustawienia-plakaty'!C27))),0),0)</f>
        <v>1</v>
      </c>
      <c r="E12" s="37">
        <f>IF('Pomocnicze-Obliczenia'!$C$14=0,IF('Pomocnicze-Obliczenia'!$D$14=0,0,'Pomocnicze-Obliczenia'!$D12),IF('Pomocnicze-Obliczenia'!$D$14=0,'Pomocnicze-Obliczenia'!$C12,IF('Pomocnicze-Obliczenia'!$C$14&lt;'Pomocnicze-Obliczenia'!$D$14,'Pomocnicze-Obliczenia'!$C12,'Pomocnicze-Obliczenia'!$D12)))</f>
        <v>2</v>
      </c>
    </row>
    <row r="13" spans="1:5" x14ac:dyDescent="0.25">
      <c r="B13" t="s">
        <v>93</v>
      </c>
      <c r="C13">
        <f>IF('Pomocnicze-Obliczenia'!C12&gt;0,ROUNDUP(KALKULATOR!C26/'Pomocnicze-Obliczenia'!C12,0))</f>
        <v>5</v>
      </c>
      <c r="D13">
        <f>IF('Pomocnicze-Obliczenia'!D12&gt;0,ROUNDUP(KALKULATOR!C26/'Pomocnicze-Obliczenia'!D12,0))</f>
        <v>10</v>
      </c>
      <c r="E13" s="37">
        <f>IF('Pomocnicze-Obliczenia'!$C$14=0,IF('Pomocnicze-Obliczenia'!$D$14=0,0,'Pomocnicze-Obliczenia'!$D13),IF('Pomocnicze-Obliczenia'!$D$14=0,'Pomocnicze-Obliczenia'!$C13,IF('Pomocnicze-Obliczenia'!$C$14&lt;'Pomocnicze-Obliczenia'!$D$14,'Pomocnicze-Obliczenia'!$C13,'Pomocnicze-Obliczenia'!$D13)))</f>
        <v>5</v>
      </c>
    </row>
    <row r="14" spans="1:5" x14ac:dyDescent="0.25">
      <c r="B14" t="s">
        <v>96</v>
      </c>
      <c r="C14">
        <f>(0.1*(VLOOKUP(KALKULATOR!C24,Tabela8[],3,0)+2*'Ustawienia-plakaty'!C27))*C13</f>
        <v>212.5</v>
      </c>
      <c r="D14">
        <f>(0.1*(VLOOKUP(KALKULATOR!C24,Tabela8[],2,0)+2*'Ustawienia-plakaty'!C27))*D13</f>
        <v>302</v>
      </c>
      <c r="E14" s="37">
        <f>IF('Pomocnicze-Obliczenia'!$C$14=0,IF('Pomocnicze-Obliczenia'!$D$14=0,0,'Pomocnicze-Obliczenia'!$D14),IF('Pomocnicze-Obliczenia'!$D$14=0,'Pomocnicze-Obliczenia'!$C14,IF('Pomocnicze-Obliczenia'!$C$14&lt;'Pomocnicze-Obliczenia'!$D$14,'Pomocnicze-Obliczenia'!$C14,'Pomocnicze-Obliczenia'!$D14)))</f>
        <v>212.5</v>
      </c>
    </row>
    <row r="17" spans="2:5" ht="15.75" thickBot="1" x14ac:dyDescent="0.3"/>
    <row r="18" spans="2:5" ht="26.25" x14ac:dyDescent="0.4">
      <c r="B18" s="111" t="s">
        <v>70</v>
      </c>
      <c r="C18" s="112"/>
      <c r="D18" s="112"/>
      <c r="E18" s="113"/>
    </row>
    <row r="19" spans="2:5" x14ac:dyDescent="0.25">
      <c r="B19" t="s">
        <v>88</v>
      </c>
      <c r="C19" t="s">
        <v>89</v>
      </c>
      <c r="D19" t="s">
        <v>90</v>
      </c>
      <c r="E19" t="s">
        <v>91</v>
      </c>
    </row>
    <row r="20" spans="2:5" x14ac:dyDescent="0.25">
      <c r="B20" t="s">
        <v>108</v>
      </c>
      <c r="C20" s="1">
        <f>IF((0.1*'Ustawienia-bannery'!C19)&gt;(KALKULATOR!C39+2*(0.1*'Ustawienia-bannery'!C20)),ROUNDDOWN((0.1*'Ustawienia-bannery'!C19)/(KALKULATOR!C39+2*(0.1*'Ustawienia-bannery'!C20)),0),0)</f>
        <v>8</v>
      </c>
      <c r="D20" s="1">
        <f>IF((0.1*'Ustawienia-bannery'!C19)&gt;(KALKULATOR!C40+2*(0.1*'Ustawienia-bannery'!C20)),ROUNDDOWN((0.1*'Ustawienia-bannery'!C19)/(KALKULATOR!C40+2*(0.1*'Ustawienia-bannery'!C20)),0),0)</f>
        <v>8</v>
      </c>
      <c r="E20" s="37">
        <f>IF('Pomocnicze-Obliczenia'!$C$22=0,IF('Pomocnicze-Obliczenia'!$D$22=0,0,'Pomocnicze-Obliczenia'!$D20),IF('Pomocnicze-Obliczenia'!$D$22=0,'Pomocnicze-Obliczenia'!$C20,IF('Pomocnicze-Obliczenia'!$C$22&lt;'Pomocnicze-Obliczenia'!$D$22,'Pomocnicze-Obliczenia'!$C20,'Pomocnicze-Obliczenia'!$D20)))</f>
        <v>8</v>
      </c>
    </row>
    <row r="21" spans="2:5" x14ac:dyDescent="0.25">
      <c r="B21" t="s">
        <v>93</v>
      </c>
      <c r="C21" s="1">
        <f>IF('Pomocnicze-Obliczenia'!C20&gt;0,ROUNDUP(KALKULATOR!C42/'Pomocnicze-Obliczenia'!C20,0),0)</f>
        <v>7</v>
      </c>
      <c r="D21" s="1">
        <f>IF('Pomocnicze-Obliczenia'!D20&gt;0,ROUNDUP(KALKULATOR!C42/'Pomocnicze-Obliczenia'!D20,0),0)</f>
        <v>7</v>
      </c>
      <c r="E21" s="37">
        <f>IF('Pomocnicze-Obliczenia'!$C$22=0,IF('Pomocnicze-Obliczenia'!$D$22=0,0,'Pomocnicze-Obliczenia'!$D21),IF('Pomocnicze-Obliczenia'!$D$22=0,'Pomocnicze-Obliczenia'!$C21,IF('Pomocnicze-Obliczenia'!$C$22&lt;'Pomocnicze-Obliczenia'!$D$22,'Pomocnicze-Obliczenia'!$C21,'Pomocnicze-Obliczenia'!$D21)))</f>
        <v>7</v>
      </c>
    </row>
    <row r="22" spans="2:5" x14ac:dyDescent="0.25">
      <c r="B22" t="s">
        <v>109</v>
      </c>
      <c r="C22" s="1">
        <f>'Pomocnicze-Obliczenia'!C21*(KALKULATOR!C40+2*(0.1*'Ustawienia-bannery'!C20))</f>
        <v>73.5</v>
      </c>
      <c r="D22" s="1">
        <f>'Pomocnicze-Obliczenia'!D21*(KALKULATOR!C39+2*(0.1*'Ustawienia-bannery'!C20))</f>
        <v>73.5</v>
      </c>
      <c r="E22" s="37">
        <f>IF('Pomocnicze-Obliczenia'!$C$22=0,IF('Pomocnicze-Obliczenia'!$D$22=0,0,'Pomocnicze-Obliczenia'!$D22),IF('Pomocnicze-Obliczenia'!$D$22=0,'Pomocnicze-Obliczenia'!$C22,IF('Pomocnicze-Obliczenia'!$C$22&lt;'Pomocnicze-Obliczenia'!$D$22,'Pomocnicze-Obliczenia'!$C22,'Pomocnicze-Obliczenia'!$D22)))</f>
        <v>73.5</v>
      </c>
    </row>
  </sheetData>
  <mergeCells count="3">
    <mergeCell ref="B2:E2"/>
    <mergeCell ref="B10:E10"/>
    <mergeCell ref="B18:E18"/>
  </mergeCells>
  <pageMargins left="0.7" right="0.7" top="0.75" bottom="0.75" header="0.3" footer="0.3"/>
  <tableParts count="3">
    <tablePart r:id="rId1"/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B1739B-D2F4-42E8-9B23-151A12D0B4B0}">
  <dimension ref="B1:N16"/>
  <sheetViews>
    <sheetView topLeftCell="A4" workbookViewId="0">
      <selection activeCell="C15" sqref="C15"/>
    </sheetView>
  </sheetViews>
  <sheetFormatPr defaultRowHeight="15" x14ac:dyDescent="0.25"/>
  <cols>
    <col min="2" max="2" width="25" bestFit="1" customWidth="1"/>
    <col min="3" max="3" width="10.7109375" bestFit="1" customWidth="1"/>
    <col min="4" max="4" width="49.5703125" customWidth="1"/>
    <col min="7" max="7" width="9.85546875" bestFit="1" customWidth="1"/>
    <col min="10" max="10" width="9.85546875" bestFit="1" customWidth="1"/>
  </cols>
  <sheetData>
    <row r="1" spans="2:14" ht="15.75" thickBot="1" x14ac:dyDescent="0.3"/>
    <row r="2" spans="2:14" ht="27" thickBot="1" x14ac:dyDescent="0.45">
      <c r="B2" s="114" t="s">
        <v>0</v>
      </c>
      <c r="C2" s="115"/>
      <c r="D2" s="116"/>
    </row>
    <row r="3" spans="2:14" x14ac:dyDescent="0.25">
      <c r="B3" s="12" t="s">
        <v>85</v>
      </c>
      <c r="C3" s="12" t="s">
        <v>83</v>
      </c>
      <c r="D3" s="12" t="s">
        <v>86</v>
      </c>
    </row>
    <row r="4" spans="2:14" ht="45" x14ac:dyDescent="0.25">
      <c r="B4" s="11" t="s">
        <v>84</v>
      </c>
      <c r="C4" s="11" t="str">
        <f>IF(KALKULATOR!E4&lt;'Ustawienia-druk wielkoformatowy'!C64,"tak","nie")</f>
        <v>nie</v>
      </c>
      <c r="D4" s="13" t="str">
        <f>"Ilość zamówienia jest mniejsza niż minimalna. Podane ceny zostały policzone od ilości minimalnej równej "&amp;'Ustawienia-druk wielkoformatowy'!C64&amp;" m2"</f>
        <v>Ilość zamówienia jest mniejsza niż minimalna. Podane ceny zostały policzone od ilości minimalnej równej 0,5 m2</v>
      </c>
    </row>
    <row r="5" spans="2:14" ht="30" x14ac:dyDescent="0.25">
      <c r="B5" s="11" t="s">
        <v>94</v>
      </c>
      <c r="C5" s="10" t="str">
        <f>IF('Pomocnicze-Obliczenia'!E6=0,"tak","nie")</f>
        <v>nie</v>
      </c>
      <c r="D5" s="9" t="s">
        <v>95</v>
      </c>
    </row>
    <row r="7" spans="2:14" ht="15.75" thickBot="1" x14ac:dyDescent="0.3"/>
    <row r="8" spans="2:14" ht="27" thickBot="1" x14ac:dyDescent="0.45">
      <c r="B8" s="114" t="s">
        <v>62</v>
      </c>
      <c r="C8" s="115"/>
      <c r="D8" s="116"/>
    </row>
    <row r="9" spans="2:14" x14ac:dyDescent="0.25">
      <c r="B9" s="12" t="s">
        <v>85</v>
      </c>
      <c r="C9" s="12" t="s">
        <v>83</v>
      </c>
      <c r="D9" s="12" t="s">
        <v>86</v>
      </c>
      <c r="J9" s="34"/>
      <c r="K9" s="33"/>
    </row>
    <row r="10" spans="2:14" ht="45" x14ac:dyDescent="0.25">
      <c r="B10" s="11" t="s">
        <v>84</v>
      </c>
      <c r="C10" s="11" t="str">
        <f>IF(KALKULATOR!E23&gt;'Ustawienia-plakaty'!C28,"nie","tak")</f>
        <v>nie</v>
      </c>
      <c r="D10" s="13" t="str">
        <f>"Ilość zamówienia jest mniejsza niż minimalna. Podane ceny zostały policzone od ilości minimalnej równej "&amp;'Ustawienia-plakaty'!C28&amp;" m2"</f>
        <v>Ilość zamówienia jest mniejsza niż minimalna. Podane ceny zostały policzone od ilości minimalnej równej 0,5 m2</v>
      </c>
    </row>
    <row r="12" spans="2:14" ht="15.75" thickBot="1" x14ac:dyDescent="0.3"/>
    <row r="13" spans="2:14" ht="27" thickBot="1" x14ac:dyDescent="0.45">
      <c r="B13" s="114" t="s">
        <v>70</v>
      </c>
      <c r="C13" s="115"/>
      <c r="D13" s="116"/>
    </row>
    <row r="14" spans="2:14" x14ac:dyDescent="0.25">
      <c r="B14" s="12" t="s">
        <v>85</v>
      </c>
      <c r="C14" s="12" t="s">
        <v>83</v>
      </c>
      <c r="D14" s="12" t="s">
        <v>86</v>
      </c>
    </row>
    <row r="15" spans="2:14" ht="45" x14ac:dyDescent="0.25">
      <c r="B15" s="11" t="s">
        <v>84</v>
      </c>
      <c r="C15" s="11" t="str">
        <f>IF(KALKULATOR!E38&gt;'Ustawienia-bannery'!C21,"nie","tak")</f>
        <v>nie</v>
      </c>
      <c r="D15" s="13" t="str">
        <f>"Ilość zamówienia jest mniejsza niż minimalna. Podane ceny zostały policzone od ilości minimalnej równej "&amp;'Ustawienia-bannery'!C21&amp;" m2"</f>
        <v>Ilość zamówienia jest mniejsza niż minimalna. Podane ceny zostały policzone od ilości minimalnej równej 0,5 m2</v>
      </c>
      <c r="M15" s="33"/>
      <c r="N15" s="33"/>
    </row>
    <row r="16" spans="2:14" ht="30" x14ac:dyDescent="0.25">
      <c r="B16" s="11" t="s">
        <v>94</v>
      </c>
      <c r="C16" s="10" t="str">
        <f>IF('Pomocnicze-Obliczenia'!E22=0,"tak","nie")</f>
        <v>nie</v>
      </c>
      <c r="D16" s="9" t="s">
        <v>95</v>
      </c>
    </row>
  </sheetData>
  <mergeCells count="3">
    <mergeCell ref="B2:D2"/>
    <mergeCell ref="B8:D8"/>
    <mergeCell ref="B13:D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6</vt:i4>
      </vt:variant>
      <vt:variant>
        <vt:lpstr>Nazwane zakresy</vt:lpstr>
      </vt:variant>
      <vt:variant>
        <vt:i4>1</vt:i4>
      </vt:variant>
    </vt:vector>
  </HeadingPairs>
  <TitlesOfParts>
    <vt:vector size="7" baseType="lpstr">
      <vt:lpstr>KALKULATOR</vt:lpstr>
      <vt:lpstr>Ustawienia-druk wielkoformatowy</vt:lpstr>
      <vt:lpstr>Ustawienia-plakaty</vt:lpstr>
      <vt:lpstr>Ustawienia-bannery</vt:lpstr>
      <vt:lpstr>Pomocnicze-Obliczenia</vt:lpstr>
      <vt:lpstr>Komunikaty</vt:lpstr>
      <vt:lpstr>nowa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Grzegorz</dc:creator>
  <cp:lastModifiedBy>Grzegorz</cp:lastModifiedBy>
  <dcterms:created xsi:type="dcterms:W3CDTF">2015-06-05T18:19:34Z</dcterms:created>
  <dcterms:modified xsi:type="dcterms:W3CDTF">2019-08-21T15:57:41Z</dcterms:modified>
</cp:coreProperties>
</file>