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_rels/sheet9.xml.rels" ContentType="application/vnd.openxmlformats-package.relationships+xml"/>
  <Override PartName="/xl/worksheets/_rels/sheet7.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drawings/_rels/drawing5.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_rels/workbook.xml.rels" ContentType="application/vnd.openxmlformats-package.relationships+xml"/>
  <Override PartName="/xl/media/image1.wmf" ContentType="image/x-wmf"/>
  <Override PartName="/xl/media/image2.png" ContentType="image/png"/>
  <Override PartName="/xl/media/image3.wmf" ContentType="image/x-wmf"/>
  <Override PartName="/xl/media/image4.wmf" ContentType="image/x-wmf"/>
  <Override PartName="/xl/media/image5.wmf" ContentType="image/x-wmf"/>
  <Override PartName="/xl/media/image6.wmf" ContentType="image/x-wmf"/>
  <Override PartName="/xl/media/image7.wmf" ContentType="image/x-wmf"/>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20.xml" ContentType="application/vnd.openxmlformats-officedocument.drawingml.chart+xml"/>
  <Override PartName="/xl/charts/chart10.xml" ContentType="application/vnd.openxmlformats-officedocument.drawingml.chart+xml"/>
  <Override PartName="/xl/charts/chart5.xml" ContentType="application/vnd.openxmlformats-officedocument.drawingml.chart+xml"/>
  <Override PartName="/xl/charts/chart21.xml" ContentType="application/vnd.openxmlformats-officedocument.drawingml.chart+xml"/>
  <Override PartName="/xl/charts/chart11.xml" ContentType="application/vnd.openxmlformats-officedocument.drawingml.chart+xml"/>
  <Override PartName="/xl/charts/chart6.xml" ContentType="application/vnd.openxmlformats-officedocument.drawingml.chart+xml"/>
  <Override PartName="/xl/charts/chart22.xml" ContentType="application/vnd.openxmlformats-officedocument.drawingml.chart+xml"/>
  <Override PartName="/xl/charts/chart12.xml" ContentType="application/vnd.openxmlformats-officedocument.drawingml.chart+xml"/>
  <Override PartName="/xl/charts/chart7.xml" ContentType="application/vnd.openxmlformats-officedocument.drawingml.chart+xml"/>
  <Override PartName="/xl/charts/chart13.xml" ContentType="application/vnd.openxmlformats-officedocument.drawingml.chart+xml"/>
  <Override PartName="/xl/charts/chart8.xml" ContentType="application/vnd.openxmlformats-officedocument.drawingml.chart+xml"/>
  <Override PartName="/xl/charts/chart14.xml" ContentType="application/vnd.openxmlformats-officedocument.drawingml.chart+xml"/>
  <Override PartName="/xl/charts/_rels/chart6.xml.rels" ContentType="application/vnd.openxmlformats-package.relationships+xml"/>
  <Override PartName="/xl/charts/chart9.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Attribution and License" sheetId="1" state="visible" r:id="rId3"/>
    <sheet name="Interview" sheetId="2" state="visible" r:id="rId4"/>
    <sheet name="Scorecard" sheetId="3" state="visible" r:id="rId5"/>
    <sheet name="Roadmap" sheetId="4" state="visible" r:id="rId6"/>
    <sheet name="Roadmap Chart" sheetId="5" state="visible" r:id="rId7"/>
    <sheet name="Lookups" sheetId="6" state="hidden" r:id="rId8"/>
    <sheet name="imp-questions" sheetId="7" state="hidden" r:id="rId9"/>
    <sheet name="imp-answers" sheetId="8" state="hidden" r:id="rId10"/>
    <sheet name="Background Images" sheetId="9" state="hidden" r:id="rId11"/>
  </sheets>
  <definedNames>
    <definedName function="false" hidden="true" localSheetId="6" name="_xlnm._FilterDatabase" vbProcedure="false">'imp-questions'!$A$1:$H$91</definedName>
    <definedName function="false" hidden="false" localSheetId="4" name="_xlnm.Print_Area" vbProcedure="false">'Roadmap Chart'!$L$3:$W$108</definedName>
    <definedName function="false" hidden="false" name="AnsA" vbProcedure="false">Lookups!$P$4:$P$7</definedName>
    <definedName function="false" hidden="false" name="AnsATBL" vbProcedure="false">Lookups!$P$4:$Q$7</definedName>
    <definedName function="false" hidden="false" name="AnsB" vbProcedure="false">Lookups!$P$10:$P$13</definedName>
    <definedName function="false" hidden="false" name="AnsBTBL" vbProcedure="false">Lookups!$P$10:$Q$13</definedName>
    <definedName function="false" hidden="false" name="AnsC" vbProcedure="false">Lookups!$P$16:$P$19</definedName>
    <definedName function="false" hidden="false" name="AnsCTBL" vbProcedure="false">Lookups!$P$16:$Q$19</definedName>
    <definedName function="false" hidden="false" name="AnsD" vbProcedure="false">Lookups!$P$22:$P$25</definedName>
    <definedName function="false" hidden="false" name="AnsDTBL" vbProcedure="false">Lookups!$P$22:$Q$25</definedName>
    <definedName function="false" hidden="false" name="AnsE" vbProcedure="false">Lookups!$P$28:$P$31</definedName>
    <definedName function="false" hidden="false" name="AnsETBL" vbProcedure="false">Lookups!$P$28:$Q$31</definedName>
    <definedName function="false" hidden="false" name="AnsF" vbProcedure="false">Lookups!$P$34:$P$37</definedName>
    <definedName function="false" hidden="false" name="AnsFTBL" vbProcedure="false">Lookups!$P$34:$Q$37</definedName>
    <definedName function="false" hidden="false" name="AnsG" vbProcedure="false">Lookups!$P$40:$P$43</definedName>
    <definedName function="false" hidden="false" name="AnsGTBL" vbProcedure="false">Lookups!$P$40:$Q$43</definedName>
    <definedName function="false" hidden="false" name="AnsH" vbProcedure="false">Lookups!$P$46:$P$49</definedName>
    <definedName function="false" hidden="false" name="AnsHTBL" vbProcedure="false">Lookups!$P$46:$Q$49</definedName>
    <definedName function="false" hidden="false" name="AnsI" vbProcedure="false">Lookups!$P$52:$P$55</definedName>
    <definedName function="false" hidden="false" name="AnsITBL" vbProcedure="false">Lookups!$P$52:$Q$55</definedName>
    <definedName function="false" hidden="false" name="AnsJ" vbProcedure="false">Lookups!$P$58:$P$61</definedName>
    <definedName function="false" hidden="false" name="AnsJTBL" vbProcedure="false">Lookups!$P$58:$Q$61</definedName>
    <definedName function="false" hidden="false" name="AnsK" vbProcedure="false">Lookups!$P$64:$P$67</definedName>
    <definedName function="false" hidden="false" name="AnsKTBL" vbProcedure="false">Lookups!$P$64:$Q$67</definedName>
    <definedName function="false" hidden="false" name="AnsL" vbProcedure="false">Lookups!$P$70:$P$73</definedName>
    <definedName function="false" hidden="false" name="AnsLTBL" vbProcedure="false">Lookups!$P$70:$Q$73</definedName>
    <definedName function="false" hidden="false" name="AnsM" vbProcedure="false">Lookups!$P$76:$P$79</definedName>
    <definedName function="false" hidden="false" name="AnsMTBL" vbProcedure="false">Lookups!$P$76:$Q$79</definedName>
    <definedName function="false" hidden="false" name="AnsN" vbProcedure="false">Lookups!$P$82:$P$85</definedName>
    <definedName function="false" hidden="false" name="AnsNTBL" vbProcedure="false">Lookups!$P$82:$Q$85</definedName>
    <definedName function="false" hidden="false" name="AnsO" vbProcedure="false">Lookups!$P$88:$P$91</definedName>
    <definedName function="false" hidden="false" name="AnsOTBL" vbProcedure="false">Lookups!$P$88:$Q$91</definedName>
    <definedName function="false" hidden="false" name="AnsP" vbProcedure="false">Lookups!$P$94:$P$97</definedName>
    <definedName function="false" hidden="false" name="AnsPTBL" vbProcedure="false">Lookups!$P$94:$Q$97</definedName>
    <definedName function="false" hidden="false" name="AnsQ" vbProcedure="false">Lookups!$P$100:$P$103</definedName>
    <definedName function="false" hidden="false" name="AnsQTBL" vbProcedure="false">Lookups!$P$100:$Q$103</definedName>
    <definedName function="false" hidden="false" name="AnsR" vbProcedure="false">Lookups!$P$106:$P$109</definedName>
    <definedName function="false" hidden="false" name="AnsRTBL" vbProcedure="false">Lookups!$P$106:$Q$109</definedName>
    <definedName function="false" hidden="false" name="AnsS" vbProcedure="false">Lookups!$P$112:$P$115</definedName>
    <definedName function="false" hidden="false" name="AnsSTBL" vbProcedure="false">Lookups!$P$112:$Q$115</definedName>
    <definedName function="false" hidden="false" name="AnsT" vbProcedure="false">Lookups!$P$118:$P$121</definedName>
    <definedName function="false" hidden="false" name="AnsTTBL" vbProcedure="false">Lookups!$P$118:$Q$121</definedName>
    <definedName function="false" hidden="false" name="AnsU" vbProcedure="false">Lookups!$P$124:$P$127</definedName>
    <definedName function="false" hidden="false" name="AnsUTBL" vbProcedure="false">Lookups!$P$124:$Q$127</definedName>
    <definedName function="false" hidden="false" name="AnsV" vbProcedure="false">Lookups!$P$130:$P$133</definedName>
    <definedName function="false" hidden="false" name="AnsVTBL" vbProcedure="false">Lookups!$P$130:$Q$133</definedName>
    <definedName function="false" hidden="false" name="AnsW" vbProcedure="false">Lookups!$P$136:$P$139</definedName>
    <definedName function="false" hidden="false" name="AnsWTBL" vbProcedure="false">Lookups!$P$136:$Q$139</definedName>
    <definedName function="false" hidden="false" name="AnsX" vbProcedure="false">Lookups!$P$142:$P$145</definedName>
    <definedName function="false" hidden="false" name="AnsXTBL" vbProcedure="false">Lookups!$P$142:$Q$145</definedName>
    <definedName function="false" hidden="false" name="AnsY" vbProcedure="false">Lookups!$P$148:$P$151</definedName>
    <definedName function="false" hidden="false" name="AnsYTBL" vbProcedure="false">Lookups!$P$148:$Q$151</definedName>
    <definedName function="false" hidden="true" localSheetId="1" name="Z_9846C184_355C_EA4B_8C35_9561D1AEE31C_.wvu.Rows" vbProcedure="false">Interview!$1:$1</definedName>
    <definedName function="false" hidden="true" localSheetId="2" name="Z_9846C184_355C_EA4B_8C35_9561D1AEE31C_.wvu.Cols" vbProcedure="false">Scorecard!$G:$G</definedName>
    <definedName function="false" hidden="true" localSheetId="3" name="Z_9846C184_355C_EA4B_8C35_9561D1AEE31C_.wvu.Rows" vbProcedure="false">Roadmap!$1:$1</definedName>
    <definedName function="false" hidden="true" localSheetId="4" name="Z_9846C184_355C_EA4B_8C35_9561D1AEE31C_.wvu.PrintArea" vbProcedure="false">'Roadmap Chart'!$L$3:$W$108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<sst xmlns="http://schemas.openxmlformats.org/spreadsheetml/2006/main" count="1248" uniqueCount="533">
  <si>
    <t xml:space="preserve">OWASP Software Assurance Maturity Model (SAMM) </t>
  </si>
  <si>
    <t xml:space="preserve">Version:</t>
  </si>
  <si>
    <t xml:space="preserve">2.0</t>
  </si>
  <si>
    <t xml:space="preserve">Description:</t>
  </si>
  <si>
    <t xml:space="preserve">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</si>
  <si>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 xml:space="preserve">License:</t>
  </si>
  <si>
    <t xml:space="preserve">Creative Commons Attribution-ShareAlike 4.0 License</t>
  </si>
  <si>
    <t xml:space="preserve">This work is licensed under the Creative Commons Attribution-Share Alike 3.0 License. To view a copy of this license, visit http://creativecommons.org/licenses/by-sa/3.0/legalcode; or, (b) send a letter to Creative Commons, 171 2nd Street, Suite 300, San Francisco, California, 94105, USA.</t>
  </si>
  <si>
    <t xml:space="preserve">Element:</t>
  </si>
  <si>
    <t xml:space="preserve">Toolbox for v2.0</t>
  </si>
  <si>
    <t xml:space="preserve">Authors:</t>
  </si>
  <si>
    <t xml:space="preserve">Yan Kravchenko</t>
  </si>
  <si>
    <t xml:space="preserve">Contributors:</t>
  </si>
  <si>
    <t xml:space="preserve">The SAMM project team</t>
  </si>
  <si>
    <t xml:space="preserve">Toolbox for v1.5</t>
  </si>
  <si>
    <t xml:space="preserve">Brian Glas</t>
  </si>
  <si>
    <t xml:space="preserve">Roadmap Chart Template v1.0</t>
  </si>
  <si>
    <t xml:space="preserve">Author:</t>
  </si>
  <si>
    <t xml:space="preserve">Colin Watson</t>
  </si>
  <si>
    <t xml:space="preserve">Aidan Lynch</t>
  </si>
  <si>
    <t xml:space="preserve">Interview Template v1.0</t>
  </si>
  <si>
    <t xml:space="preserve">Author(s):</t>
  </si>
  <si>
    <t xml:space="preserve">Nick Coblentz, Eoin Keary, and Seba Deleersnyder</t>
  </si>
  <si>
    <t xml:space="preserve">SAMM</t>
  </si>
  <si>
    <t xml:space="preserve">The Software Assurance Maturity Model (SAMM) was created by Pravir Chandra and is now an Open Web Application Security Project (OWASP) project.</t>
  </si>
  <si>
    <t xml:space="preserve">SAMM is licensed under the Creative Commons Attribution-Share Alike 4.0 License</t>
  </si>
  <si>
    <t xml:space="preserve">https://owaspsamm.org/</t>
  </si>
  <si>
    <t xml:space="preserve">Instructions</t>
  </si>
  <si>
    <t xml:space="preserve">Interview an individual based on the questions below organized according to SAMM Business Functions and Security Practices.</t>
  </si>
  <si>
    <t xml:space="preserve">Select the best answer from the multiple choice drop down selections in the answer column.</t>
  </si>
  <si>
    <t xml:space="preserve">Document additional information such as how and why in the "Interview Notes" column.</t>
  </si>
  <si>
    <t xml:space="preserve">The formulas in hidden columns F-H will calculate the scores and update the Rating boxes and other worksheets as needed.</t>
  </si>
  <si>
    <t xml:space="preserve">Once the interview is complete, go to the "Scorecard" sheet and follow instructions.</t>
  </si>
  <si>
    <t xml:space="preserve">Organization:</t>
  </si>
  <si>
    <t xml:space="preserve">Team/Application:</t>
  </si>
  <si>
    <t xml:space="preserve">Interview Date:</t>
  </si>
  <si>
    <t xml:space="preserve">Team Lead: </t>
  </si>
  <si>
    <t xml:space="preserve">Governance</t>
  </si>
  <si>
    <t xml:space="preserve">Stream</t>
  </si>
  <si>
    <t xml:space="preserve">Level</t>
  </si>
  <si>
    <t xml:space="preserve">Strategy &amp; Metrics</t>
  </si>
  <si>
    <t xml:space="preserve">Answer</t>
  </si>
  <si>
    <t xml:space="preserve">Interview Notes</t>
  </si>
  <si>
    <t xml:space="preserve">Rating</t>
  </si>
  <si>
    <t xml:space="preserve">G-SM-A-1-1</t>
  </si>
  <si>
    <t xml:space="preserve">G-SM-A-2-1</t>
  </si>
  <si>
    <t xml:space="preserve">G-SM-A-3-1</t>
  </si>
  <si>
    <t xml:space="preserve">G-SM-B-1-1</t>
  </si>
  <si>
    <t xml:space="preserve">G-SM-B-2-1</t>
  </si>
  <si>
    <t xml:space="preserve">G-SM-B-3-1</t>
  </si>
  <si>
    <t xml:space="preserve">Policy &amp; Compliance</t>
  </si>
  <si>
    <t xml:space="preserve">G-PC-A-1-1</t>
  </si>
  <si>
    <t xml:space="preserve">G-PC-A-2-1</t>
  </si>
  <si>
    <t xml:space="preserve">G-PC-A-3-1</t>
  </si>
  <si>
    <t xml:space="preserve">G-PC-B-1-1</t>
  </si>
  <si>
    <t xml:space="preserve">G-PC-B-2-1</t>
  </si>
  <si>
    <t xml:space="preserve">G-PC-B-3-1</t>
  </si>
  <si>
    <t xml:space="preserve">Education &amp; Guidance</t>
  </si>
  <si>
    <t xml:space="preserve">G-EG-A-1-1</t>
  </si>
  <si>
    <t xml:space="preserve">G-EG-A-2-1</t>
  </si>
  <si>
    <t xml:space="preserve">G-EG-A-3-1</t>
  </si>
  <si>
    <t xml:space="preserve">G-EG-B-1-1</t>
  </si>
  <si>
    <t xml:space="preserve">G-EG-B-2-1</t>
  </si>
  <si>
    <t xml:space="preserve">G-EG-B-3-1</t>
  </si>
  <si>
    <t xml:space="preserve">Design</t>
  </si>
  <si>
    <t xml:space="preserve">Threat Assessment</t>
  </si>
  <si>
    <t xml:space="preserve">D-TA-A-1-1</t>
  </si>
  <si>
    <t xml:space="preserve">D-TA-A-2-1</t>
  </si>
  <si>
    <t xml:space="preserve">D-TA-A-3-1</t>
  </si>
  <si>
    <t xml:space="preserve">D-TA-B-1-1</t>
  </si>
  <si>
    <t xml:space="preserve">D-TA-B-2-1</t>
  </si>
  <si>
    <t xml:space="preserve">D-TA-B-3-1</t>
  </si>
  <si>
    <t xml:space="preserve">Security Requirements</t>
  </si>
  <si>
    <t xml:space="preserve">D-SR-A-1-1</t>
  </si>
  <si>
    <t xml:space="preserve">D-SR-A-2-1</t>
  </si>
  <si>
    <t xml:space="preserve">D-SR-A-3-1</t>
  </si>
  <si>
    <t xml:space="preserve">D-SR-B-1-1</t>
  </si>
  <si>
    <t xml:space="preserve">D-SR-B-2-1</t>
  </si>
  <si>
    <t xml:space="preserve">D-SR-B-3-1</t>
  </si>
  <si>
    <t xml:space="preserve">Secure Architecture</t>
  </si>
  <si>
    <t xml:space="preserve">D-SA-A-1-1</t>
  </si>
  <si>
    <t xml:space="preserve">D-SA-A-2-1</t>
  </si>
  <si>
    <t xml:space="preserve">D-SA-A-3-1</t>
  </si>
  <si>
    <t xml:space="preserve">D-SA-B-1-1</t>
  </si>
  <si>
    <t xml:space="preserve">D-SA-B-2-1</t>
  </si>
  <si>
    <t xml:space="preserve">D-SA-B-3-1</t>
  </si>
  <si>
    <t xml:space="preserve">Implementation</t>
  </si>
  <si>
    <t xml:space="preserve">Secure Build</t>
  </si>
  <si>
    <t xml:space="preserve">I-SB-A-1-1</t>
  </si>
  <si>
    <t xml:space="preserve">I-SB-A-2-1</t>
  </si>
  <si>
    <t xml:space="preserve">I-SB-A-3-1</t>
  </si>
  <si>
    <t xml:space="preserve">I-SB-B-1-1</t>
  </si>
  <si>
    <t xml:space="preserve">I-SB-B-2-1</t>
  </si>
  <si>
    <t xml:space="preserve">I-SB-B-3-1</t>
  </si>
  <si>
    <t xml:space="preserve">Secure Deployment</t>
  </si>
  <si>
    <t xml:space="preserve">I-SD-A-1-1</t>
  </si>
  <si>
    <t xml:space="preserve">I-SD-A-2-1</t>
  </si>
  <si>
    <t xml:space="preserve">I-SD-A-3-1</t>
  </si>
  <si>
    <t xml:space="preserve">I-SD-B-1-1</t>
  </si>
  <si>
    <t xml:space="preserve">I-SD-B-2-1</t>
  </si>
  <si>
    <t xml:space="preserve">I-SD-B-3-1</t>
  </si>
  <si>
    <t xml:space="preserve">Defect Management</t>
  </si>
  <si>
    <t xml:space="preserve">I-DM-A-1-1</t>
  </si>
  <si>
    <t xml:space="preserve">I-DM-A-2-1</t>
  </si>
  <si>
    <t xml:space="preserve">I-DM-A-3-1</t>
  </si>
  <si>
    <t xml:space="preserve">I-DM-B-1-1</t>
  </si>
  <si>
    <t xml:space="preserve">I-DM-B-2-1</t>
  </si>
  <si>
    <t xml:space="preserve">I-DM-B-3-1</t>
  </si>
  <si>
    <t xml:space="preserve">Verification</t>
  </si>
  <si>
    <t xml:space="preserve">Architecture Assessment</t>
  </si>
  <si>
    <t xml:space="preserve">V-AA-A-1-1</t>
  </si>
  <si>
    <t xml:space="preserve">V-AA-A-2-1</t>
  </si>
  <si>
    <t xml:space="preserve">V-AA-A-3-1</t>
  </si>
  <si>
    <t xml:space="preserve">V-AA-B-1-1</t>
  </si>
  <si>
    <t xml:space="preserve">V-AA-B-2-1</t>
  </si>
  <si>
    <t xml:space="preserve">V-AA-B-3-1</t>
  </si>
  <si>
    <t xml:space="preserve">Requirements Testing</t>
  </si>
  <si>
    <t xml:space="preserve">V-RT-A-1-1</t>
  </si>
  <si>
    <t xml:space="preserve">V-RT-A-2-1</t>
  </si>
  <si>
    <t xml:space="preserve">V-RT-A-3-1</t>
  </si>
  <si>
    <t xml:space="preserve">V-RT-B-1-1</t>
  </si>
  <si>
    <t xml:space="preserve">V-RT-B-2-1</t>
  </si>
  <si>
    <t xml:space="preserve">V-RT-B-3-1</t>
  </si>
  <si>
    <t xml:space="preserve">Security Testing</t>
  </si>
  <si>
    <t xml:space="preserve">V-ST-A-1-1</t>
  </si>
  <si>
    <t xml:space="preserve">V-ST-A-2-1</t>
  </si>
  <si>
    <t xml:space="preserve">V-ST-A-3-1</t>
  </si>
  <si>
    <t xml:space="preserve">V-ST-B-1-1</t>
  </si>
  <si>
    <t xml:space="preserve">V-ST-B-2-1</t>
  </si>
  <si>
    <t xml:space="preserve">V-ST-B-3-1</t>
  </si>
  <si>
    <t xml:space="preserve">Operations</t>
  </si>
  <si>
    <t xml:space="preserve">Incident Management</t>
  </si>
  <si>
    <t xml:space="preserve">O-IM-A-1-1</t>
  </si>
  <si>
    <t xml:space="preserve">O-IM-A-2-1</t>
  </si>
  <si>
    <t xml:space="preserve">O-IM-A-3-1</t>
  </si>
  <si>
    <t xml:space="preserve">O-IM-B-1-1</t>
  </si>
  <si>
    <t xml:space="preserve">O-IM-B-2-1</t>
  </si>
  <si>
    <t xml:space="preserve">O-IM-B-3-1</t>
  </si>
  <si>
    <t xml:space="preserve">Environment Management</t>
  </si>
  <si>
    <t xml:space="preserve">O-EM-A-1-1</t>
  </si>
  <si>
    <t xml:space="preserve">O-EM-A-2-1</t>
  </si>
  <si>
    <t xml:space="preserve">O-EM-A-3-1</t>
  </si>
  <si>
    <t xml:space="preserve">O-EM-B-1-1</t>
  </si>
  <si>
    <t xml:space="preserve">O-EM-B-2-1</t>
  </si>
  <si>
    <t xml:space="preserve">O-EM-B-3-1</t>
  </si>
  <si>
    <t xml:space="preserve">Operational Management</t>
  </si>
  <si>
    <t xml:space="preserve">O-OM-A-1-1</t>
  </si>
  <si>
    <t xml:space="preserve">O-OM-A-2-1</t>
  </si>
  <si>
    <t xml:space="preserve">O-OM-A-3-1</t>
  </si>
  <si>
    <t xml:space="preserve">O-OM-B-1-1</t>
  </si>
  <si>
    <t xml:space="preserve">O-OM-B-2-1</t>
  </si>
  <si>
    <t xml:space="preserve">O-OM-B-3-1</t>
  </si>
  <si>
    <r>
      <rPr>
        <b val="true"/>
        <sz val="10"/>
        <rFont val="Trebuchet MS"/>
        <family val="2"/>
        <charset val="1"/>
      </rPr>
      <t xml:space="preserve">Notes:
</t>
    </r>
    <r>
      <rPr>
        <sz val="10"/>
        <rFont val="Trebuchet MS"/>
        <family val="2"/>
        <charset val="1"/>
      </rPr>
      <t xml:space="preserve">Data in this worksheet is automatically imported from the Interview and Roadmap worksheets and will automatically update when changed in the respective worksheets.  This is mostly a read-only worksheet, changes should be made in Interview or Roadmap worksheets.</t>
    </r>
  </si>
  <si>
    <t xml:space="preserve">Current Maturity Score</t>
  </si>
  <si>
    <t xml:space="preserve">Maturity</t>
  </si>
  <si>
    <t xml:space="preserve">Business Functions</t>
  </si>
  <si>
    <t xml:space="preserve">Security Practices</t>
  </si>
  <si>
    <t xml:space="preserve">Current</t>
  </si>
  <si>
    <t xml:space="preserve">Translated Value</t>
  </si>
  <si>
    <t xml:space="preserve">Phase 1 Maturity Score</t>
  </si>
  <si>
    <t xml:space="preserve">Phase 2 Maturity Score</t>
  </si>
  <si>
    <t xml:space="preserve">Phase 3 Maturity Score</t>
  </si>
  <si>
    <t xml:space="preserve">Phase 4 Maturity Score</t>
  </si>
  <si>
    <t xml:space="preserve">Phase I</t>
  </si>
  <si>
    <t xml:space="preserve">Phase II</t>
  </si>
  <si>
    <t xml:space="preserve">Phase III</t>
  </si>
  <si>
    <t xml:space="preserve">Phase IV</t>
  </si>
  <si>
    <t xml:space="preserve">Yes, it covers general risks</t>
  </si>
  <si>
    <t xml:space="preserve">Yes, we consult the plan before making significant decisions</t>
  </si>
  <si>
    <t xml:space="preserve">Yes, we review it at least annually</t>
  </si>
  <si>
    <t xml:space="preserve">Software Assurance Maturity Model (SAMM) Roadmap</t>
  </si>
  <si>
    <t xml:space="preserve">Date</t>
  </si>
  <si>
    <t xml:space="preserve">Team Lead:</t>
  </si>
  <si>
    <t xml:space="preserve">Source Data</t>
  </si>
  <si>
    <t xml:space="preserve">As-Is</t>
  </si>
  <si>
    <t xml:space="preserve">To-Be</t>
  </si>
  <si>
    <t xml:space="preserve">Security Practice</t>
  </si>
  <si>
    <t xml:space="preserve">Security Practices/Phase</t>
  </si>
  <si>
    <t xml:space="preserve">Start</t>
  </si>
  <si>
    <t xml:space="preserve">Phase 1</t>
  </si>
  <si>
    <t xml:space="preserve">After 1</t>
  </si>
  <si>
    <t xml:space="preserve">Phase 2</t>
  </si>
  <si>
    <t xml:space="preserve">After 2</t>
  </si>
  <si>
    <t xml:space="preserve">Phase 3</t>
  </si>
  <si>
    <t xml:space="preserve">May</t>
  </si>
  <si>
    <t xml:space="preserve">Phase 4</t>
  </si>
  <si>
    <t xml:space="preserve">After 4</t>
  </si>
  <si>
    <t xml:space="preserve">Current GAP</t>
  </si>
  <si>
    <t xml:space="preserve">Strategy &amp; metrics</t>
  </si>
  <si>
    <t xml:space="preserve">SAMM velocity:</t>
  </si>
  <si>
    <t xml:space="preserve">Valid Maturity Levels</t>
  </si>
  <si>
    <r>
      <rPr>
        <b val="true"/>
        <sz val="10"/>
        <rFont val="Trebuchet MS"/>
        <family val="2"/>
        <charset val="1"/>
      </rPr>
      <t xml:space="preserve">Notes:
</t>
    </r>
    <r>
      <rPr>
        <sz val="10"/>
        <rFont val="Trebuchet MS"/>
        <family val="2"/>
        <charset val="1"/>
      </rPr>
      <t xml:space="preserve">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</si>
  <si>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Rating Scale</t>
  </si>
  <si>
    <t xml:space="preserve">Yes</t>
  </si>
  <si>
    <t xml:space="preserve">A</t>
  </si>
  <si>
    <t xml:space="preserve">No</t>
  </si>
  <si>
    <t xml:space="preserve">2+</t>
  </si>
  <si>
    <t xml:space="preserve">Yes, it's less than a year old</t>
  </si>
  <si>
    <t xml:space="preserve">Yes, it's a number of years old</t>
  </si>
  <si>
    <t xml:space="preserve">1+</t>
  </si>
  <si>
    <t xml:space="preserve">Yes, it's a pretty mature program</t>
  </si>
  <si>
    <t xml:space="preserve">0+</t>
  </si>
  <si>
    <t xml:space="preserve">B</t>
  </si>
  <si>
    <t xml:space="preserve">2,3,6,9</t>
  </si>
  <si>
    <t xml:space="preserve">Yes, some of them are aware</t>
  </si>
  <si>
    <t xml:space="preserve">4,15</t>
  </si>
  <si>
    <t xml:space="preserve">Yes, approx. half of them are aware</t>
  </si>
  <si>
    <t xml:space="preserve">1,3,5,12</t>
  </si>
  <si>
    <t xml:space="preserve">Yes, most of them are aware</t>
  </si>
  <si>
    <t xml:space="preserve">C</t>
  </si>
  <si>
    <t xml:space="preserve">4,5,7,12,13,14,16,17,18</t>
  </si>
  <si>
    <t xml:space="preserve">1,2,3,6,7,8,10,11,12,15,19</t>
  </si>
  <si>
    <t xml:space="preserve">Yes, a small percentage are/do</t>
  </si>
  <si>
    <t xml:space="preserve">1,2,3,5,8,10,13,14,17,18</t>
  </si>
  <si>
    <t xml:space="preserve">Yes, at least half of them are/do</t>
  </si>
  <si>
    <t xml:space="preserve">6,7,9,11,14,15,16,17</t>
  </si>
  <si>
    <t xml:space="preserve">Yes, the majority of them are/do</t>
  </si>
  <si>
    <t xml:space="preserve">D</t>
  </si>
  <si>
    <t xml:space="preserve">8,15,20</t>
  </si>
  <si>
    <t xml:space="preserve">Yes, we did it once</t>
  </si>
  <si>
    <t xml:space="preserve">Yes, we do it every few years</t>
  </si>
  <si>
    <t xml:space="preserve">Yes, we do it at least annually</t>
  </si>
  <si>
    <t xml:space="preserve">E</t>
  </si>
  <si>
    <t xml:space="preserve">No, it is not applicable</t>
  </si>
  <si>
    <t xml:space="preserve">Yes, but on an adhoc basis</t>
  </si>
  <si>
    <t xml:space="preserve">F</t>
  </si>
  <si>
    <t xml:space="preserve">11,19</t>
  </si>
  <si>
    <t xml:space="preserve">9,14,17</t>
  </si>
  <si>
    <t xml:space="preserve">Yes, teams write/run their own</t>
  </si>
  <si>
    <t xml:space="preserve">Yes, there is a standard set</t>
  </si>
  <si>
    <t xml:space="preserve">Yes, the standard set is integrated</t>
  </si>
  <si>
    <t xml:space="preserve">G</t>
  </si>
  <si>
    <t xml:space="preserve">16,18</t>
  </si>
  <si>
    <t xml:space="preserve">Yes, localized to business areas</t>
  </si>
  <si>
    <t xml:space="preserve">6,7,9,11,12,16,19</t>
  </si>
  <si>
    <t xml:space="preserve">Yes, across the organization</t>
  </si>
  <si>
    <t xml:space="preserve">4,8,10,13</t>
  </si>
  <si>
    <t xml:space="preserve">Yes, across the organization and required</t>
  </si>
  <si>
    <t xml:space="preserve">H</t>
  </si>
  <si>
    <t xml:space="preserve">ID</t>
  </si>
  <si>
    <t xml:space="preserve">Business Function</t>
  </si>
  <si>
    <t xml:space="preserve">Activity</t>
  </si>
  <si>
    <t xml:space="preserve">Question</t>
  </si>
  <si>
    <t xml:space="preserve">Guidance</t>
  </si>
  <si>
    <t xml:space="preserve">Answer Option</t>
  </si>
  <si>
    <t xml:space="preserve">Configuration Hardening</t>
  </si>
  <si>
    <t xml:space="preserve">Do you monitor and enforce conformity with hardening baselines?</t>
  </si>
  <si>
    <t xml:space="preserve">You perform conformity checks regularly, preferably using automation
You store conformity check results in an accessible location
You follow an established process to address reported non-conformities
You review each baseline at least annually, and update it when required</t>
  </si>
  <si>
    <t xml:space="preserve">System Decomissioning / Legacy Management</t>
  </si>
  <si>
    <t xml:space="preserve">Do you regularly evaluate the lifecycle state and support status of every software asset and underlying infrastructure component, and estimate their end of life?</t>
  </si>
  <si>
    <t xml:space="preserve">Your end of life management process is agreed upon
You inform customers and user groups of product timelines to prevent disruption of service or support
You review the process at least annually</t>
  </si>
  <si>
    <t xml:space="preserve">Scalable Baseline</t>
  </si>
  <si>
    <t xml:space="preserve">Do you integrate automated security testing into the build and deploy process?</t>
  </si>
  <si>
    <t xml:space="preserve">Management and business stakeholders track and review test results throughout the development cycle
You merge test results into a central dashboard and feed them into defect management</t>
  </si>
  <si>
    <t xml:space="preserve">Supplier Security</t>
  </si>
  <si>
    <t xml:space="preserve">Are vendors aligned with standard security controls and software development tools and processes that the organization utilizes?</t>
  </si>
  <si>
    <t xml:space="preserve">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</si>
  <si>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 xml:space="preserve">Requirements-driven Testing</t>
  </si>
  <si>
    <t xml:space="preserve">Control Verification</t>
  </si>
  <si>
    <t xml:space="preserve">Do you automatically test applications for security regressions?</t>
  </si>
  <si>
    <t xml:space="preserve">You consistently write tests for all identified bugs (possibly exceeding a pre-defined severity threshhold)
You collect security tests in a test suite that is part of the existing unit testing framework</t>
  </si>
  <si>
    <t xml:space="preserve">Deployment Process</t>
  </si>
  <si>
    <t xml:space="preserve">Are deployment processes automated and employing security checks?</t>
  </si>
  <si>
    <t xml:space="preserve">Deployment processes are automated on all stages
Deployment includes automated security testing procedures
You alert responsible staff to identified vulnerabilities
You have logs available for your past deployments for a defined period of time</t>
  </si>
  <si>
    <t xml:space="preserve">Misuse/Abuse Testing</t>
  </si>
  <si>
    <t xml:space="preserve">Do you test applications using randomization or fuzzing techniques?</t>
  </si>
  <si>
    <t xml:space="preserve">Testing covers most or all of the application's main input parameters
You record and inspect all application crashes for security impact on a best-effort basis</t>
  </si>
  <si>
    <t xml:space="preserve">Software Requirements</t>
  </si>
  <si>
    <t xml:space="preserve">Do project teams specify security requirements during development?</t>
  </si>
  <si>
    <t xml:space="preserve">Teams derive security requirements from functional requirements and customer or organization concerns
Security requirements are specific, measurable, and reasonable
Security requirements are in line with the organizational baseline</t>
  </si>
  <si>
    <t xml:space="preserve">Deep Understanding</t>
  </si>
  <si>
    <t xml:space="preserve">Do you manually review the security quality of selected high-risk components?</t>
  </si>
  <si>
    <t xml:space="preserve">Criteria exist to help the reviewer focus on high-risk components
Qualified personnel conduct reviews following documented guidelines
You address findings in accordance with the organization's defect management policy</t>
  </si>
  <si>
    <t xml:space="preserve">Data Protection</t>
  </si>
  <si>
    <t xml:space="preserve">Do you protect and handle information according to protection requirements for data stored and processed on each application?</t>
  </si>
  <si>
    <t xml:space="preserve">You know the data elements processed and stored by each application
You know the type and sensitivity level of each identified data element
You have controls to prevent propagation of unsanitized sensitive data from production to lower environments</t>
  </si>
  <si>
    <t xml:space="preserve">Architecture Mitigation</t>
  </si>
  <si>
    <t xml:space="preserve">Do you regularly evaluate the threats to your architecture?</t>
  </si>
  <si>
    <t xml:space="preserve">You systematically review each threat identified in the Threat Assessment
Trained or experienced people lead review exercise
You identify mitigating design-level features for each identified threat
You log unhandled threats as defects</t>
  </si>
  <si>
    <t xml:space="preserve">Patching and Updating</t>
  </si>
  <si>
    <t xml:space="preserve">Do you identify and patch vulnerable components?</t>
  </si>
  <si>
    <t xml:space="preserve">You have an up-to-date list of components, including version information
You regularly review public sources for vulnerabilities related to your components</t>
  </si>
  <si>
    <t xml:space="preserve">Do you regularly evaluate components and review patch level status?</t>
  </si>
  <si>
    <t xml:space="preserve">You update the list with components and versions
You identify and update missing updates according to existing SLA
You review and update the process based on feedback from the people who perform patching</t>
  </si>
  <si>
    <t xml:space="preserve">Do you regularly review and update the data catalog and your data protection policies and procedures?</t>
  </si>
  <si>
    <t xml:space="preserve">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</si>
  <si>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 xml:space="preserve">Do you perform denial of service and security stress testing?</t>
  </si>
  <si>
    <t xml:space="preserve">Stress tests target specific application resources (e.g. memory exhaustion by saving large amounts of data to a user session)
You design tests around relevant personas with well-defined capabilities (knowledge, resources)
You feed the results back to the Design practices</t>
  </si>
  <si>
    <t xml:space="preserve">Do you use a standard requirements framework to streamline the elicitation of security requirements?</t>
  </si>
  <si>
    <t xml:space="preserve">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</si>
  <si>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 xml:space="preserve">Do you use the results of security testing to improve the development lifecycle?</t>
  </si>
  <si>
    <t xml:space="preserve">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</si>
  <si>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 xml:space="preserve">Secret Management</t>
  </si>
  <si>
    <t xml:space="preserve">Do you inject production secrets into configuration files during deployment?</t>
  </si>
  <si>
    <t xml:space="preserve">Source code files no longer contain active application secrets
Under normal circumstances, no humans access secrets during deployment procedures
You log and alert to any abnormal access to secrets</t>
  </si>
  <si>
    <t xml:space="preserve">Do you scan applications with automated security testing tools?</t>
  </si>
  <si>
    <t xml:space="preserve">You dynamically generate inputs for security tests using automated tools
You choose the security testing tools to fit the organization's architecture and technology stack, and balance depth and accuracy of inspection with usability of findings to the organization</t>
  </si>
  <si>
    <t xml:space="preserve">Do stakeholders review vendor collaborations for security requirements and methodology?</t>
  </si>
  <si>
    <t xml:space="preserve">You consider including specific security requirements, activities, and processes when creating third-party agreements
A vendor questionnaire is available and used to assess the strengths and weaknesses of your suppliers</t>
  </si>
  <si>
    <t xml:space="preserve">Do you test applications for the correct functioning of standard security controls?</t>
  </si>
  <si>
    <t xml:space="preserve">Security testing at least verifies the implementation of authentication, access control, input validation, encoding and escaping data, and encryption controls
Security testing executes whenever the application changes its use of the controls</t>
  </si>
  <si>
    <t xml:space="preserve">Do you identify and remove systems, applications, application dependencies, or services that are no longer used, have reached end of life, or are no longer actively developed or supported?</t>
  </si>
  <si>
    <t xml:space="preserve">You do not use unsupported applications or dependencies
You manage customer/user migration from older versions for each product and customer/user group</t>
  </si>
  <si>
    <t xml:space="preserve">Architecture Validation</t>
  </si>
  <si>
    <t xml:space="preserve">Do you regularly review the security mechanisms of your architecture?</t>
  </si>
  <si>
    <t xml:space="preserve">You review compliance with internal and external requirements
You systematically review each interface in the system
You use a formalized review method and structured validation
You log missing security mechanisms as defects</t>
  </si>
  <si>
    <t xml:space="preserve">Do you harden configurations for key components of your technology stacks?</t>
  </si>
  <si>
    <t xml:space="preserve">You have identified the key components in each technology stack used
You have an established configuration standard for each key component</t>
  </si>
  <si>
    <t xml:space="preserve">Incident Detection</t>
  </si>
  <si>
    <t xml:space="preserve">Do you follow a documented process for incident detection?</t>
  </si>
  <si>
    <t xml:space="preserve">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</si>
  <si>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 xml:space="preserve">Organization and Culture</t>
  </si>
  <si>
    <t xml:space="preserve">Does the organization have a Secure Software Center of Excellence (SSCE)?</t>
  </si>
  <si>
    <t xml:space="preserve">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</si>
  <si>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 xml:space="preserve">Incident Response</t>
  </si>
  <si>
    <t xml:space="preserve">Do you use a repeatable process for incident handling?</t>
  </si>
  <si>
    <t xml:space="preserve">You have an agreed upon incident classification
The process considers Root Case Analysis for high severity incidents
Employees responsible for incident response are trained in this process
Forensic analysis tooling is available</t>
  </si>
  <si>
    <t xml:space="preserve">Training and Awareness</t>
  </si>
  <si>
    <t xml:space="preserve">Is training customized for individual roles such as developers, testers, or security champions?</t>
  </si>
  <si>
    <t xml:space="preserve">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</si>
  <si>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 xml:space="preserve">Do you practice proper lifecycle management for application secrets?</t>
  </si>
  <si>
    <t xml:space="preserve">You generate and synchronize secrets using a vetted solution
Secrets are different between different application instances
Secrets are regularly updated</t>
  </si>
  <si>
    <t xml:space="preserve">Do you review the application architecture for mitigations of typical threats on an ad-hoc basis?</t>
  </si>
  <si>
    <t xml:space="preserve">You have an agreed upon model of the overall software architecture
Security savvy staff conduct the review
You consider different types of threats, including insider and data-related one</t>
  </si>
  <si>
    <t xml:space="preserve">Do you maintain a data catalog, including types, sensitivity levels, and processing and storage locations?</t>
  </si>
  <si>
    <t xml:space="preserve">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</si>
  <si>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 xml:space="preserve">Do you define, structure, and include prioritization in the artifacts of the security requirements gathering process?</t>
  </si>
  <si>
    <t xml:space="preserve">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</si>
  <si>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 xml:space="preserve">Do you create abuse cases from functional requirements and use them to drive security tests?</t>
  </si>
  <si>
    <t xml:space="preserve">Important business functionality has corresponding abuse cases
You build abuse stories around relevant personas with well-defined motivations and characteristics
You capture identified weaknesses as security requirements</t>
  </si>
  <si>
    <t xml:space="preserve">Do you perform penetration testing for your applications at regular intervals?</t>
  </si>
  <si>
    <t xml:space="preserve">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</si>
  <si>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 xml:space="preserve">Do you follow an established process for updating components of your technology stacks?</t>
  </si>
  <si>
    <t xml:space="preserve">The process includes vendor information for third-party patches
The process considers external sources to gather information about zero day attacks, and includes appropriate risk mitigation steps
The process includes guidance for prioritizing component updates</t>
  </si>
  <si>
    <t xml:space="preserve">Do you regularly review the effectiveness of the security controls?</t>
  </si>
  <si>
    <t xml:space="preserve">You evaluate the preventive, detective, and response capabilities of security controls
You evaluate the strategy alignment, appropriate support, and scalability of security controls
You evaluate the effectiveness at least yearly
You log identified shortcomings as defects</t>
  </si>
  <si>
    <t xml:space="preserve">Do you use repeatable deployment processes?</t>
  </si>
  <si>
    <t xml:space="preserve">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</si>
  <si>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 xml:space="preserve">Do you consistently validate the integrity of deployed artifacts?</t>
  </si>
  <si>
    <t xml:space="preserve">You prevent or roll back deployment if you detect an integrity breach
The verification is done against signatures created during the build time
If checking of signatures is not possible (e.g. externally build software), you introduce compensating measures</t>
  </si>
  <si>
    <t xml:space="preserve">Do you review the application architecture for key security objectives on an ad-hoc basis?</t>
  </si>
  <si>
    <t xml:space="preserve">You have an agreed upon model of the overall software architecture
You include components, interfaces, and integrations in the architecture model
You verify the correct provision of general security mechanisms
You log missing security controls as defects</t>
  </si>
  <si>
    <t xml:space="preserve">Do you follow an established process for removing all associated resources, as part of decommissioning of unused systems, applications, application dependencies, or services?</t>
  </si>
  <si>
    <t xml:space="preserve">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</si>
  <si>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 xml:space="preserve">Do you customize the automated security tools to your applications and technology stacks?</t>
  </si>
  <si>
    <t xml:space="preserve">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</si>
  <si>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 xml:space="preserve">Do you consistently write and execute test scripts to verify the functionality of security requirements?</t>
  </si>
  <si>
    <t xml:space="preserve">You tailor tests to each application and assert expected security functionality
You capture test results as a pass or fail condition
Tests use a standardized framework or DSL</t>
  </si>
  <si>
    <t xml:space="preserve">Do vendors meet the security responsibilities and quality measures of service level agreements defined by the organization?</t>
  </si>
  <si>
    <t xml:space="preserve">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</si>
  <si>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 xml:space="preserve">Do you have hardening baselines for your components?</t>
  </si>
  <si>
    <t xml:space="preserve">You have assigned an owner for each baseline
The owner keeps their assigned baselines up to date
You store baselines in an accessible location
You train employees responsible for configurations in these baselines</t>
  </si>
  <si>
    <t xml:space="preserve">Do you regularly update your reference architectures based on architecture assessment findings?</t>
  </si>
  <si>
    <t xml:space="preserve">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</si>
  <si>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 xml:space="preserve">Do you limit access to application secrets according to the least privilege principle?</t>
  </si>
  <si>
    <t xml:space="preserve">You store production secrets protected in a secured location
Developers do not have access to production secrets
Production secrets are not available in non-production environments</t>
  </si>
  <si>
    <t xml:space="preserve">Have you implemented a Learning Management System or equivalent to track employee training and certification processes?</t>
  </si>
  <si>
    <t xml:space="preserve">A Learning Management System (LMS) is used to track trainings and certifications
Training is based on internal standards, policies, and procedures
You use certification programs or attendance records to determine access to development systems and resources</t>
  </si>
  <si>
    <t xml:space="preserve">Do you have a dedicated incident response team available?</t>
  </si>
  <si>
    <t xml:space="preserve">The team performs Root Cause Analysis for all security incidents unless there is a specific reason not to do so
You review and update the response process at least annually</t>
  </si>
  <si>
    <t xml:space="preserve">Do you analyze log data for security incidents periodically?</t>
  </si>
  <si>
    <t xml:space="preserve">You have a contact point for the creation of security incidents
You analyze data in accordance with the log data retention periods
The frequency of this analysis is aligned with the criticality of your applications</t>
  </si>
  <si>
    <t xml:space="preserve">Have you identified a Security Champion for each development team?</t>
  </si>
  <si>
    <t xml:space="preserve">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</si>
  <si>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 xml:space="preserve">Is there a centralized portal where developers and application security professionals from different teams and business units are able to communicate and share information?</t>
  </si>
  <si>
    <t xml:space="preserve">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</si>
  <si>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 xml:space="preserve">Do you review and update the incident detection process regularly?</t>
  </si>
  <si>
    <t xml:space="preserve">You perform reviews at least annually
You update the checklist of potential attacks with external and internal data</t>
  </si>
  <si>
    <t xml:space="preserve">Do you respond to detected incidents?</t>
  </si>
  <si>
    <t xml:space="preserve">You have a defined person or role for incident handling
You document security incidents</t>
  </si>
  <si>
    <t xml:space="preserve">Do you require employees involved with application development to take SDLC training?</t>
  </si>
  <si>
    <t xml:space="preserve">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</si>
  <si>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 xml:space="preserve">Policy &amp; Standards</t>
  </si>
  <si>
    <t xml:space="preserve">Do you regularly report on policy and standard compliance, and use that information to guide compliance improvement efforts?</t>
  </si>
  <si>
    <t xml:space="preserve">You have procedures (automated, if possible) to regularly generate compliance reports
You deliver compliance reports to all relevant stakeholders
Stakeholders use the reported compliance status information to identify areas for improvement</t>
  </si>
  <si>
    <t xml:space="preserve">Application Risk Profile</t>
  </si>
  <si>
    <t xml:space="preserve">Do you use centralized and quantified application risk profiles to evaluate business risk?</t>
  </si>
  <si>
    <t xml:space="preserve">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</si>
  <si>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 xml:space="preserve">Compliance Management</t>
  </si>
  <si>
    <t xml:space="preserve">Do you have a complete picture of your external compliance obligations?</t>
  </si>
  <si>
    <t xml:space="preserve">You have identified all sources of external compliance obligations
You have captured and reconciled compliance obligations from all sources</t>
  </si>
  <si>
    <t xml:space="preserve">Defect Tracking</t>
  </si>
  <si>
    <t xml:space="preserve">Do you keep an overview of the state of security defects across the organization?</t>
  </si>
  <si>
    <t xml:space="preserve">A single severity scheme is applied to all defects across the organization
The scheme includes SLAs for fixing particular severity classes
You regularly report compliance to SLAs</t>
  </si>
  <si>
    <t xml:space="preserve">Do you regularly report on adherence to external compliance obligations and use that information to guide efforts to close compliance gaps?</t>
  </si>
  <si>
    <t xml:space="preserve">You have established, well-defined compliance metrics
You measure and report on applications' compliance metrics regularly
Stakeholders use the reported compliance status information to identify compliance gaps and prioritize gap remediation efforts</t>
  </si>
  <si>
    <t xml:space="preserve">Threat Modeling</t>
  </si>
  <si>
    <t xml:space="preserve">Do you use a standard methodology, aligned on your application risk levels?</t>
  </si>
  <si>
    <t xml:space="preserve">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</si>
  <si>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 xml:space="preserve">Do you have and apply a common set of policies and standards throughout your organization?</t>
  </si>
  <si>
    <t xml:space="preserve">You have adapted existing standards appropriate for the organization’s industry to account for domain-specific considerations
Your standards are aligned with your policies and incorporate technology-specific implementation guidance</t>
  </si>
  <si>
    <t xml:space="preserve">Metrics and Feedback</t>
  </si>
  <si>
    <t xml:space="preserve">Do you improve your security assurance program upon standardized metrics?</t>
  </si>
  <si>
    <t xml:space="preserve">You document metrics for defect classification and categorization and keep them up to date
Executive management regularly receives information about defects and has acted upon it in the last year
You regularly share technical details about security defects among teams</t>
  </si>
  <si>
    <t xml:space="preserve">Create and Promote</t>
  </si>
  <si>
    <t xml:space="preserve">Do you understand the enterprise-wide risk appetite for your applications ?</t>
  </si>
  <si>
    <t xml:space="preserve">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</si>
  <si>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 xml:space="preserve">Security Architecture</t>
  </si>
  <si>
    <t xml:space="preserve">Architecture Design</t>
  </si>
  <si>
    <t xml:space="preserve">Do teams use security principles during design?</t>
  </si>
  <si>
    <t xml:space="preserve">You have an agreed upon checklist of security principles
You store your checklist in an accessible location
Relevant stakeholders understand security principles</t>
  </si>
  <si>
    <t xml:space="preserve">Build Process</t>
  </si>
  <si>
    <t xml:space="preserve">Is the build process fully automated?</t>
  </si>
  <si>
    <t xml:space="preserve">The build process itself doesn't require any human interaction
Your build tools are hardened as per best practice and vendor guidance
You encrypt the secrets required by the build tools and control access based on the principle of least privilege</t>
  </si>
  <si>
    <t xml:space="preserve">Technology Management</t>
  </si>
  <si>
    <t xml:space="preserve">Do you enforce the use of recommended technologies within the organization?</t>
  </si>
  <si>
    <t xml:space="preserve">You monitor applications regularly for the correct use of the recommended technologies
You solve violations against the list accoranding to organizational policies
You take action if the number of violations falls outside the yearly objectives</t>
  </si>
  <si>
    <t xml:space="preserve">Measure and Improve</t>
  </si>
  <si>
    <t xml:space="preserve">Do you update the Application Security strategy and roadmap based on application security metrics and KPIs?</t>
  </si>
  <si>
    <t xml:space="preserve">You review KPIs at least yearly for their efficiency and effectiveness
KPIs and application security metrics trigger most of the changes to the application security strategy</t>
  </si>
  <si>
    <t xml:space="preserve">Do you use a set of metrics to measure the effectiveness and efficiency of the application security program across applications?</t>
  </si>
  <si>
    <t xml:space="preserve">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</si>
  <si>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 xml:space="preserve">Do you evaluate the security quality of important technologies used for development?</t>
  </si>
  <si>
    <t xml:space="preserve">You have a list of the most important technologies used in or in support of each application
You identify and track technological risks
You ensure the risks to these technologies are in line with the organizational baseline</t>
  </si>
  <si>
    <t xml:space="preserve">Software Dependencies</t>
  </si>
  <si>
    <t xml:space="preserve">Do you handle 3rd party dependency risk by a formal process?</t>
  </si>
  <si>
    <t xml:space="preserve">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</si>
  <si>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 xml:space="preserve">Do you base your design on available reference architectures?</t>
  </si>
  <si>
    <t xml:space="preserve">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</si>
  <si>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 xml:space="preserve">Do you regularly review and update the Strategic Plan for Application Security?</t>
  </si>
  <si>
    <t xml:space="preserve">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</si>
  <si>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 xml:space="preserve">Do you have a standard set of security requirements and verification procedures addressing the organization's external compliance obligations?</t>
  </si>
  <si>
    <t xml:space="preserve">You map each external compliance obligation to a well-defined set of application requirements
You define verification procedures, including automated tests, to verify compliance with compliance-related requirements</t>
  </si>
  <si>
    <t xml:space="preserve">Do you classify applications according to business risk based on a simple and predefined set of questions?</t>
  </si>
  <si>
    <t xml:space="preserve">An agreed-upon risk classification exists
The application team understands the risk classification
The risk classification covers critical aspects of business risks the organization is facing
The organization has an inventory for the applications in scope</t>
  </si>
  <si>
    <t xml:space="preserve">Do you track all known security defects in accessible locations?</t>
  </si>
  <si>
    <t xml:space="preserve">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</si>
  <si>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 xml:space="preserve">Do you regularly evaluate the effectiveness of your security metrics so that its input helps drive your security strategy?</t>
  </si>
  <si>
    <t xml:space="preserve">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</si>
  <si>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 xml:space="preserve">Do you regularly review and update the threat modeling methodology for your applications?</t>
  </si>
  <si>
    <t xml:space="preserve">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</si>
  <si>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 xml:space="preserve">Do you publish the organization's policies as test scripts or run-books for easy interpretation by development teams?</t>
  </si>
  <si>
    <t xml:space="preserve">You create verification checklists and test scripts where applicable, aligned with the policy's requirements and the implementation guidance in the associated standards
You create versions adapted to each development methodology and technology the organization uses</t>
  </si>
  <si>
    <t xml:space="preserve">Do you identify and manage architectural design flaws with threat modeling?</t>
  </si>
  <si>
    <t xml:space="preserve">You perform threat modeling for high-risk applications
You use simple threat checklists, such as STRIDE
You persist the outcome of a threat model for later use</t>
  </si>
  <si>
    <t xml:space="preserve">Do you use basic metrics about recorded security defects to carry out quick win improvement activities?</t>
  </si>
  <si>
    <t xml:space="preserve">You analyzed your recorded metrics at least once in the last year
At least basic information about this initiative is recorded and available
You have identified and carried out at least one quick win activity based on the data</t>
  </si>
  <si>
    <t xml:space="preserve">Do you enforce SLAs for fixing security defects?</t>
  </si>
  <si>
    <t xml:space="preserve">You automatically alert of SLA breaches and transfer respective defects to the risk management process
You integrate relevant tooling (e.g. monitoring, build, deployment) with the defect management system</t>
  </si>
  <si>
    <t xml:space="preserve">Do you regularly review and update the risk profiles for your applications?</t>
  </si>
  <si>
    <t xml:space="preserve">The organizational risk standard considers historical feedback to improve the evaluation method
Significant changes in the application or business context trigger a review of the relevant risk profiles</t>
  </si>
  <si>
    <t xml:space="preserve">Is your full build process formally described?</t>
  </si>
  <si>
    <t xml:space="preserve">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</si>
  <si>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 xml:space="preserve">Do you use shared security services during design?</t>
  </si>
  <si>
    <t xml:space="preserve">You have a documented list of reusable security services, available to relevant stakeholders
You have reviewed the baseline security posture for each selected service
Your designers are trained to integrate each selected service following available guidance</t>
  </si>
  <si>
    <t xml:space="preserve">Do you have a strategic plan for application security and use it to make decisions?</t>
  </si>
  <si>
    <t xml:space="preserve">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</si>
  <si>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 xml:space="preserve">Do you prevent build of software if it's affected by vulnerabilities in dependencies?</t>
  </si>
  <si>
    <t xml:space="preserve">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</si>
  <si>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 xml:space="preserve">Do you have solid knowledge about dependencies you're relying on?</t>
  </si>
  <si>
    <t xml:space="preserve">You have a current bill of materials (BOM) for every application
You can quickly find out which applications are affected by a particular CVE
You have analyzed, addressed, and documented findings from dependencies at least once in the last three months</t>
  </si>
  <si>
    <t xml:space="preserve">Do you have a list of recommended technologies for the organization?</t>
  </si>
  <si>
    <t xml:space="preserve">The list is based on technologies used in the software portfolio
Lead architects and developers review and approve the list
You share the list across the organization
You review and update the list at least yearly</t>
  </si>
  <si>
    <t xml:space="preserve">Did you define Key Perfomance Indicators (KPI) from available application security metrics?</t>
  </si>
  <si>
    <t xml:space="preserve">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</si>
  <si>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 xml:space="preserve">Do you enforce automated security checks in your build processes?</t>
  </si>
  <si>
    <t xml:space="preserve">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</si>
  <si>
    <t xml:space="preserve">ANS_SET_CODE</t>
  </si>
  <si>
    <t xml:space="preserve">A_W</t>
  </si>
  <si>
    <t xml:space="preserve">B_W</t>
  </si>
  <si>
    <t xml:space="preserve">C_W</t>
  </si>
  <si>
    <t xml:space="preserve">D_W</t>
  </si>
  <si>
    <t xml:space="preserve">Yes, some content</t>
  </si>
  <si>
    <t xml:space="preserve">Yes, at least half of the content</t>
  </si>
  <si>
    <t xml:space="preserve">Yes, most or all of the content</t>
  </si>
  <si>
    <t xml:space="preserve">Yes, for some of the metrics</t>
  </si>
  <si>
    <t xml:space="preserve">Yes, for at least half of the metrics</t>
  </si>
  <si>
    <t xml:space="preserve">Yes, for most or all of the metrics</t>
  </si>
  <si>
    <t xml:space="preserve">Yes, some of them</t>
  </si>
  <si>
    <t xml:space="preserve">Yes, at least half of them</t>
  </si>
  <si>
    <t xml:space="preserve">Yes, most or all of them</t>
  </si>
  <si>
    <t xml:space="preserve">Yes, for some obligations</t>
  </si>
  <si>
    <t xml:space="preserve">Yes, for at least half of the obligations</t>
  </si>
  <si>
    <t xml:space="preserve">Yes, for most or all of the obligations</t>
  </si>
  <si>
    <t xml:space="preserve">Yes, but reporting is ad-hoc</t>
  </si>
  <si>
    <t xml:space="preserve">Yes, we report at regular times</t>
  </si>
  <si>
    <t xml:space="preserve">Yes, we report at least annually</t>
  </si>
  <si>
    <t xml:space="preserve">Yes, for some applications</t>
  </si>
  <si>
    <t xml:space="preserve">Yes, for at least half of the applications</t>
  </si>
  <si>
    <t xml:space="preserve">Yes, for most or all of the applications</t>
  </si>
  <si>
    <t xml:space="preserve">Yes, sporadically</t>
  </si>
  <si>
    <t xml:space="preserve">Yes, upon change of the application</t>
  </si>
  <si>
    <t xml:space="preserve">Yes, at least annually</t>
  </si>
  <si>
    <t xml:space="preserve">Yes, some of the time</t>
  </si>
  <si>
    <t xml:space="preserve">Yes, at least half of the time</t>
  </si>
  <si>
    <t xml:space="preserve">Yes, most or all of the time</t>
  </si>
  <si>
    <t xml:space="preserve">Yes, for some of the training</t>
  </si>
  <si>
    <t xml:space="preserve">Yes, for at least half of the training</t>
  </si>
  <si>
    <t xml:space="preserve">Yes, for most or all of the training</t>
  </si>
  <si>
    <t xml:space="preserve">Yes, for some of the policies and standards</t>
  </si>
  <si>
    <t xml:space="preserve">Yes, for at least half of the policies and standards</t>
  </si>
  <si>
    <t xml:space="preserve">Yes, for most or all of the policies and standards</t>
  </si>
  <si>
    <t xml:space="preserve">Yes, for one metrics category</t>
  </si>
  <si>
    <t xml:space="preserve">Yes, for two metrics categories</t>
  </si>
  <si>
    <t xml:space="preserve">Yes, for all three metrics categories</t>
  </si>
  <si>
    <t xml:space="preserve">Yes, we started implementing it</t>
  </si>
  <si>
    <t xml:space="preserve">Yes, for part of the organization</t>
  </si>
  <si>
    <t xml:space="preserve">Yes, for the entire organization</t>
  </si>
  <si>
    <t xml:space="preserve">Yes, for some components</t>
  </si>
  <si>
    <t xml:space="preserve">Yes, for at least half of the components</t>
  </si>
  <si>
    <t xml:space="preserve">Yes, for most or all of the components</t>
  </si>
  <si>
    <t xml:space="preserve">Yes, but review is ad-hoc</t>
  </si>
  <si>
    <t xml:space="preserve">Yes, we review it at regular times</t>
  </si>
  <si>
    <t xml:space="preserve">Yes, for some of our data</t>
  </si>
  <si>
    <t xml:space="preserve">Yes, for at least half of our data</t>
  </si>
  <si>
    <t xml:space="preserve">Yes, for most or all of our data</t>
  </si>
  <si>
    <t xml:space="preserve">Yes, we do it when requested</t>
  </si>
  <si>
    <t xml:space="preserve">Yes, for some incident types</t>
  </si>
  <si>
    <t xml:space="preserve">Yes, for at least half of the incident types</t>
  </si>
  <si>
    <t xml:space="preserve">Yes, for most or all of the incident types</t>
  </si>
  <si>
    <t xml:space="preserve">Yes, for some incidents</t>
  </si>
  <si>
    <t xml:space="preserve">Yes, for at least half of the incidents</t>
  </si>
  <si>
    <t xml:space="preserve">Yes, for most or all of the incidents</t>
  </si>
  <si>
    <t xml:space="preserve">Yes, for some of the assets</t>
  </si>
  <si>
    <t xml:space="preserve">Yes, for at least half of the assets</t>
  </si>
  <si>
    <t xml:space="preserve">Yes, for most or all of the assets</t>
  </si>
  <si>
    <t xml:space="preserve">Yes, but we improve it ad-hoc</t>
  </si>
  <si>
    <t xml:space="preserve">Yes, we we improve it at regular times</t>
  </si>
  <si>
    <t xml:space="preserve">Yes, we improve it at least annually</t>
  </si>
  <si>
    <t xml:space="preserve">Yes, for some of the technology domains</t>
  </si>
  <si>
    <t xml:space="preserve">Yes, for at least half of the technology domains</t>
  </si>
  <si>
    <t xml:space="preserve">Yes, for most or all of the technology domains</t>
  </si>
  <si>
    <t xml:space="preserve">Yes, we review it annually</t>
  </si>
  <si>
    <t xml:space="preserve">Yes, we consult the plan often, and it is aligned with our application security strategy</t>
  </si>
  <si>
    <t xml:space="preserve">Yes, for some teams</t>
  </si>
  <si>
    <t xml:space="preserve">Yes, for at least half of the teams</t>
  </si>
  <si>
    <t xml:space="preserve">Yes, for most or all of the teams</t>
  </si>
  <si>
    <t xml:space="preserve">Yes, some of it</t>
  </si>
  <si>
    <t xml:space="preserve">Yes, at least half of it</t>
  </si>
  <si>
    <t xml:space="preserve">Yes, most or all of it</t>
  </si>
  <si>
    <t xml:space="preserve">Yes, it covers organization-specific risks</t>
  </si>
  <si>
    <t xml:space="preserve">Yes, it covers risks and opportunities</t>
  </si>
  <si>
    <t xml:space="preserve">Software Assurance Maturity Model (SAMM) Roadmap Chart Template Background Images</t>
  </si>
</sst>
</file>

<file path=xl/styles.xml><?xml version="1.0" encoding="utf-8"?>
<styleSheet xmlns="http://schemas.openxmlformats.org/spreadsheetml/2006/main">
  <numFmts count="7">
    <numFmt numFmtId="164" formatCode="General"/>
    <numFmt numFmtId="165" formatCode="0%"/>
    <numFmt numFmtId="166" formatCode="0.000"/>
    <numFmt numFmtId="167" formatCode="General"/>
    <numFmt numFmtId="168" formatCode="mmm\ d&quot;, &quot;yy"/>
    <numFmt numFmtId="169" formatCode="0.00"/>
    <numFmt numFmtId="170" formatCode="mm/dd/yyyy"/>
  </numFmts>
  <fonts count="43">
    <font>
      <sz val="10"/>
      <name val="Arial"/>
      <family val="2"/>
    </font>
    <font>
      <sz val="10"/>
      <name val="Arial"/>
      <family val="0"/>
    </font>
    <font>
      <sz val="10"/>
      <name val="Arial"/>
      <family val="0"/>
    </font>
    <font>
      <sz val="10"/>
      <name val="Arial"/>
      <family val="0"/>
    </font>
    <font>
      <u val="single"/>
      <sz val="10"/>
      <color rgb="FF339966"/>
      <name val="Arial"/>
      <family val="2"/>
      <charset val="1"/>
    </font>
    <font>
      <sz val="10"/>
      <name val="Arial"/>
      <family val="2"/>
      <charset val="1"/>
    </font>
    <font>
      <sz val="10"/>
      <color rgb="FFFFFFFF"/>
      <name val="Trebuchet MS"/>
      <family val="2"/>
      <charset val="1"/>
    </font>
    <font>
      <sz val="20"/>
      <color rgb="FFFFFFFF"/>
      <name val="Trebuchet MS"/>
      <family val="2"/>
      <charset val="1"/>
    </font>
    <font>
      <b val="true"/>
      <sz val="10"/>
      <color rgb="FFFFFFFF"/>
      <name val="Trebuchet MS"/>
      <family val="2"/>
      <charset val="1"/>
    </font>
    <font>
      <b val="true"/>
      <u val="single"/>
      <sz val="10"/>
      <color rgb="FFFFFFFF"/>
      <name val="Arial"/>
      <family val="2"/>
      <charset val="1"/>
    </font>
    <font>
      <sz val="10"/>
      <name val="Arial"/>
      <family val="0"/>
      <charset val="1"/>
    </font>
    <font>
      <b val="true"/>
      <sz val="10"/>
      <name val="Arial"/>
      <family val="2"/>
      <charset val="1"/>
    </font>
    <font>
      <b val="true"/>
      <sz val="11"/>
      <name val="Arial"/>
      <family val="2"/>
      <charset val="1"/>
    </font>
    <font>
      <b val="true"/>
      <sz val="14"/>
      <color rgb="FF010000"/>
      <name val="Arial"/>
      <family val="2"/>
      <charset val="1"/>
    </font>
    <font>
      <b val="true"/>
      <sz val="11"/>
      <color rgb="FF010000"/>
      <name val="Arial"/>
      <family val="2"/>
      <charset val="1"/>
    </font>
    <font>
      <sz val="10"/>
      <color rgb="FF010000"/>
      <name val="Arial"/>
      <family val="2"/>
      <charset val="1"/>
    </font>
    <font>
      <b val="true"/>
      <sz val="10"/>
      <color rgb="FF010000"/>
      <name val="Arial"/>
      <family val="2"/>
      <charset val="1"/>
    </font>
    <font>
      <b val="true"/>
      <sz val="18"/>
      <name val="Arial"/>
      <family val="2"/>
      <charset val="1"/>
    </font>
    <font>
      <b val="true"/>
      <sz val="10"/>
      <color rgb="FFFFFFFF"/>
      <name val="Arial"/>
      <family val="2"/>
      <charset val="1"/>
    </font>
    <font>
      <b val="true"/>
      <sz val="22"/>
      <color rgb="FF010000"/>
      <name val="Arial"/>
      <family val="2"/>
      <charset val="1"/>
    </font>
    <font>
      <i val="true"/>
      <sz val="10"/>
      <color rgb="FF010000"/>
      <name val="Arial"/>
      <family val="2"/>
      <charset val="1"/>
    </font>
    <font>
      <b val="true"/>
      <sz val="10"/>
      <color theme="0"/>
      <name val="Arial"/>
      <family val="2"/>
      <charset val="1"/>
    </font>
    <font>
      <b val="true"/>
      <sz val="10"/>
      <name val="Trebuchet MS"/>
      <family val="2"/>
      <charset val="1"/>
    </font>
    <font>
      <sz val="10"/>
      <name val="Trebuchet MS"/>
      <family val="2"/>
      <charset val="1"/>
    </font>
    <font>
      <b val="true"/>
      <sz val="12"/>
      <color rgb="FF010000"/>
      <name val="Arial"/>
      <family val="2"/>
      <charset val="1"/>
    </font>
    <font>
      <b val="true"/>
      <sz val="12"/>
      <name val="Arial"/>
      <family val="2"/>
      <charset val="1"/>
    </font>
    <font>
      <b val="true"/>
      <sz val="16"/>
      <color rgb="FF595959"/>
      <name val="Calibri"/>
      <family val="2"/>
    </font>
    <font>
      <sz val="9"/>
      <color rgb="FF595959"/>
      <name val="Calibri"/>
      <family val="2"/>
    </font>
    <font>
      <sz val="20"/>
      <name val="Trebuchet MS"/>
      <family val="2"/>
      <charset val="1"/>
    </font>
    <font>
      <sz val="11"/>
      <name val="Trebuchet MS"/>
      <family val="2"/>
      <charset val="1"/>
    </font>
    <font>
      <b val="true"/>
      <sz val="10"/>
      <color rgb="FF3290C4"/>
      <name val="Trebuchet MS"/>
      <family val="2"/>
      <charset val="1"/>
    </font>
    <font>
      <b val="true"/>
      <sz val="10"/>
      <color rgb="FFB75727"/>
      <name val="Trebuchet MS"/>
      <family val="2"/>
      <charset val="1"/>
    </font>
    <font>
      <b val="true"/>
      <sz val="10"/>
      <color rgb="FFFFC221"/>
      <name val="Trebuchet MS"/>
      <family val="2"/>
      <charset val="1"/>
    </font>
    <font>
      <b val="true"/>
      <sz val="10"/>
      <color rgb="FF37793E"/>
      <name val="Trebuchet MS"/>
      <family val="2"/>
      <charset val="1"/>
    </font>
    <font>
      <b val="true"/>
      <sz val="10"/>
      <color rgb="FF791F17"/>
      <name val="Trebuchet MS"/>
      <family val="2"/>
      <charset val="1"/>
    </font>
    <font>
      <u val="single"/>
      <sz val="10"/>
      <name val="Trebuchet MS"/>
      <family val="2"/>
      <charset val="1"/>
    </font>
    <font>
      <sz val="9.25"/>
      <color rgb="FF000000"/>
      <name val="Arial"/>
      <family val="2"/>
    </font>
    <font>
      <sz val="3.5"/>
      <color rgb="FFFFFFFF"/>
      <name val="Arial"/>
      <family val="2"/>
    </font>
    <font>
      <sz val="8"/>
      <color rgb="FF000000"/>
      <name val="Arial"/>
      <family val="2"/>
    </font>
    <font>
      <sz val="3.75"/>
      <color rgb="FFFFFFFF"/>
      <name val="Arial"/>
      <family val="2"/>
    </font>
    <font>
      <b val="true"/>
      <sz val="10"/>
      <color rgb="FF000000"/>
      <name val="Calibri"/>
      <family val="2"/>
    </font>
    <font>
      <sz val="11"/>
      <color rgb="FF000000"/>
      <name val="Cambria"/>
      <family val="2"/>
    </font>
    <font>
      <sz val="10"/>
      <color rgb="FF000000"/>
      <name val="Calibri"/>
      <family val="2"/>
    </font>
  </fonts>
  <fills count="22">
    <fill>
      <patternFill patternType="none"/>
    </fill>
    <fill>
      <patternFill patternType="gray125"/>
    </fill>
    <fill>
      <patternFill patternType="solid">
        <fgColor rgb="FF333333"/>
        <bgColor rgb="FF003366"/>
      </patternFill>
    </fill>
    <fill>
      <patternFill patternType="solid">
        <fgColor theme="4" tint="0.3999"/>
        <bgColor rgb="FF94BCDD"/>
      </patternFill>
    </fill>
    <fill>
      <patternFill patternType="solid">
        <fgColor theme="4" tint="0.7999"/>
        <bgColor rgb="FFDDDDDD"/>
      </patternFill>
    </fill>
    <fill>
      <patternFill patternType="solid">
        <fgColor rgb="FF3290C4"/>
        <bgColor rgb="FF2988A1"/>
      </patternFill>
    </fill>
    <fill>
      <patternFill patternType="solid">
        <fgColor rgb="FF94BCDD"/>
        <bgColor rgb="FF95B3D7"/>
      </patternFill>
    </fill>
    <fill>
      <patternFill patternType="solid">
        <fgColor theme="0" tint="-0.15"/>
        <bgColor rgb="FFDDDDDD"/>
      </patternFill>
    </fill>
    <fill>
      <patternFill patternType="solid">
        <fgColor theme="2" tint="-0.1"/>
        <bgColor rgb="FFD9D9D9"/>
      </patternFill>
    </fill>
    <fill>
      <patternFill patternType="solid">
        <fgColor rgb="FFB75727"/>
        <bgColor rgb="FFC0504D"/>
      </patternFill>
    </fill>
    <fill>
      <patternFill patternType="solid">
        <fgColor rgb="FFD59E7B"/>
        <bgColor rgb="FFD9A619"/>
      </patternFill>
    </fill>
    <fill>
      <patternFill patternType="solid">
        <fgColor rgb="FFD9A619"/>
        <bgColor rgb="FFBDBF17"/>
      </patternFill>
    </fill>
    <fill>
      <patternFill patternType="solid">
        <fgColor rgb="FFFFC221"/>
        <bgColor rgb="FFFFC000"/>
      </patternFill>
    </fill>
    <fill>
      <patternFill patternType="solid">
        <fgColor rgb="FFD5D514"/>
        <bgColor rgb="FFD4D513"/>
      </patternFill>
    </fill>
    <fill>
      <patternFill patternType="solid">
        <fgColor rgb="FF37793E"/>
        <bgColor rgb="FF339966"/>
      </patternFill>
    </fill>
    <fill>
      <patternFill patternType="solid">
        <fgColor rgb="FF8BAA88"/>
        <bgColor rgb="FF8BA988"/>
      </patternFill>
    </fill>
    <fill>
      <patternFill patternType="solid">
        <fgColor rgb="FF8BA988"/>
        <bgColor rgb="FF8BAA88"/>
      </patternFill>
    </fill>
    <fill>
      <patternFill patternType="solid">
        <fgColor rgb="FF791F17"/>
        <bgColor rgb="FF801E1B"/>
      </patternFill>
    </fill>
    <fill>
      <patternFill patternType="solid">
        <fgColor rgb="FFB07667"/>
        <bgColor rgb="FF878787"/>
      </patternFill>
    </fill>
    <fill>
      <patternFill patternType="solid">
        <fgColor rgb="FFDDDDDD"/>
        <bgColor rgb="FFD9D9D9"/>
      </patternFill>
    </fill>
    <fill>
      <patternFill patternType="solid">
        <fgColor theme="0"/>
        <bgColor rgb="FFDCE6F2"/>
      </patternFill>
    </fill>
    <fill>
      <patternFill patternType="solid">
        <fgColor rgb="FFC0C0C0"/>
        <bgColor rgb="FFA7C0DE"/>
      </patternFill>
    </fill>
  </fills>
  <borders count="71">
    <border diagonalUp="false" diagonalDown="false">
      <left/>
      <right/>
      <top/>
      <bottom/>
      <diagonal/>
    </border>
    <border diagonalUp="false" diagonalDown="false">
      <left style="medium"/>
      <right style="medium"/>
      <top style="medium"/>
      <bottom style="thin">
        <color rgb="FF010000"/>
      </bottom>
      <diagonal/>
    </border>
    <border diagonalUp="false" diagonalDown="false">
      <left style="medium"/>
      <right style="medium"/>
      <top style="thin">
        <color rgb="FF010000"/>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right/>
      <top/>
      <bottom style="thin">
        <color rgb="FF010000"/>
      </bottom>
      <diagonal/>
    </border>
    <border diagonalUp="false" diagonalDown="false">
      <left style="thin">
        <color rgb="FF010000"/>
      </left>
      <right/>
      <top style="thin">
        <color rgb="FF010000"/>
      </top>
      <bottom style="thin">
        <color rgb="FF010000"/>
      </bottom>
      <diagonal/>
    </border>
    <border diagonalUp="false" diagonalDown="false">
      <left/>
      <right/>
      <top style="thin">
        <color rgb="FF010000"/>
      </top>
      <bottom style="thin">
        <color rgb="FF010000"/>
      </bottom>
      <diagonal/>
    </border>
    <border diagonalUp="false" diagonalDown="false">
      <left/>
      <right style="thin">
        <color rgb="FF010000"/>
      </right>
      <top style="thin">
        <color rgb="FF010000"/>
      </top>
      <bottom style="thin">
        <color rgb="FF010000"/>
      </bottom>
      <diagonal/>
    </border>
    <border diagonalUp="false" diagonalDown="false">
      <left style="thin">
        <color rgb="FF010000"/>
      </left>
      <right style="thin">
        <color rgb="FF010000"/>
      </right>
      <top style="thin">
        <color rgb="FF010000"/>
      </top>
      <bottom style="thin">
        <color rgb="FF010000"/>
      </bottom>
      <diagonal/>
    </border>
    <border diagonalUp="false" diagonalDown="false">
      <left style="thin">
        <color rgb="FF010000"/>
      </left>
      <right/>
      <top style="thin">
        <color rgb="FF010000"/>
      </top>
      <bottom style="thin"/>
      <diagonal/>
    </border>
    <border diagonalUp="false" diagonalDown="false">
      <left style="thin"/>
      <right style="thin"/>
      <top style="thin">
        <color rgb="FF010000"/>
      </top>
      <bottom style="thin"/>
      <diagonal/>
    </border>
    <border diagonalUp="false" diagonalDown="false">
      <left/>
      <right style="thin">
        <color rgb="FF010000"/>
      </right>
      <top style="thin">
        <color rgb="FF010000"/>
      </top>
      <bottom/>
      <diagonal/>
    </border>
    <border diagonalUp="false" diagonalDown="false">
      <left style="thin">
        <color rgb="FF010000"/>
      </left>
      <right style="thin">
        <color rgb="FF010000"/>
      </right>
      <top style="thin">
        <color rgb="FF010000"/>
      </top>
      <bottom/>
      <diagonal/>
    </border>
    <border diagonalUp="false" diagonalDown="false">
      <left style="thin"/>
      <right/>
      <top style="thin"/>
      <bottom/>
      <diagonal/>
    </border>
    <border diagonalUp="false" diagonalDown="false">
      <left/>
      <right style="thin">
        <color rgb="FF010000"/>
      </right>
      <top style="thin"/>
      <bottom style="thin"/>
      <diagonal/>
    </border>
    <border diagonalUp="false" diagonalDown="false">
      <left style="thin">
        <color rgb="FF010000"/>
      </left>
      <right style="thin">
        <color rgb="FF010000"/>
      </right>
      <top style="thin"/>
      <bottom style="thin"/>
      <diagonal/>
    </border>
    <border diagonalUp="false" diagonalDown="false">
      <left style="thin">
        <color rgb="FF010000"/>
      </left>
      <right style="thin"/>
      <top style="thin"/>
      <bottom style="thin"/>
      <diagonal/>
    </border>
    <border diagonalUp="false" diagonalDown="false">
      <left/>
      <right style="thin">
        <color rgb="FF010000"/>
      </right>
      <top/>
      <bottom/>
      <diagonal/>
    </border>
    <border diagonalUp="false" diagonalDown="false">
      <left style="thin">
        <color rgb="FF010000"/>
      </left>
      <right style="thin">
        <color rgb="FF010000"/>
      </right>
      <top/>
      <bottom/>
      <diagonal/>
    </border>
    <border diagonalUp="false" diagonalDown="false">
      <left style="thin">
        <color rgb="FF010000"/>
      </left>
      <right style="thin">
        <color rgb="FF010000"/>
      </right>
      <top style="thin">
        <color rgb="FF010000"/>
      </top>
      <bottom style="thin"/>
      <diagonal/>
    </border>
    <border diagonalUp="false" diagonalDown="false">
      <left style="thin">
        <color rgb="FF010000"/>
      </left>
      <right/>
      <top/>
      <bottom/>
      <diagonal/>
    </border>
    <border diagonalUp="false" diagonalDown="false">
      <left style="thin"/>
      <right/>
      <top style="thin"/>
      <bottom style="thin"/>
      <diagonal/>
    </border>
    <border diagonalUp="false" diagonalDown="false">
      <left style="thin">
        <color rgb="FF010000"/>
      </left>
      <right/>
      <top/>
      <bottom style="thin">
        <color rgb="FF010000"/>
      </bottom>
      <diagonal/>
    </border>
    <border diagonalUp="false" diagonalDown="false">
      <left/>
      <right style="thin">
        <color rgb="FF010000"/>
      </right>
      <top/>
      <bottom style="thin">
        <color rgb="FF010000"/>
      </bottom>
      <diagonal/>
    </border>
    <border diagonalUp="false" diagonalDown="false">
      <left/>
      <right style="thin">
        <color rgb="FF010000"/>
      </right>
      <top style="thin"/>
      <bottom/>
      <diagonal/>
    </border>
    <border diagonalUp="false" diagonalDown="false">
      <left style="thin">
        <color rgb="FF010000"/>
      </left>
      <right style="thin">
        <color rgb="FF010000"/>
      </right>
      <top/>
      <bottom style="thin">
        <color rgb="FF010000"/>
      </bottom>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color rgb="FF010000"/>
      </left>
      <right style="thin">
        <color rgb="FF010000"/>
      </right>
      <top/>
      <bottom style="thin"/>
      <diagonal/>
    </border>
    <border diagonalUp="false" diagonalDown="false">
      <left style="thin">
        <color rgb="FF010000"/>
      </left>
      <right style="thin"/>
      <top/>
      <bottom style="thin"/>
      <diagonal/>
    </border>
    <border diagonalUp="false" diagonalDown="false">
      <left/>
      <right style="thin">
        <color rgb="FF010000"/>
      </right>
      <top style="thin">
        <color rgb="FF010000"/>
      </top>
      <bottom style="thin"/>
      <diagonal/>
    </border>
    <border diagonalUp="false" diagonalDown="false">
      <left style="thin">
        <color rgb="FF010000"/>
      </left>
      <right style="thin">
        <color rgb="FF010000"/>
      </right>
      <top style="thin"/>
      <bottom/>
      <diagonal/>
    </border>
    <border diagonalUp="false" diagonalDown="false">
      <left style="thin">
        <color rgb="FF010000"/>
      </left>
      <right style="thin"/>
      <top style="thin"/>
      <bottom/>
      <diagonal/>
    </border>
    <border diagonalUp="false" diagonalDown="false">
      <left style="medium"/>
      <right style="medium"/>
      <top style="medium"/>
      <bottom style="medium"/>
      <diagonal/>
    </border>
    <border diagonalUp="false" diagonalDown="false">
      <left/>
      <right/>
      <top style="thin">
        <color rgb="FF010000"/>
      </top>
      <bottom/>
      <diagonal/>
    </border>
    <border diagonalUp="false" diagonalDown="false">
      <left style="thin"/>
      <right style="thin"/>
      <top/>
      <bottom style="thin"/>
      <diagonal/>
    </border>
    <border diagonalUp="false" diagonalDown="false">
      <left style="medium"/>
      <right/>
      <top style="medium"/>
      <bottom style="thin">
        <color rgb="FF010000"/>
      </bottom>
      <diagonal/>
    </border>
    <border diagonalUp="false" diagonalDown="false">
      <left/>
      <right/>
      <top style="medium"/>
      <bottom style="thin">
        <color rgb="FF010000"/>
      </bottom>
      <diagonal/>
    </border>
    <border diagonalUp="false" diagonalDown="false">
      <left style="medium"/>
      <right/>
      <top style="thin">
        <color rgb="FF010000"/>
      </top>
      <bottom/>
      <diagonal/>
    </border>
    <border diagonalUp="false" diagonalDown="false">
      <left style="medium"/>
      <right/>
      <top/>
      <bottom/>
      <diagonal/>
    </border>
    <border diagonalUp="false" diagonalDown="false">
      <left style="medium"/>
      <right/>
      <top/>
      <bottom style="medium"/>
      <diagonal/>
    </border>
    <border diagonalUp="false" diagonalDown="false">
      <left/>
      <right/>
      <top/>
      <bottom style="medium"/>
      <diagonal/>
    </border>
    <border diagonalUp="false" diagonalDown="false">
      <left style="thin"/>
      <right/>
      <top style="medium"/>
      <bottom style="thin"/>
      <diagonal/>
    </border>
    <border diagonalUp="false" diagonalDown="false">
      <left style="thin"/>
      <right/>
      <top style="thin"/>
      <bottom style="medium"/>
      <diagonal/>
    </border>
    <border diagonalUp="false" diagonalDown="false">
      <left style="thin"/>
      <right style="medium"/>
      <top style="medium"/>
      <bottom style="medium"/>
      <diagonal/>
    </border>
    <border diagonalUp="false" diagonalDown="false">
      <left/>
      <right/>
      <top style="thin"/>
      <bottom style="thin">
        <color rgb="FF010000"/>
      </bottom>
      <diagonal/>
    </border>
    <border diagonalUp="false" diagonalDown="false">
      <left style="thin"/>
      <right style="thin"/>
      <top style="thin"/>
      <bottom style="thin">
        <color rgb="FF010000"/>
      </bottom>
      <diagonal/>
    </border>
    <border diagonalUp="false" diagonalDown="false">
      <left style="thin">
        <color rgb="FF010000"/>
      </left>
      <right style="thin"/>
      <top style="thin">
        <color rgb="FF010000"/>
      </top>
      <bottom style="thin"/>
      <diagonal/>
    </border>
    <border diagonalUp="false" diagonalDown="false">
      <left style="thin">
        <color rgb="FF010000"/>
      </left>
      <right style="thin"/>
      <top style="thin">
        <color rgb="FF010000"/>
      </top>
      <bottom style="thin">
        <color rgb="FF010000"/>
      </bottom>
      <diagonal/>
    </border>
    <border diagonalUp="false" diagonalDown="false">
      <left style="thin"/>
      <right style="thin">
        <color rgb="FF010000"/>
      </right>
      <top style="thin">
        <color rgb="FF010000"/>
      </top>
      <bottom style="thin"/>
      <diagonal/>
    </border>
    <border diagonalUp="false" diagonalDown="false">
      <left style="thin">
        <color rgb="FF010000"/>
      </left>
      <right/>
      <top style="thin">
        <color rgb="FF010000"/>
      </top>
      <bottom/>
      <diagonal/>
    </border>
    <border diagonalUp="false" diagonalDown="false">
      <left style="thin"/>
      <right style="thin"/>
      <top style="thin">
        <color rgb="FF010000"/>
      </top>
      <bottom style="thin">
        <color rgb="FF010000"/>
      </bottom>
      <diagonal/>
    </border>
    <border diagonalUp="false" diagonalDown="false">
      <left style="thin">
        <color rgb="FF010000"/>
      </left>
      <right/>
      <top/>
      <bottom style="thin"/>
      <diagonal/>
    </border>
    <border diagonalUp="false" diagonalDown="false">
      <left style="thin">
        <color rgb="FF010000"/>
      </left>
      <right style="thin"/>
      <top style="thin">
        <color rgb="FF010000"/>
      </top>
      <bottom/>
      <diagonal/>
    </border>
    <border diagonalUp="false" diagonalDown="false">
      <left style="thin"/>
      <right style="thin"/>
      <top style="thin">
        <color rgb="FF010000"/>
      </top>
      <bottom/>
      <diagonal/>
    </border>
    <border diagonalUp="false" diagonalDown="false">
      <left/>
      <right/>
      <top style="medium"/>
      <bottom style="medium"/>
      <diagonal/>
    </border>
    <border diagonalUp="false" diagonalDown="false">
      <left/>
      <right/>
      <top style="medium"/>
      <bottom/>
      <diagonal/>
    </border>
    <border diagonalUp="false" diagonalDown="false">
      <left style="thin"/>
      <right style="thin"/>
      <top/>
      <bottom/>
      <diagonal/>
    </border>
    <border diagonalUp="false" diagonalDown="false">
      <left/>
      <right/>
      <top/>
      <bottom style="thin"/>
      <diagonal/>
    </border>
    <border diagonalUp="false" diagonalDown="false">
      <left/>
      <right/>
      <top style="thin"/>
      <bottom/>
      <diagonal/>
    </border>
    <border diagonalUp="false" diagonalDown="false">
      <left style="thin"/>
      <right/>
      <top/>
      <bottom/>
      <diagonal/>
    </border>
    <border diagonalUp="false" diagonalDown="false">
      <left style="thin"/>
      <right style="thin"/>
      <top/>
      <bottom style="medium"/>
      <diagonal/>
    </border>
    <border diagonalUp="false" diagonalDown="false">
      <left style="thin"/>
      <right/>
      <top/>
      <bottom style="thin"/>
      <diagonal/>
    </border>
    <border diagonalUp="false" diagonalDown="false">
      <left style="thin"/>
      <right style="thin"/>
      <top style="thin"/>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false" applyProtection="false"/>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5" fontId="0" fillId="0" borderId="0" applyFont="false" applyBorder="false" applyAlignment="false" applyProtection="false"/>
  </cellStyleXfs>
  <cellXfs count="387">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2" borderId="0" xfId="21" applyFont="true" applyBorder="false" applyAlignment="false" applyProtection="false">
      <alignment horizontal="general" vertical="bottom" textRotation="0" wrapText="false" indent="0" shrinkToFit="false"/>
      <protection locked="true" hidden="false"/>
    </xf>
    <xf numFmtId="164" fontId="7" fillId="2" borderId="0" xfId="21" applyFont="true" applyBorder="false" applyAlignment="true" applyProtection="false">
      <alignment horizontal="left" vertical="top" textRotation="0" wrapText="false" indent="0" shrinkToFit="false"/>
      <protection locked="true" hidden="false"/>
    </xf>
    <xf numFmtId="164" fontId="7" fillId="2" borderId="0" xfId="21" applyFont="true" applyBorder="false" applyAlignment="false" applyProtection="false">
      <alignment horizontal="general" vertical="bottom" textRotation="0" wrapText="false" indent="0" shrinkToFit="false"/>
      <protection locked="true" hidden="false"/>
    </xf>
    <xf numFmtId="164" fontId="6" fillId="2" borderId="0" xfId="21" applyFont="true" applyBorder="false" applyAlignment="true" applyProtection="false">
      <alignment horizontal="left" vertical="top" textRotation="0" wrapText="false" indent="0" shrinkToFit="false"/>
      <protection locked="true" hidden="false"/>
    </xf>
    <xf numFmtId="164" fontId="6" fillId="2" borderId="0" xfId="21" applyFont="true" applyBorder="false" applyAlignment="true" applyProtection="false">
      <alignment horizontal="left" vertical="top" textRotation="0" wrapText="true" indent="0" shrinkToFit="false"/>
      <protection locked="true" hidden="false"/>
    </xf>
    <xf numFmtId="164" fontId="8" fillId="2" borderId="0" xfId="21" applyFont="true" applyBorder="false" applyAlignment="true" applyProtection="false">
      <alignment horizontal="left" vertical="top" textRotation="0" wrapText="false" indent="0" shrinkToFit="false"/>
      <protection locked="true" hidden="false"/>
    </xf>
    <xf numFmtId="164" fontId="8" fillId="2" borderId="0" xfId="21" applyFont="true" applyBorder="false" applyAlignment="true" applyProtection="false">
      <alignment horizontal="left" vertical="top" textRotation="0" wrapText="true" indent="0" shrinkToFit="false"/>
      <protection locked="true" hidden="false"/>
    </xf>
    <xf numFmtId="164" fontId="8" fillId="2" borderId="0" xfId="21" applyFont="true" applyBorder="false" applyAlignment="false" applyProtection="false">
      <alignment horizontal="general" vertical="bottom" textRotation="0" wrapText="false" indent="0" shrinkToFit="false"/>
      <protection locked="true" hidden="false"/>
    </xf>
    <xf numFmtId="164" fontId="9" fillId="2" borderId="0" xfId="0" applyFont="true" applyBorder="true" applyAlignment="true" applyProtection="true">
      <alignment horizontal="left" vertical="top" textRotation="0" wrapText="false" indent="0" shrinkToFit="false"/>
      <protection locked="true" hidden="false"/>
    </xf>
    <xf numFmtId="164" fontId="10" fillId="0" borderId="0"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bottom" textRotation="0" wrapText="false" indent="0" shrinkToFit="false"/>
      <protection locked="true" hidden="false"/>
    </xf>
    <xf numFmtId="166" fontId="10" fillId="0" borderId="0"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7" fontId="13" fillId="0" borderId="0" xfId="0" applyFont="true" applyBorder="true" applyAlignment="true" applyProtection="true">
      <alignment horizontal="center" vertical="bottom"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0" shrinkToFit="false"/>
      <protection locked="true" hidden="false"/>
    </xf>
    <xf numFmtId="164" fontId="15" fillId="0" borderId="0"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true" applyAlignment="true" applyProtection="true">
      <alignment horizontal="general" vertical="top" textRotation="0" wrapText="false" indent="0" shrinkToFit="false"/>
      <protection locked="true" hidden="false"/>
    </xf>
    <xf numFmtId="164" fontId="15" fillId="0" borderId="0" xfId="0" applyFont="true" applyBorder="true" applyAlignment="true" applyProtection="true">
      <alignment horizontal="center" vertical="bottom" textRotation="0" wrapText="false" indent="0" shrinkToFit="false"/>
      <protection locked="true" hidden="false"/>
    </xf>
    <xf numFmtId="164" fontId="16" fillId="0" borderId="0" xfId="0" applyFont="true" applyBorder="true" applyAlignment="true" applyProtection="true">
      <alignment horizontal="center" vertical="bottom" textRotation="0" wrapText="false" indent="0" shrinkToFit="false"/>
      <protection locked="true" hidden="false"/>
    </xf>
    <xf numFmtId="166" fontId="15" fillId="0" borderId="0" xfId="0" applyFont="true" applyBorder="true" applyAlignment="true" applyProtection="true">
      <alignment horizontal="center" vertical="bottom" textRotation="0" wrapText="false" indent="0" shrinkToFit="false"/>
      <protection locked="true" hidden="false"/>
    </xf>
    <xf numFmtId="164" fontId="16" fillId="3" borderId="1" xfId="0" applyFont="true" applyBorder="true" applyAlignment="true" applyProtection="true">
      <alignment horizontal="center" vertical="bottom" textRotation="0" wrapText="true" indent="0" shrinkToFit="false"/>
      <protection locked="true" hidden="false"/>
    </xf>
    <xf numFmtId="164" fontId="15" fillId="4" borderId="2" xfId="0" applyFont="true" applyBorder="true" applyAlignment="true" applyProtection="true">
      <alignment horizontal="general" vertical="bottom" textRotation="0" wrapText="true" indent="0" shrinkToFit="false"/>
      <protection locked="true" hidden="false"/>
    </xf>
    <xf numFmtId="164" fontId="15" fillId="4" borderId="3" xfId="0" applyFont="true" applyBorder="true" applyAlignment="true" applyProtection="true">
      <alignment horizontal="general" vertical="bottom" textRotation="0" wrapText="true" indent="0" shrinkToFit="false"/>
      <protection locked="true" hidden="false"/>
    </xf>
    <xf numFmtId="164" fontId="15" fillId="4" borderId="4" xfId="0" applyFont="true" applyBorder="true" applyAlignment="true" applyProtection="true">
      <alignment horizontal="general" vertical="bottom" textRotation="0" wrapText="true" indent="0" shrinkToFit="false"/>
      <protection locked="true" hidden="false"/>
    </xf>
    <xf numFmtId="164" fontId="16" fillId="0" borderId="5" xfId="0" applyFont="true" applyBorder="true" applyAlignment="true" applyProtection="true">
      <alignment horizontal="right" vertical="bottom" textRotation="0" wrapText="true" indent="0" shrinkToFit="false"/>
      <protection locked="true" hidden="false"/>
    </xf>
    <xf numFmtId="164" fontId="15" fillId="0" borderId="6" xfId="0" applyFont="true" applyBorder="true" applyAlignment="tru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right" vertical="bottom" textRotation="0" wrapText="true" indent="0" shrinkToFit="false"/>
      <protection locked="true" hidden="false"/>
    </xf>
    <xf numFmtId="164" fontId="15" fillId="0" borderId="8" xfId="0" applyFont="true" applyBorder="true" applyAlignment="true" applyProtection="true">
      <alignment horizontal="general" vertical="bottom" textRotation="0" wrapText="false" indent="0" shrinkToFit="false"/>
      <protection locked="true" hidden="false"/>
    </xf>
    <xf numFmtId="168" fontId="15" fillId="0" borderId="8" xfId="0" applyFont="true" applyBorder="true" applyAlignment="true" applyProtection="true">
      <alignment horizontal="left" vertical="bottom" textRotation="0" wrapText="false" indent="0" shrinkToFit="false"/>
      <protection locked="true" hidden="false"/>
    </xf>
    <xf numFmtId="168" fontId="15" fillId="0" borderId="0" xfId="0" applyFont="true" applyBorder="true" applyAlignment="true" applyProtection="true">
      <alignment horizontal="center" vertical="bottom" textRotation="0" wrapText="false" indent="0" shrinkToFit="false"/>
      <protection locked="true" hidden="false"/>
    </xf>
    <xf numFmtId="164" fontId="17" fillId="0" borderId="0" xfId="0" applyFont="true" applyBorder="true" applyAlignment="true" applyProtection="true">
      <alignment horizontal="general" vertical="bottom" textRotation="0" wrapText="false" indent="0" shrinkToFit="false"/>
      <protection locked="true" hidden="false"/>
    </xf>
    <xf numFmtId="164" fontId="16" fillId="0" borderId="9" xfId="0" applyFont="true" applyBorder="true" applyAlignment="true" applyProtection="true">
      <alignment horizontal="right" vertical="bottom" textRotation="0" wrapText="true" indent="0" shrinkToFit="false"/>
      <protection locked="true" hidden="false"/>
    </xf>
    <xf numFmtId="164" fontId="15" fillId="0" borderId="10" xfId="0" applyFont="true" applyBorder="true" applyAlignment="true" applyProtection="true">
      <alignment horizontal="general" vertical="bottom" textRotation="0" wrapText="false" indent="0" shrinkToFit="false"/>
      <protection locked="true" hidden="false"/>
    </xf>
    <xf numFmtId="164" fontId="18" fillId="5" borderId="11" xfId="0" applyFont="true" applyBorder="true" applyAlignment="true" applyProtection="true">
      <alignment horizontal="center" vertical="bottom" textRotation="0" wrapText="true" indent="0" shrinkToFit="false"/>
      <protection locked="true" hidden="false"/>
    </xf>
    <xf numFmtId="164" fontId="16" fillId="6" borderId="12" xfId="0" applyFont="true" applyBorder="true" applyAlignment="true" applyProtection="true">
      <alignment horizontal="general" vertical="bottom" textRotation="0" wrapText="true" indent="0" shrinkToFit="false"/>
      <protection locked="true" hidden="false"/>
    </xf>
    <xf numFmtId="164" fontId="16" fillId="6" borderId="13" xfId="0" applyFont="true" applyBorder="true" applyAlignment="true" applyProtection="true">
      <alignment horizontal="center" vertical="bottom" textRotation="0" wrapText="true" indent="0" shrinkToFit="false"/>
      <protection locked="true" hidden="false"/>
    </xf>
    <xf numFmtId="164" fontId="16" fillId="6" borderId="12" xfId="0" applyFont="true" applyBorder="true" applyAlignment="true" applyProtection="true">
      <alignment horizontal="center" vertical="bottom" textRotation="0" wrapText="true" indent="0" shrinkToFit="false"/>
      <protection locked="true" hidden="false"/>
    </xf>
    <xf numFmtId="164" fontId="16" fillId="6" borderId="14" xfId="0" applyFont="true" applyBorder="true" applyAlignment="true" applyProtection="true">
      <alignment horizontal="center" vertical="bottom" textRotation="0" wrapText="false" indent="0" shrinkToFit="false"/>
      <protection locked="true" hidden="false"/>
    </xf>
    <xf numFmtId="164" fontId="16" fillId="6" borderId="15" xfId="0" applyFont="true" applyBorder="true" applyAlignment="true" applyProtection="true">
      <alignment horizontal="center" vertical="bottom" textRotation="0" wrapText="true" indent="0" shrinkToFit="false"/>
      <protection locked="true" hidden="false"/>
    </xf>
    <xf numFmtId="166" fontId="16" fillId="6" borderId="15" xfId="0" applyFont="true" applyBorder="true" applyAlignment="true" applyProtection="true">
      <alignment horizontal="center" vertical="bottom" textRotation="0" wrapText="false" indent="0" shrinkToFit="false"/>
      <protection locked="true" hidden="false"/>
    </xf>
    <xf numFmtId="164" fontId="16" fillId="6" borderId="15"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7" fontId="16" fillId="6" borderId="16" xfId="0" applyFont="true" applyBorder="true" applyAlignment="true" applyProtection="true">
      <alignment horizontal="center" vertical="center" textRotation="0" wrapText="false" indent="0" shrinkToFit="false"/>
      <protection locked="true" hidden="false"/>
    </xf>
    <xf numFmtId="167" fontId="16" fillId="6" borderId="17" xfId="0" applyFont="true" applyBorder="true" applyAlignment="true" applyProtection="true">
      <alignment horizontal="center" vertical="bottom" textRotation="0" wrapText="false" indent="0" shrinkToFit="false"/>
      <protection locked="true" hidden="false"/>
    </xf>
    <xf numFmtId="167" fontId="16" fillId="0" borderId="18" xfId="0" applyFont="true" applyBorder="true" applyAlignment="true" applyProtection="true">
      <alignment horizontal="general" vertical="top" textRotation="0" wrapText="false" indent="0" shrinkToFit="false"/>
      <protection locked="true" hidden="false"/>
    </xf>
    <xf numFmtId="167" fontId="16" fillId="0" borderId="18" xfId="0" applyFont="true" applyBorder="true" applyAlignment="true" applyProtection="true">
      <alignment horizontal="center" vertical="bottom" textRotation="0" wrapText="false" indent="0" shrinkToFit="false"/>
      <protection locked="true" hidden="false"/>
    </xf>
    <xf numFmtId="164" fontId="16" fillId="0" borderId="19" xfId="0" applyFont="true" applyBorder="true" applyAlignment="true" applyProtection="true">
      <alignment horizontal="center" vertical="bottom" textRotation="0" wrapText="false" indent="0" shrinkToFit="false"/>
      <protection locked="true" hidden="false"/>
    </xf>
    <xf numFmtId="167" fontId="15" fillId="0" borderId="19" xfId="0" applyFont="true" applyBorder="true" applyAlignment="true" applyProtection="true">
      <alignment horizontal="center" vertical="bottom" textRotation="0" wrapText="false" indent="0" shrinkToFit="false"/>
      <protection locked="true" hidden="false"/>
    </xf>
    <xf numFmtId="166" fontId="15" fillId="0" borderId="19" xfId="0" applyFont="true" applyBorder="true" applyAlignment="true" applyProtection="true">
      <alignment horizontal="center" vertical="bottom" textRotation="0" wrapText="false" indent="0" shrinkToFit="false"/>
      <protection locked="true" hidden="false"/>
    </xf>
    <xf numFmtId="164" fontId="15" fillId="0" borderId="19" xfId="0" applyFont="true" applyBorder="true" applyAlignment="true" applyProtection="true">
      <alignment horizontal="left" vertical="center" textRotation="0" wrapText="false" indent="0" shrinkToFit="false"/>
      <protection locked="true" hidden="false"/>
    </xf>
    <xf numFmtId="169" fontId="19" fillId="6" borderId="19"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true">
      <alignment horizontal="center" vertical="center" textRotation="0" wrapText="false" indent="0" shrinkToFit="false"/>
      <protection locked="true" hidden="false"/>
    </xf>
    <xf numFmtId="164" fontId="20" fillId="7" borderId="20" xfId="0" applyFont="true" applyBorder="true" applyAlignment="true" applyProtection="true">
      <alignment horizontal="right" vertical="top" textRotation="0" wrapText="false" indent="0" shrinkToFit="false"/>
      <protection locked="true" hidden="false"/>
    </xf>
    <xf numFmtId="167" fontId="15" fillId="7" borderId="21" xfId="0" applyFont="true" applyBorder="true" applyAlignment="true" applyProtection="true">
      <alignment horizontal="general" vertical="top" textRotation="0" wrapText="false" indent="0" shrinkToFit="false"/>
      <protection locked="true" hidden="false"/>
    </xf>
    <xf numFmtId="164" fontId="15" fillId="7" borderId="21" xfId="0" applyFont="true" applyBorder="true" applyAlignment="true" applyProtection="true">
      <alignment horizontal="center" vertical="bottom" textRotation="0" wrapText="false" indent="0" shrinkToFit="false"/>
      <protection locked="true" hidden="false"/>
    </xf>
    <xf numFmtId="164" fontId="15" fillId="7" borderId="22" xfId="0" applyFont="true" applyBorder="true" applyAlignment="true" applyProtection="true">
      <alignment horizontal="general" vertical="bottom" textRotation="0" wrapText="false" indent="0" shrinkToFit="false"/>
      <protection locked="true" hidden="false"/>
    </xf>
    <xf numFmtId="164" fontId="15" fillId="7" borderId="22" xfId="0" applyFont="true" applyBorder="true" applyAlignment="true" applyProtection="true">
      <alignment horizontal="center" vertical="bottom" textRotation="0" wrapText="false" indent="0" shrinkToFit="false"/>
      <protection locked="true" hidden="false"/>
    </xf>
    <xf numFmtId="166" fontId="15" fillId="7" borderId="23" xfId="0" applyFont="true" applyBorder="true" applyAlignment="true" applyProtection="true">
      <alignment horizontal="center" vertical="bottom" textRotation="0" wrapText="false" indent="0" shrinkToFit="false"/>
      <protection locked="true" hidden="false"/>
    </xf>
    <xf numFmtId="167" fontId="16" fillId="0" borderId="24" xfId="0" applyFont="true" applyBorder="true" applyAlignment="true" applyProtection="true">
      <alignment horizontal="center" vertical="bottom" textRotation="0" wrapText="false" indent="0" shrinkToFit="false"/>
      <protection locked="true" hidden="false"/>
    </xf>
    <xf numFmtId="164" fontId="16" fillId="0" borderId="25" xfId="0" applyFont="true" applyBorder="true" applyAlignment="true" applyProtection="true">
      <alignment horizontal="center" vertical="bottom" textRotation="0" wrapText="false" indent="0" shrinkToFit="false"/>
      <protection locked="true" hidden="false"/>
    </xf>
    <xf numFmtId="167" fontId="15" fillId="0" borderId="25" xfId="0" applyFont="true" applyBorder="true" applyAlignment="true" applyProtection="true">
      <alignment horizontal="center" vertical="bottom" textRotation="0" wrapText="false" indent="0" shrinkToFit="false"/>
      <protection locked="true" hidden="false"/>
    </xf>
    <xf numFmtId="166" fontId="15" fillId="0" borderId="25" xfId="0" applyFont="true" applyBorder="true" applyAlignment="true" applyProtection="true">
      <alignment horizontal="center" vertical="bottom" textRotation="0" wrapText="false" indent="0" shrinkToFit="false"/>
      <protection locked="true" hidden="false"/>
    </xf>
    <xf numFmtId="164" fontId="15" fillId="0" borderId="26" xfId="0" applyFont="true" applyBorder="true" applyAlignment="true" applyProtection="true">
      <alignment horizontal="left" vertical="center" textRotation="0" wrapText="false" indent="0" shrinkToFit="false"/>
      <protection locked="true" hidden="false"/>
    </xf>
    <xf numFmtId="164" fontId="14" fillId="0" borderId="27" xfId="0" applyFont="true" applyBorder="true" applyAlignment="true" applyProtection="true">
      <alignment horizontal="left" vertical="bottom" textRotation="0" wrapText="false" indent="0" shrinkToFit="false"/>
      <protection locked="true" hidden="false"/>
    </xf>
    <xf numFmtId="164" fontId="20" fillId="7" borderId="28" xfId="0" applyFont="true" applyBorder="true" applyAlignment="true" applyProtection="true">
      <alignment horizontal="right" vertical="top" textRotation="0" wrapText="false" indent="0" shrinkToFit="false"/>
      <protection locked="true" hidden="false"/>
    </xf>
    <xf numFmtId="164" fontId="16" fillId="7" borderId="22" xfId="0" applyFont="true" applyBorder="true" applyAlignment="true" applyProtection="true">
      <alignment horizontal="center" vertical="bottom" textRotation="0" wrapText="false" indent="0" shrinkToFit="false"/>
      <protection locked="true" hidden="false"/>
    </xf>
    <xf numFmtId="164" fontId="15" fillId="8" borderId="29" xfId="0" applyFont="true" applyBorder="true" applyAlignment="true" applyProtection="true">
      <alignment horizontal="general" vertical="bottom" textRotation="0" wrapText="false" indent="0" shrinkToFit="false"/>
      <protection locked="true" hidden="false"/>
    </xf>
    <xf numFmtId="164" fontId="15" fillId="8" borderId="11" xfId="0" applyFont="true" applyBorder="true" applyAlignment="true" applyProtection="true">
      <alignment horizontal="general" vertical="bottom" textRotation="0" wrapText="false" indent="0" shrinkToFit="false"/>
      <protection locked="true" hidden="false"/>
    </xf>
    <xf numFmtId="164" fontId="15" fillId="8" borderId="30" xfId="0" applyFont="true" applyBorder="true" applyAlignment="true" applyProtection="true">
      <alignment horizontal="general" vertical="bottom" textRotation="0" wrapText="false" indent="0" shrinkToFit="false"/>
      <protection locked="true" hidden="false"/>
    </xf>
    <xf numFmtId="167" fontId="15" fillId="7" borderId="31" xfId="0" applyFont="true" applyBorder="true" applyAlignment="true" applyProtection="true">
      <alignment horizontal="general" vertical="top" textRotation="0" wrapText="false" indent="0" shrinkToFit="false"/>
      <protection locked="true" hidden="false"/>
    </xf>
    <xf numFmtId="164" fontId="15" fillId="7" borderId="31" xfId="0" applyFont="true" applyBorder="true" applyAlignment="true" applyProtection="true">
      <alignment horizontal="center" vertical="bottom" textRotation="0" wrapText="false" indent="0" shrinkToFit="false"/>
      <protection locked="true" hidden="false"/>
    </xf>
    <xf numFmtId="164" fontId="16" fillId="6" borderId="32" xfId="0" applyFont="true" applyBorder="true" applyAlignment="true" applyProtection="true">
      <alignment horizontal="center" vertical="bottom" textRotation="0" wrapText="true" indent="0" shrinkToFit="false"/>
      <protection locked="true" hidden="false"/>
    </xf>
    <xf numFmtId="164" fontId="16" fillId="6" borderId="30" xfId="0" applyFont="true" applyBorder="true" applyAlignment="true" applyProtection="true">
      <alignment horizontal="center" vertical="bottom" textRotation="0" wrapText="false" indent="0" shrinkToFit="false"/>
      <protection locked="true" hidden="false"/>
    </xf>
    <xf numFmtId="166" fontId="16" fillId="6" borderId="32" xfId="0" applyFont="true" applyBorder="true" applyAlignment="true" applyProtection="true">
      <alignment horizontal="center" vertical="bottom" textRotation="0" wrapText="false" indent="0" shrinkToFit="false"/>
      <protection locked="true" hidden="false"/>
    </xf>
    <xf numFmtId="164" fontId="15" fillId="8" borderId="28" xfId="0" applyFont="true" applyBorder="true" applyAlignment="true" applyProtection="true">
      <alignment horizontal="general" vertical="bottom" textRotation="0" wrapText="false" indent="0" shrinkToFit="false"/>
      <protection locked="true" hidden="false"/>
    </xf>
    <xf numFmtId="164" fontId="15" fillId="8" borderId="33" xfId="0" applyFont="true" applyBorder="true" applyAlignment="true" applyProtection="true">
      <alignment horizontal="general" vertical="bottom" textRotation="0" wrapText="false" indent="0" shrinkToFit="false"/>
      <protection locked="true" hidden="false"/>
    </xf>
    <xf numFmtId="164" fontId="15" fillId="8" borderId="34" xfId="0" applyFont="true" applyBorder="true" applyAlignment="true" applyProtection="true">
      <alignment horizontal="general" vertical="bottom" textRotation="0" wrapText="false" indent="0" shrinkToFit="false"/>
      <protection locked="true" hidden="false"/>
    </xf>
    <xf numFmtId="164" fontId="16" fillId="0" borderId="22" xfId="0" applyFont="true" applyBorder="true" applyAlignment="true" applyProtection="true">
      <alignment horizontal="center" vertical="bottom" textRotation="0" wrapText="false" indent="0" shrinkToFit="false"/>
      <protection locked="true" hidden="false"/>
    </xf>
    <xf numFmtId="166" fontId="15" fillId="0" borderId="35" xfId="0" applyFont="true" applyBorder="true" applyAlignment="true" applyProtection="true">
      <alignment horizontal="center" vertical="bottom" textRotation="0" wrapText="false" indent="0" shrinkToFit="false"/>
      <protection locked="true" hidden="false"/>
    </xf>
    <xf numFmtId="164" fontId="15" fillId="0" borderId="32" xfId="0" applyFont="true" applyBorder="true" applyAlignment="true" applyProtection="true">
      <alignment horizontal="left" vertical="center" textRotation="0" wrapText="false" indent="0" shrinkToFit="false"/>
      <protection locked="true" hidden="false"/>
    </xf>
    <xf numFmtId="164" fontId="16" fillId="7" borderId="35" xfId="0" applyFont="true" applyBorder="true" applyAlignment="true" applyProtection="true">
      <alignment horizontal="center" vertical="bottom" textRotation="0" wrapText="false" indent="0" shrinkToFit="false"/>
      <protection locked="true" hidden="false"/>
    </xf>
    <xf numFmtId="164" fontId="15" fillId="7" borderId="35" xfId="0" applyFont="true" applyBorder="true" applyAlignment="true" applyProtection="true">
      <alignment horizontal="center" vertical="bottom" textRotation="0" wrapText="false" indent="0" shrinkToFit="false"/>
      <protection locked="true" hidden="false"/>
    </xf>
    <xf numFmtId="166" fontId="15" fillId="7" borderId="36" xfId="0" applyFont="true" applyBorder="true" applyAlignment="true" applyProtection="true">
      <alignment horizontal="center" vertical="bottom" textRotation="0" wrapText="false" indent="0" shrinkToFit="false"/>
      <protection locked="true" hidden="false"/>
    </xf>
    <xf numFmtId="164" fontId="15" fillId="0" borderId="15" xfId="0" applyFont="true" applyBorder="true" applyAlignment="true" applyProtection="true">
      <alignment horizontal="left" vertical="center" textRotation="0" wrapText="false" indent="0" shrinkToFit="false"/>
      <protection locked="true" hidden="false"/>
    </xf>
    <xf numFmtId="164" fontId="15" fillId="0" borderId="14" xfId="0" applyFont="true" applyBorder="true" applyAlignment="true" applyProtection="true">
      <alignment horizontal="left" vertical="center" textRotation="0" wrapText="false" indent="0" shrinkToFit="false"/>
      <protection locked="true" hidden="false"/>
    </xf>
    <xf numFmtId="164" fontId="15" fillId="0" borderId="37" xfId="0" applyFont="true" applyBorder="true" applyAlignment="true" applyProtection="true">
      <alignment horizontal="left" vertical="center" textRotation="0" wrapText="false" indent="0" shrinkToFit="false"/>
      <protection locked="true" hidden="false"/>
    </xf>
    <xf numFmtId="164" fontId="15" fillId="0" borderId="21" xfId="0" applyFont="true" applyBorder="true" applyAlignment="true" applyProtection="true">
      <alignment horizontal="left" vertical="center" textRotation="0" wrapText="false" indent="0" shrinkToFit="false"/>
      <protection locked="true" hidden="false"/>
    </xf>
    <xf numFmtId="164" fontId="18" fillId="9" borderId="11" xfId="0" applyFont="true" applyBorder="true" applyAlignment="true" applyProtection="true">
      <alignment horizontal="center" vertical="bottom" textRotation="0" wrapText="true" indent="0" shrinkToFit="false"/>
      <protection locked="true" hidden="false"/>
    </xf>
    <xf numFmtId="164" fontId="16" fillId="10" borderId="15" xfId="0" applyFont="true" applyBorder="true" applyAlignment="true" applyProtection="true">
      <alignment horizontal="center" vertical="bottom" textRotation="0" wrapText="true" indent="0" shrinkToFit="false"/>
      <protection locked="true" hidden="false"/>
    </xf>
    <xf numFmtId="164" fontId="16" fillId="10" borderId="14" xfId="0" applyFont="true" applyBorder="true" applyAlignment="true" applyProtection="true">
      <alignment horizontal="center" vertical="bottom" textRotation="0" wrapText="false" indent="0" shrinkToFit="false"/>
      <protection locked="true" hidden="false"/>
    </xf>
    <xf numFmtId="166" fontId="16" fillId="10" borderId="15" xfId="0" applyFont="true" applyBorder="true" applyAlignment="true" applyProtection="true">
      <alignment horizontal="center" vertical="bottom" textRotation="0" wrapText="false" indent="0" shrinkToFit="false"/>
      <protection locked="true" hidden="false"/>
    </xf>
    <xf numFmtId="164" fontId="16" fillId="10" borderId="15" xfId="0" applyFont="true" applyBorder="true" applyAlignment="true" applyProtection="true">
      <alignment horizontal="center" vertical="bottom" textRotation="0" wrapText="false" indent="0" shrinkToFit="false"/>
      <protection locked="true" hidden="false"/>
    </xf>
    <xf numFmtId="167" fontId="16" fillId="10" borderId="12" xfId="0" applyFont="true" applyBorder="true" applyAlignment="true" applyProtection="true">
      <alignment horizontal="center" vertical="center" textRotation="0" wrapText="false" indent="0" shrinkToFit="false"/>
      <protection locked="true" hidden="false"/>
    </xf>
    <xf numFmtId="167" fontId="16" fillId="10" borderId="17" xfId="0" applyFont="true" applyBorder="true" applyAlignment="true" applyProtection="true">
      <alignment horizontal="center" vertical="bottom" textRotation="0" wrapText="false" indent="0" shrinkToFit="false"/>
      <protection locked="true" hidden="false"/>
    </xf>
    <xf numFmtId="164" fontId="16" fillId="0" borderId="26" xfId="0" applyFont="true" applyBorder="true" applyAlignment="true" applyProtection="true">
      <alignment horizontal="center" vertical="bottom" textRotation="0" wrapText="false" indent="0" shrinkToFit="false"/>
      <protection locked="true" hidden="false"/>
    </xf>
    <xf numFmtId="169" fontId="19" fillId="10" borderId="19" xfId="0" applyFont="true" applyBorder="true" applyAlignment="true" applyProtection="true">
      <alignment horizontal="center" vertical="center" textRotation="0" wrapText="false" indent="0" shrinkToFit="false"/>
      <protection locked="true" hidden="false"/>
    </xf>
    <xf numFmtId="164" fontId="16" fillId="7" borderId="38" xfId="0" applyFont="true" applyBorder="true" applyAlignment="true" applyProtection="true">
      <alignment horizontal="center" vertical="bottom" textRotation="0" wrapText="false" indent="0" shrinkToFit="false"/>
      <protection locked="true" hidden="false"/>
    </xf>
    <xf numFmtId="167" fontId="15" fillId="0" borderId="35" xfId="0" applyFont="true" applyBorder="true" applyAlignment="true" applyProtection="true">
      <alignment horizontal="center" vertical="bottom" textRotation="0" wrapText="false" indent="0" shrinkToFit="false"/>
      <protection locked="true" hidden="false"/>
    </xf>
    <xf numFmtId="164" fontId="16" fillId="10" borderId="32" xfId="0" applyFont="true" applyBorder="true" applyAlignment="true" applyProtection="true">
      <alignment horizontal="center" vertical="bottom" textRotation="0" wrapText="true" indent="0" shrinkToFit="false"/>
      <protection locked="true" hidden="false"/>
    </xf>
    <xf numFmtId="164" fontId="16" fillId="10" borderId="30" xfId="0" applyFont="true" applyBorder="true" applyAlignment="true" applyProtection="true">
      <alignment horizontal="center" vertical="bottom" textRotation="0" wrapText="false" indent="0" shrinkToFit="false"/>
      <protection locked="true" hidden="false"/>
    </xf>
    <xf numFmtId="166" fontId="16" fillId="10" borderId="32" xfId="0" applyFont="true" applyBorder="true" applyAlignment="true" applyProtection="true">
      <alignment horizontal="center" vertical="bottom" textRotation="0" wrapText="false" indent="0" shrinkToFit="false"/>
      <protection locked="true" hidden="false"/>
    </xf>
    <xf numFmtId="164" fontId="16" fillId="0" borderId="35" xfId="0" applyFont="true" applyBorder="true" applyAlignment="true" applyProtection="true">
      <alignment horizontal="center" vertical="bottom" textRotation="0" wrapText="false" indent="0" shrinkToFit="false"/>
      <protection locked="true" hidden="false"/>
    </xf>
    <xf numFmtId="164" fontId="15" fillId="8" borderId="12" xfId="0" applyFont="true" applyBorder="true" applyAlignment="true" applyProtection="true">
      <alignment horizontal="general" vertical="bottom" textRotation="0" wrapText="false" indent="0" shrinkToFit="false"/>
      <protection locked="true" hidden="false"/>
    </xf>
    <xf numFmtId="164" fontId="15" fillId="8" borderId="14" xfId="0" applyFont="true" applyBorder="true" applyAlignment="true" applyProtection="true">
      <alignment horizontal="general" vertical="bottom" textRotation="0" wrapText="false" indent="0" shrinkToFit="false"/>
      <protection locked="true" hidden="false"/>
    </xf>
    <xf numFmtId="164" fontId="21" fillId="11" borderId="11" xfId="0" applyFont="true" applyBorder="true" applyAlignment="true" applyProtection="true">
      <alignment horizontal="center" vertical="bottom" textRotation="0" wrapText="true" indent="0" shrinkToFit="false"/>
      <protection locked="true" hidden="false"/>
    </xf>
    <xf numFmtId="164" fontId="16" fillId="12" borderId="15" xfId="0" applyFont="true" applyBorder="true" applyAlignment="true" applyProtection="true">
      <alignment horizontal="center" vertical="bottom" textRotation="0" wrapText="true" indent="0" shrinkToFit="false"/>
      <protection locked="true" hidden="false"/>
    </xf>
    <xf numFmtId="164" fontId="16" fillId="12" borderId="14" xfId="0" applyFont="true" applyBorder="true" applyAlignment="true" applyProtection="true">
      <alignment horizontal="center" vertical="bottom" textRotation="0" wrapText="false" indent="0" shrinkToFit="false"/>
      <protection locked="true" hidden="false"/>
    </xf>
    <xf numFmtId="166" fontId="16" fillId="12" borderId="15" xfId="0" applyFont="true" applyBorder="true" applyAlignment="true" applyProtection="true">
      <alignment horizontal="center" vertical="bottom" textRotation="0" wrapText="false" indent="0" shrinkToFit="false"/>
      <protection locked="true" hidden="false"/>
    </xf>
    <xf numFmtId="164" fontId="16" fillId="12" borderId="15" xfId="0" applyFont="true" applyBorder="true" applyAlignment="true" applyProtection="true">
      <alignment horizontal="center" vertical="bottom" textRotation="0" wrapText="false" indent="0" shrinkToFit="false"/>
      <protection locked="true" hidden="false"/>
    </xf>
    <xf numFmtId="167" fontId="16" fillId="12" borderId="12" xfId="0" applyFont="true" applyBorder="true" applyAlignment="true" applyProtection="true">
      <alignment horizontal="center" vertical="center" textRotation="0" wrapText="false" indent="0" shrinkToFit="false"/>
      <protection locked="true" hidden="false"/>
    </xf>
    <xf numFmtId="167" fontId="16" fillId="12" borderId="17" xfId="0" applyFont="true" applyBorder="true" applyAlignment="true" applyProtection="true">
      <alignment horizontal="center" vertical="bottom" textRotation="0" wrapText="false" indent="0" shrinkToFit="false"/>
      <protection locked="true" hidden="false"/>
    </xf>
    <xf numFmtId="169" fontId="19" fillId="12" borderId="19" xfId="0" applyFont="true" applyBorder="true" applyAlignment="true" applyProtection="true">
      <alignment horizontal="center" vertical="center" textRotation="0" wrapText="false" indent="0" shrinkToFit="false"/>
      <protection locked="true" hidden="false"/>
    </xf>
    <xf numFmtId="164" fontId="16" fillId="12" borderId="32" xfId="0" applyFont="true" applyBorder="true" applyAlignment="true" applyProtection="true">
      <alignment horizontal="center" vertical="bottom" textRotation="0" wrapText="true" indent="0" shrinkToFit="false"/>
      <protection locked="true" hidden="false"/>
    </xf>
    <xf numFmtId="164" fontId="16" fillId="13" borderId="30" xfId="0" applyFont="true" applyBorder="true" applyAlignment="true" applyProtection="true">
      <alignment horizontal="center" vertical="bottom" textRotation="0" wrapText="false" indent="0" shrinkToFit="false"/>
      <protection locked="true" hidden="false"/>
    </xf>
    <xf numFmtId="164" fontId="16" fillId="13" borderId="32" xfId="0" applyFont="true" applyBorder="true" applyAlignment="true" applyProtection="true">
      <alignment horizontal="center" vertical="bottom" textRotation="0" wrapText="false" indent="0" shrinkToFit="false"/>
      <protection locked="true" hidden="false"/>
    </xf>
    <xf numFmtId="166" fontId="16" fillId="13" borderId="32" xfId="0" applyFont="true" applyBorder="true" applyAlignment="true" applyProtection="true">
      <alignment horizontal="center" vertical="bottom" textRotation="0" wrapText="false" indent="0" shrinkToFit="false"/>
      <protection locked="true" hidden="false"/>
    </xf>
    <xf numFmtId="164" fontId="18" fillId="14" borderId="11" xfId="0" applyFont="true" applyBorder="true" applyAlignment="true" applyProtection="true">
      <alignment horizontal="center" vertical="bottom" textRotation="0" wrapText="true" indent="0" shrinkToFit="false"/>
      <protection locked="true" hidden="false"/>
    </xf>
    <xf numFmtId="164" fontId="16" fillId="15" borderId="15" xfId="0" applyFont="true" applyBorder="true" applyAlignment="true" applyProtection="true">
      <alignment horizontal="center" vertical="bottom" textRotation="0" wrapText="true" indent="0" shrinkToFit="false"/>
      <protection locked="true" hidden="false"/>
    </xf>
    <xf numFmtId="164" fontId="16" fillId="15" borderId="14" xfId="0" applyFont="true" applyBorder="true" applyAlignment="true" applyProtection="true">
      <alignment horizontal="center" vertical="bottom" textRotation="0" wrapText="false" indent="0" shrinkToFit="false"/>
      <protection locked="true" hidden="false"/>
    </xf>
    <xf numFmtId="166" fontId="16" fillId="15" borderId="15" xfId="0" applyFont="true" applyBorder="true" applyAlignment="true" applyProtection="true">
      <alignment horizontal="center" vertical="bottom" textRotation="0" wrapText="false" indent="0" shrinkToFit="false"/>
      <protection locked="true" hidden="false"/>
    </xf>
    <xf numFmtId="164" fontId="16" fillId="15" borderId="15" xfId="0" applyFont="true" applyBorder="true" applyAlignment="true" applyProtection="true">
      <alignment horizontal="center" vertical="bottom" textRotation="0" wrapText="false" indent="0" shrinkToFit="false"/>
      <protection locked="true" hidden="false"/>
    </xf>
    <xf numFmtId="167" fontId="16" fillId="16" borderId="12" xfId="0" applyFont="true" applyBorder="true" applyAlignment="true" applyProtection="true">
      <alignment horizontal="center" vertical="center" textRotation="0" wrapText="false" indent="0" shrinkToFit="false"/>
      <protection locked="true" hidden="false"/>
    </xf>
    <xf numFmtId="167" fontId="16" fillId="16" borderId="17" xfId="0" applyFont="true" applyBorder="true" applyAlignment="true" applyProtection="true">
      <alignment horizontal="center" vertical="top" textRotation="0" wrapText="false" indent="0" shrinkToFit="false"/>
      <protection locked="true" hidden="false"/>
    </xf>
    <xf numFmtId="167" fontId="16" fillId="0" borderId="18" xfId="0" applyFont="true" applyBorder="true" applyAlignment="true" applyProtection="true">
      <alignment horizontal="center" vertical="top" textRotation="0" wrapText="false" indent="0" shrinkToFit="false"/>
      <protection locked="true" hidden="false"/>
    </xf>
    <xf numFmtId="169" fontId="19" fillId="16" borderId="19" xfId="0" applyFont="true" applyBorder="true" applyAlignment="true" applyProtection="true">
      <alignment horizontal="center" vertical="center" textRotation="0" wrapText="false" indent="0" shrinkToFit="false"/>
      <protection locked="true" hidden="false"/>
    </xf>
    <xf numFmtId="164" fontId="15" fillId="7" borderId="21" xfId="0" applyFont="true" applyBorder="true" applyAlignment="true" applyProtection="true">
      <alignment horizontal="center" vertical="top" textRotation="0" wrapText="false" indent="0" shrinkToFit="false"/>
      <protection locked="true" hidden="false"/>
    </xf>
    <xf numFmtId="164" fontId="16" fillId="7" borderId="35" xfId="0" applyFont="true" applyBorder="true" applyAlignment="true" applyProtection="true">
      <alignment horizontal="center" vertical="top" textRotation="0" wrapText="false" indent="0" shrinkToFit="false"/>
      <protection locked="true" hidden="false"/>
    </xf>
    <xf numFmtId="164" fontId="15" fillId="7" borderId="35" xfId="0" applyFont="true" applyBorder="true" applyAlignment="true" applyProtection="true">
      <alignment horizontal="center" vertical="top" textRotation="0" wrapText="false" indent="0" shrinkToFit="false"/>
      <protection locked="true" hidden="false"/>
    </xf>
    <xf numFmtId="164" fontId="15" fillId="8" borderId="29" xfId="0" applyFont="true" applyBorder="true" applyAlignment="true" applyProtection="true">
      <alignment horizontal="general" vertical="top" textRotation="0" wrapText="false" indent="0" shrinkToFit="false"/>
      <protection locked="true" hidden="false"/>
    </xf>
    <xf numFmtId="164" fontId="15" fillId="8" borderId="11" xfId="0" applyFont="true" applyBorder="true" applyAlignment="true" applyProtection="true">
      <alignment horizontal="general" vertical="top" textRotation="0" wrapText="false" indent="0" shrinkToFit="false"/>
      <protection locked="true" hidden="false"/>
    </xf>
    <xf numFmtId="164" fontId="15" fillId="8" borderId="30" xfId="0" applyFont="true" applyBorder="true" applyAlignment="true" applyProtection="true">
      <alignment horizontal="general" vertical="top" textRotation="0" wrapText="false" indent="0" shrinkToFit="false"/>
      <protection locked="true" hidden="false"/>
    </xf>
    <xf numFmtId="166" fontId="15" fillId="0" borderId="25" xfId="0" applyFont="true" applyBorder="true" applyAlignment="true" applyProtection="true">
      <alignment horizontal="center" vertical="top" textRotation="0" wrapText="false" indent="0" shrinkToFit="false"/>
      <protection locked="true" hidden="false"/>
    </xf>
    <xf numFmtId="164" fontId="15" fillId="0" borderId="14" xfId="0" applyFont="true" applyBorder="true" applyAlignment="true" applyProtection="true">
      <alignment horizontal="left" vertical="top" textRotation="0" wrapText="false" indent="0" shrinkToFit="false"/>
      <protection locked="true" hidden="false"/>
    </xf>
    <xf numFmtId="166" fontId="15" fillId="7" borderId="36" xfId="0" applyFont="true" applyBorder="true" applyAlignment="true" applyProtection="true">
      <alignment horizontal="center" vertical="top" textRotation="0" wrapText="false" indent="0" shrinkToFit="false"/>
      <protection locked="true" hidden="false"/>
    </xf>
    <xf numFmtId="164" fontId="16" fillId="15" borderId="32" xfId="0" applyFont="true" applyBorder="true" applyAlignment="true" applyProtection="true">
      <alignment horizontal="center" vertical="bottom" textRotation="0" wrapText="true" indent="0" shrinkToFit="false"/>
      <protection locked="true" hidden="false"/>
    </xf>
    <xf numFmtId="164" fontId="16" fillId="15" borderId="30" xfId="0" applyFont="true" applyBorder="true" applyAlignment="true" applyProtection="true">
      <alignment horizontal="center" vertical="bottom" textRotation="0" wrapText="false" indent="0" shrinkToFit="false"/>
      <protection locked="true" hidden="false"/>
    </xf>
    <xf numFmtId="166" fontId="16" fillId="15" borderId="32" xfId="0" applyFont="true" applyBorder="true" applyAlignment="true" applyProtection="true">
      <alignment horizontal="center" vertical="bottom" textRotation="0" wrapText="false" indent="0" shrinkToFit="false"/>
      <protection locked="true" hidden="false"/>
    </xf>
    <xf numFmtId="167" fontId="15" fillId="0" borderId="25" xfId="0" applyFont="true" applyBorder="true" applyAlignment="true" applyProtection="true">
      <alignment horizontal="center" vertical="top" textRotation="0" wrapText="false" indent="0" shrinkToFit="false"/>
      <protection locked="true" hidden="false"/>
    </xf>
    <xf numFmtId="164" fontId="18" fillId="17" borderId="11" xfId="0" applyFont="true" applyBorder="true" applyAlignment="true" applyProtection="true">
      <alignment horizontal="center" vertical="bottom" textRotation="0" wrapText="true" indent="0" shrinkToFit="false"/>
      <protection locked="true" hidden="false"/>
    </xf>
    <xf numFmtId="164" fontId="16" fillId="18" borderId="15" xfId="0" applyFont="true" applyBorder="true" applyAlignment="true" applyProtection="true">
      <alignment horizontal="center" vertical="bottom" textRotation="0" wrapText="true" indent="0" shrinkToFit="false"/>
      <protection locked="true" hidden="false"/>
    </xf>
    <xf numFmtId="164" fontId="16" fillId="18" borderId="14" xfId="0" applyFont="true" applyBorder="true" applyAlignment="true" applyProtection="true">
      <alignment horizontal="center" vertical="bottom" textRotation="0" wrapText="false" indent="0" shrinkToFit="false"/>
      <protection locked="true" hidden="false"/>
    </xf>
    <xf numFmtId="166" fontId="16" fillId="18" borderId="15" xfId="0" applyFont="true" applyBorder="true" applyAlignment="true" applyProtection="true">
      <alignment horizontal="center" vertical="bottom" textRotation="0" wrapText="false" indent="0" shrinkToFit="false"/>
      <protection locked="true" hidden="false"/>
    </xf>
    <xf numFmtId="164" fontId="16" fillId="18" borderId="15" xfId="0" applyFont="true" applyBorder="true" applyAlignment="true" applyProtection="true">
      <alignment horizontal="center" vertical="bottom" textRotation="0" wrapText="false" indent="0" shrinkToFit="false"/>
      <protection locked="true" hidden="false"/>
    </xf>
    <xf numFmtId="167" fontId="16" fillId="18" borderId="12" xfId="0" applyFont="true" applyBorder="true" applyAlignment="true" applyProtection="true">
      <alignment horizontal="center" vertical="center" textRotation="0" wrapText="false" indent="0" shrinkToFit="false"/>
      <protection locked="true" hidden="false"/>
    </xf>
    <xf numFmtId="167" fontId="16" fillId="18" borderId="17" xfId="0" applyFont="true" applyBorder="true" applyAlignment="true" applyProtection="true">
      <alignment horizontal="center" vertical="top" textRotation="0" wrapText="false" indent="0" shrinkToFit="false"/>
      <protection locked="true" hidden="false"/>
    </xf>
    <xf numFmtId="169" fontId="19" fillId="18" borderId="19" xfId="0" applyFont="true" applyBorder="true" applyAlignment="true" applyProtection="true">
      <alignment horizontal="center" vertical="center" textRotation="0" wrapText="false" indent="0" shrinkToFit="false"/>
      <protection locked="true" hidden="false"/>
    </xf>
    <xf numFmtId="164" fontId="15" fillId="7" borderId="38" xfId="0" applyFont="true" applyBorder="true" applyAlignment="true" applyProtection="true">
      <alignment horizontal="center" vertical="bottom" textRotation="0" wrapText="false" indent="0" shrinkToFit="false"/>
      <protection locked="true" hidden="false"/>
    </xf>
    <xf numFmtId="166" fontId="15" fillId="7" borderId="39" xfId="0" applyFont="true" applyBorder="true" applyAlignment="true" applyProtection="true">
      <alignment horizontal="center" vertical="bottom" textRotation="0" wrapText="false" indent="0" shrinkToFit="false"/>
      <protection locked="true" hidden="false"/>
    </xf>
    <xf numFmtId="164" fontId="16" fillId="18" borderId="32" xfId="0" applyFont="true" applyBorder="true" applyAlignment="true" applyProtection="true">
      <alignment horizontal="center" vertical="bottom" textRotation="0" wrapText="true" indent="0" shrinkToFit="false"/>
      <protection locked="true" hidden="false"/>
    </xf>
    <xf numFmtId="164" fontId="16" fillId="18" borderId="30" xfId="0" applyFont="true" applyBorder="true" applyAlignment="true" applyProtection="true">
      <alignment horizontal="center" vertical="bottom" textRotation="0" wrapText="false" indent="0" shrinkToFit="false"/>
      <protection locked="true" hidden="false"/>
    </xf>
    <xf numFmtId="166" fontId="16" fillId="18" borderId="32" xfId="0" applyFont="true" applyBorder="true" applyAlignment="true" applyProtection="true">
      <alignment horizontal="center" vertical="bottom" textRotation="0" wrapText="false" indent="0" shrinkToFit="false"/>
      <protection locked="true" hidden="false"/>
    </xf>
    <xf numFmtId="167" fontId="13" fillId="0" borderId="0" xfId="0" applyFont="true" applyBorder="true" applyAlignment="true" applyProtection="true">
      <alignment horizontal="center" vertical="center" textRotation="0" wrapText="false" indent="0" shrinkToFit="false"/>
      <protection locked="true" hidden="false"/>
    </xf>
    <xf numFmtId="164" fontId="15" fillId="0" borderId="11" xfId="0" applyFont="true" applyBorder="true" applyAlignment="true" applyProtection="true">
      <alignment horizontal="general" vertical="bottom" textRotation="0" wrapText="false" indent="0" shrinkToFit="false"/>
      <protection locked="true" hidden="false"/>
    </xf>
    <xf numFmtId="164" fontId="22" fillId="4" borderId="40" xfId="21" applyFont="true" applyBorder="true" applyAlignment="true" applyProtection="false">
      <alignment horizontal="left" vertical="center" textRotation="0" wrapText="true" indent="0" shrinkToFit="false"/>
      <protection locked="true" hidden="false"/>
    </xf>
    <xf numFmtId="164" fontId="15" fillId="0" borderId="41" xfId="0" applyFont="true" applyBorder="true" applyAlignment="true" applyProtection="true">
      <alignment horizontal="general" vertical="bottom" textRotation="0" wrapText="false" indent="0" shrinkToFit="false"/>
      <protection locked="true" hidden="false"/>
    </xf>
    <xf numFmtId="167" fontId="16" fillId="0" borderId="0" xfId="0" applyFont="true" applyBorder="true" applyAlignment="true" applyProtection="true">
      <alignment horizontal="right" vertical="bottom" textRotation="0" wrapText="false" indent="0" shrinkToFit="false"/>
      <protection locked="true" hidden="false"/>
    </xf>
    <xf numFmtId="167" fontId="15" fillId="0" borderId="0" xfId="0" applyFont="true" applyBorder="true" applyAlignment="true" applyProtection="true">
      <alignment horizontal="general" vertical="bottom" textRotation="0" wrapText="false" indent="0" shrinkToFit="false"/>
      <protection locked="true" hidden="false"/>
    </xf>
    <xf numFmtId="170" fontId="15" fillId="0" borderId="0" xfId="0" applyFont="true" applyBorder="true" applyAlignment="true" applyProtection="true">
      <alignment horizontal="left" vertical="bottom" textRotation="0" wrapText="false" indent="0" shrinkToFit="false"/>
      <protection locked="true" hidden="false"/>
    </xf>
    <xf numFmtId="167" fontId="15" fillId="0" borderId="0" xfId="0" applyFont="true" applyBorder="true" applyAlignment="true" applyProtection="true">
      <alignment horizontal="left" vertical="bottom" textRotation="0" wrapText="false" indent="0" shrinkToFit="false"/>
      <protection locked="true" hidden="false"/>
    </xf>
    <xf numFmtId="164" fontId="16" fillId="0" borderId="0" xfId="0" applyFont="true" applyBorder="true" applyAlignment="true" applyProtection="true">
      <alignment horizontal="right" vertical="bottom" textRotation="0" wrapText="false" indent="0" shrinkToFit="false"/>
      <protection locked="true" hidden="false"/>
    </xf>
    <xf numFmtId="164" fontId="24" fillId="8" borderId="40" xfId="0" applyFont="true" applyBorder="true" applyAlignment="true" applyProtection="true">
      <alignment horizontal="center" vertical="center" textRotation="0" wrapText="true" indent="0" shrinkToFit="false"/>
      <protection locked="true" hidden="false"/>
    </xf>
    <xf numFmtId="164" fontId="25" fillId="8" borderId="40" xfId="0" applyFont="true" applyBorder="true" applyAlignment="true" applyProtection="true">
      <alignment horizontal="center" vertical="center" textRotation="0" wrapText="false" indent="0" shrinkToFit="false"/>
      <protection locked="true" hidden="false"/>
    </xf>
    <xf numFmtId="164" fontId="16" fillId="19" borderId="42" xfId="0" applyFont="true" applyBorder="true" applyAlignment="true" applyProtection="true">
      <alignment horizontal="center" vertical="center" textRotation="0" wrapText="true" indent="0" shrinkToFit="false"/>
      <protection locked="true" hidden="false"/>
    </xf>
    <xf numFmtId="164" fontId="16" fillId="19" borderId="15" xfId="0" applyFont="true" applyBorder="true" applyAlignment="true" applyProtection="true">
      <alignment horizontal="center" vertical="bottom" textRotation="0" wrapText="true" indent="0" shrinkToFit="false"/>
      <protection locked="true" hidden="false"/>
    </xf>
    <xf numFmtId="164" fontId="16" fillId="19" borderId="32" xfId="0" applyFont="true" applyBorder="true" applyAlignment="true" applyProtection="true">
      <alignment horizontal="center" vertical="center" textRotation="0" wrapText="false" indent="0" shrinkToFit="false"/>
      <protection locked="true" hidden="false"/>
    </xf>
    <xf numFmtId="164" fontId="16" fillId="0" borderId="27" xfId="0" applyFont="true" applyBorder="true" applyAlignment="true" applyProtection="true">
      <alignment horizontal="center" vertical="bottom"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18" fillId="5" borderId="15" xfId="0" applyFont="true" applyBorder="true" applyAlignment="true" applyProtection="true">
      <alignment horizontal="center" vertical="center" textRotation="0" wrapText="false" indent="0" shrinkToFit="false"/>
      <protection locked="true" hidden="false"/>
    </xf>
    <xf numFmtId="167" fontId="16" fillId="6" borderId="15" xfId="0" applyFont="true" applyBorder="true" applyAlignment="true" applyProtection="true">
      <alignment horizontal="left" vertical="center" textRotation="0" wrapText="false" indent="0" shrinkToFit="false"/>
      <protection locked="true" hidden="false"/>
    </xf>
    <xf numFmtId="169" fontId="16" fillId="0" borderId="15" xfId="0" applyFont="true" applyBorder="true" applyAlignment="true" applyProtection="true">
      <alignment horizontal="center" vertical="center" textRotation="0" wrapText="false" indent="0" shrinkToFit="false"/>
      <protection locked="true" hidden="false"/>
    </xf>
    <xf numFmtId="164" fontId="15" fillId="0" borderId="27" xfId="0" applyFont="true" applyBorder="true" applyAlignment="true" applyProtection="true">
      <alignment horizontal="general" vertical="bottom" textRotation="0" wrapText="false" indent="0" shrinkToFit="false"/>
      <protection locked="true" hidden="false"/>
    </xf>
    <xf numFmtId="167" fontId="18" fillId="9" borderId="15" xfId="0" applyFont="true" applyBorder="true" applyAlignment="true" applyProtection="true">
      <alignment horizontal="center" vertical="center" textRotation="0" wrapText="false" indent="0" shrinkToFit="false"/>
      <protection locked="true" hidden="false"/>
    </xf>
    <xf numFmtId="167" fontId="18" fillId="11" borderId="15" xfId="0" applyFont="true" applyBorder="true" applyAlignment="true" applyProtection="true">
      <alignment horizontal="center" vertical="center" textRotation="0" wrapText="false" indent="0" shrinkToFit="false"/>
      <protection locked="true" hidden="false"/>
    </xf>
    <xf numFmtId="167" fontId="16" fillId="10" borderId="15" xfId="0" applyFont="true" applyBorder="true" applyAlignment="true" applyProtection="true">
      <alignment horizontal="general" vertical="center" textRotation="0" wrapText="false" indent="0" shrinkToFit="false"/>
      <protection locked="true" hidden="false"/>
    </xf>
    <xf numFmtId="167" fontId="18" fillId="14" borderId="15" xfId="0" applyFont="true" applyBorder="true" applyAlignment="true" applyProtection="true">
      <alignment horizontal="center" vertical="center" textRotation="0" wrapText="false" indent="0" shrinkToFit="false"/>
      <protection locked="true" hidden="false"/>
    </xf>
    <xf numFmtId="167" fontId="18" fillId="17" borderId="15" xfId="0" applyFont="true" applyBorder="true" applyAlignment="true" applyProtection="true">
      <alignment horizontal="center" vertical="center" textRotation="0" wrapText="false" indent="0" shrinkToFit="false"/>
      <protection locked="true" hidden="false"/>
    </xf>
    <xf numFmtId="167" fontId="16" fillId="12" borderId="15" xfId="0" applyFont="true" applyBorder="true" applyAlignment="true" applyProtection="true">
      <alignment horizontal="general" vertical="center" textRotation="0" wrapText="false" indent="0" shrinkToFit="false"/>
      <protection locked="true" hidden="false"/>
    </xf>
    <xf numFmtId="167" fontId="16" fillId="12" borderId="15" xfId="0" applyFont="true" applyBorder="true" applyAlignment="true" applyProtection="true">
      <alignment horizontal="left" vertical="center" textRotation="0" wrapText="false" indent="0" shrinkToFit="false"/>
      <protection locked="true" hidden="false"/>
    </xf>
    <xf numFmtId="167" fontId="16" fillId="15" borderId="15" xfId="0" applyFont="true" applyBorder="true" applyAlignment="true" applyProtection="true">
      <alignment horizontal="left" vertical="center" textRotation="0" wrapText="false" indent="0" shrinkToFit="false"/>
      <protection locked="true" hidden="false"/>
    </xf>
    <xf numFmtId="167" fontId="16" fillId="18" borderId="15" xfId="0" applyFont="true" applyBorder="true" applyAlignment="true" applyProtection="true">
      <alignment horizontal="general" vertical="center" textRotation="0" wrapText="false" indent="0" shrinkToFit="false"/>
      <protection locked="true" hidden="false"/>
    </xf>
    <xf numFmtId="164" fontId="10" fillId="0" borderId="0" xfId="0" applyFont="true" applyBorder="true" applyAlignment="true" applyProtection="true">
      <alignment horizontal="center" vertical="center" textRotation="0" wrapText="false" indent="0" shrinkToFit="false"/>
      <protection locked="true" hidden="false"/>
    </xf>
    <xf numFmtId="167" fontId="13" fillId="0" borderId="0" xfId="0" applyFont="true" applyBorder="true" applyAlignment="true" applyProtection="true">
      <alignment horizontal="left" vertical="top" textRotation="0" wrapText="false" indent="0" shrinkToFit="false"/>
      <protection locked="true" hidden="false"/>
    </xf>
    <xf numFmtId="164" fontId="13" fillId="0" borderId="0"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true" applyAlignment="true" applyProtection="true">
      <alignment horizontal="left" vertical="top" textRotation="0" wrapText="false" indent="0" shrinkToFit="false"/>
      <protection locked="true" hidden="false"/>
    </xf>
    <xf numFmtId="164" fontId="16" fillId="3" borderId="43" xfId="0" applyFont="true" applyBorder="true" applyAlignment="true" applyProtection="true">
      <alignment horizontal="left" vertical="top" textRotation="0" wrapText="false" indent="0" shrinkToFit="false"/>
      <protection locked="true" hidden="false"/>
    </xf>
    <xf numFmtId="164" fontId="16" fillId="3" borderId="44" xfId="0" applyFont="true" applyBorder="true" applyAlignment="true" applyProtection="true">
      <alignment horizontal="center" vertical="center" textRotation="0" wrapText="false" indent="0" shrinkToFit="false"/>
      <protection locked="true" hidden="false"/>
    </xf>
    <xf numFmtId="164" fontId="16" fillId="3" borderId="44" xfId="0" applyFont="true" applyBorder="true" applyAlignment="true" applyProtection="true">
      <alignment horizontal="general" vertical="bottom" textRotation="0" wrapText="false" indent="0" shrinkToFit="false"/>
      <protection locked="true" hidden="false"/>
    </xf>
    <xf numFmtId="164" fontId="15" fillId="4" borderId="45" xfId="0" applyFont="true" applyBorder="true" applyAlignment="true" applyProtection="true">
      <alignment horizontal="left" vertical="top" textRotation="0" wrapText="false" indent="0" shrinkToFit="false"/>
      <protection locked="true" hidden="false"/>
    </xf>
    <xf numFmtId="164" fontId="15" fillId="4" borderId="41" xfId="0" applyFont="true" applyBorder="true" applyAlignment="true" applyProtection="true">
      <alignment horizontal="center" vertical="center" textRotation="0" wrapText="false" indent="0" shrinkToFit="false"/>
      <protection locked="true" hidden="false"/>
    </xf>
    <xf numFmtId="164" fontId="15" fillId="4" borderId="41" xfId="0" applyFont="true" applyBorder="true" applyAlignment="true" applyProtection="true">
      <alignment horizontal="general" vertical="bottom" textRotation="0" wrapText="false" indent="0" shrinkToFit="false"/>
      <protection locked="true" hidden="false"/>
    </xf>
    <xf numFmtId="164" fontId="15" fillId="4" borderId="46" xfId="0" applyFont="true" applyBorder="true" applyAlignment="true" applyProtection="true">
      <alignment horizontal="left" vertical="top" textRotation="0" wrapText="false" indent="0" shrinkToFit="false"/>
      <protection locked="true" hidden="false"/>
    </xf>
    <xf numFmtId="164" fontId="15" fillId="4" borderId="0" xfId="0" applyFont="true" applyBorder="true" applyAlignment="true" applyProtection="true">
      <alignment horizontal="center" vertical="center" textRotation="0" wrapText="false" indent="0" shrinkToFit="false"/>
      <protection locked="true" hidden="false"/>
    </xf>
    <xf numFmtId="164" fontId="15" fillId="4" borderId="0" xfId="0" applyFont="true" applyBorder="true" applyAlignment="true" applyProtection="true">
      <alignment horizontal="general" vertical="bottom" textRotation="0" wrapText="false" indent="0" shrinkToFit="false"/>
      <protection locked="true" hidden="false"/>
    </xf>
    <xf numFmtId="164" fontId="15" fillId="4" borderId="47" xfId="0" applyFont="true" applyBorder="true" applyAlignment="true" applyProtection="true">
      <alignment horizontal="left" vertical="top" textRotation="0" wrapText="false" indent="0" shrinkToFit="false"/>
      <protection locked="true" hidden="false"/>
    </xf>
    <xf numFmtId="164" fontId="15" fillId="4" borderId="48" xfId="0" applyFont="true" applyBorder="true" applyAlignment="true" applyProtection="true">
      <alignment horizontal="center" vertical="center" textRotation="0" wrapText="false" indent="0" shrinkToFit="false"/>
      <protection locked="true" hidden="false"/>
    </xf>
    <xf numFmtId="164" fontId="15" fillId="4" borderId="48" xfId="0" applyFont="true" applyBorder="true" applyAlignment="true" applyProtection="true">
      <alignment horizontal="general" vertical="bottom" textRotation="0" wrapText="false" indent="0" shrinkToFit="false"/>
      <protection locked="true" hidden="false"/>
    </xf>
    <xf numFmtId="164" fontId="16" fillId="0" borderId="5" xfId="0" applyFont="true" applyBorder="true" applyAlignment="true" applyProtection="true">
      <alignment horizontal="left" vertical="top" textRotation="0" wrapText="false" indent="0" shrinkToFit="false"/>
      <protection locked="true" hidden="false"/>
    </xf>
    <xf numFmtId="164" fontId="16" fillId="0" borderId="49" xfId="0" applyFont="true" applyBorder="true" applyAlignment="true" applyProtection="true">
      <alignment horizontal="center" vertical="center" textRotation="0" wrapText="false" indent="0" shrinkToFit="false"/>
      <protection locked="true" hidden="false"/>
    </xf>
    <xf numFmtId="164" fontId="15" fillId="0" borderId="6" xfId="0" applyFont="true" applyBorder="true" applyAlignment="true" applyProtection="true">
      <alignment horizontal="left" vertical="bottom" textRotation="0" wrapText="false" indent="0" shrinkToFit="false"/>
      <protection locked="true" hidden="false"/>
    </xf>
    <xf numFmtId="164" fontId="16" fillId="0" borderId="7" xfId="0" applyFont="true" applyBorder="true" applyAlignment="true" applyProtection="true">
      <alignment horizontal="left" vertical="top" textRotation="0" wrapText="false" indent="0" shrinkToFit="false"/>
      <protection locked="true" hidden="false"/>
    </xf>
    <xf numFmtId="164" fontId="15" fillId="0" borderId="28" xfId="0" applyFont="true" applyBorder="true" applyAlignment="true" applyProtection="true">
      <alignment horizontal="center" vertical="center" textRotation="0" wrapText="false" indent="0" shrinkToFit="false"/>
      <protection locked="true" hidden="false"/>
    </xf>
    <xf numFmtId="170" fontId="15" fillId="0" borderId="6" xfId="0" applyFont="true" applyBorder="true" applyAlignment="true" applyProtection="true">
      <alignment horizontal="left" vertical="bottom" textRotation="0" wrapText="false" indent="0" shrinkToFit="false"/>
      <protection locked="true" hidden="false"/>
    </xf>
    <xf numFmtId="164" fontId="16" fillId="0" borderId="28" xfId="0" applyFont="true" applyBorder="true" applyAlignment="true" applyProtection="true">
      <alignment horizontal="center" vertical="center" textRotation="0" wrapText="false" indent="0" shrinkToFit="false"/>
      <protection locked="true" hidden="false"/>
    </xf>
    <xf numFmtId="164" fontId="16" fillId="0" borderId="9" xfId="0" applyFont="true" applyBorder="true" applyAlignment="true" applyProtection="true">
      <alignment horizontal="left" vertical="top" textRotation="0" wrapText="false" indent="0" shrinkToFit="false"/>
      <protection locked="true" hidden="false"/>
    </xf>
    <xf numFmtId="164" fontId="16" fillId="0" borderId="50" xfId="0" applyFont="true" applyBorder="true" applyAlignment="true" applyProtection="true">
      <alignment horizontal="center" vertical="center" textRotation="0" wrapText="false" indent="0" shrinkToFit="false"/>
      <protection locked="true" hidden="false"/>
    </xf>
    <xf numFmtId="164" fontId="15" fillId="0" borderId="51" xfId="0" applyFont="true" applyBorder="true" applyAlignment="true" applyProtection="true">
      <alignment horizontal="left" vertical="bottom" textRotation="0" wrapText="false" indent="0" shrinkToFit="false"/>
      <protection locked="true" hidden="false"/>
    </xf>
    <xf numFmtId="164" fontId="18" fillId="5" borderId="52" xfId="0" applyFont="true" applyBorder="true" applyAlignment="true" applyProtection="true">
      <alignment horizontal="center" vertical="center" textRotation="0" wrapText="true" indent="0" shrinkToFit="false"/>
      <protection locked="true" hidden="false"/>
    </xf>
    <xf numFmtId="164" fontId="18" fillId="5" borderId="52" xfId="0" applyFont="true" applyBorder="true" applyAlignment="true" applyProtection="true">
      <alignment horizontal="general" vertical="bottom" textRotation="0" wrapText="false" indent="0" shrinkToFit="false"/>
      <protection locked="true" hidden="false"/>
    </xf>
    <xf numFmtId="164" fontId="18" fillId="5" borderId="53" xfId="0" applyFont="true" applyBorder="true" applyAlignment="true" applyProtection="true">
      <alignment horizontal="center" vertical="bottom" textRotation="0" wrapText="true" indent="0" shrinkToFit="false"/>
      <protection locked="true" hidden="false"/>
    </xf>
    <xf numFmtId="164" fontId="16" fillId="6" borderId="12" xfId="0" applyFont="true" applyBorder="true" applyAlignment="true" applyProtection="true">
      <alignment horizontal="center" vertical="center" textRotation="0" wrapText="true" indent="0" shrinkToFit="false"/>
      <protection locked="true" hidden="false"/>
    </xf>
    <xf numFmtId="164" fontId="16" fillId="6" borderId="13" xfId="0" applyFont="true" applyBorder="true" applyAlignment="true" applyProtection="true">
      <alignment horizontal="center" vertical="center" textRotation="0" wrapText="true" indent="0" shrinkToFit="false"/>
      <protection locked="true" hidden="false"/>
    </xf>
    <xf numFmtId="164" fontId="16" fillId="6" borderId="19" xfId="0" applyFont="true" applyBorder="true" applyAlignment="true" applyProtection="true">
      <alignment horizontal="center" vertical="bottom" textRotation="0" wrapText="true" indent="0" shrinkToFit="false"/>
      <protection locked="true" hidden="false"/>
    </xf>
    <xf numFmtId="164" fontId="14" fillId="6" borderId="15" xfId="0" applyFont="true" applyBorder="true" applyAlignment="true" applyProtection="true">
      <alignment horizontal="center" vertical="bottom" textRotation="0" wrapText="false" indent="0" shrinkToFit="false"/>
      <protection locked="true" hidden="false"/>
    </xf>
    <xf numFmtId="167" fontId="16" fillId="6" borderId="54" xfId="0" applyFont="true" applyBorder="true" applyAlignment="true" applyProtection="true">
      <alignment horizontal="center" vertical="center" textRotation="0" wrapText="false" indent="0" shrinkToFit="false"/>
      <protection locked="true" hidden="false"/>
    </xf>
    <xf numFmtId="167" fontId="16" fillId="6" borderId="17" xfId="0" applyFont="true" applyBorder="true" applyAlignment="true" applyProtection="true">
      <alignment horizontal="center" vertical="center" textRotation="0" wrapText="false" indent="0" shrinkToFit="false"/>
      <protection locked="true" hidden="false"/>
    </xf>
    <xf numFmtId="164" fontId="16" fillId="0" borderId="22" xfId="0" applyFont="true" applyBorder="true" applyAlignment="true" applyProtection="true">
      <alignment horizontal="center" vertical="bottom" textRotation="0" wrapText="true" indent="0" shrinkToFit="false"/>
      <protection locked="true" hidden="false"/>
    </xf>
    <xf numFmtId="169" fontId="19" fillId="6" borderId="55" xfId="0" applyFont="true" applyBorder="true" applyAlignment="true" applyProtection="true">
      <alignment horizontal="center" vertical="center" textRotation="0" wrapText="false" indent="0" shrinkToFit="false"/>
      <protection locked="true" hidden="false"/>
    </xf>
    <xf numFmtId="164" fontId="16" fillId="0" borderId="37" xfId="0" applyFont="true" applyBorder="true" applyAlignment="true" applyProtection="true">
      <alignment horizontal="center" vertical="bottom" textRotation="0" wrapText="false" indent="0" shrinkToFit="false"/>
      <protection locked="true" hidden="false"/>
    </xf>
    <xf numFmtId="167" fontId="16" fillId="0" borderId="56" xfId="0" applyFont="true" applyBorder="true" applyAlignment="true" applyProtection="true">
      <alignment horizontal="general" vertical="top" textRotation="0" wrapText="false" indent="0" shrinkToFit="false"/>
      <protection locked="true" hidden="false"/>
    </xf>
    <xf numFmtId="164" fontId="16" fillId="0" borderId="35" xfId="0" applyFont="true" applyBorder="true" applyAlignment="true" applyProtection="true">
      <alignment horizontal="center" vertical="bottom" textRotation="0" wrapText="true" indent="0" shrinkToFit="false"/>
      <protection locked="true" hidden="false"/>
    </xf>
    <xf numFmtId="164" fontId="15" fillId="8" borderId="29" xfId="0" applyFont="true" applyBorder="true" applyAlignment="true" applyProtection="true">
      <alignment horizontal="center" vertical="center" textRotation="0" wrapText="false" indent="0" shrinkToFit="false"/>
      <protection locked="true" hidden="false"/>
    </xf>
    <xf numFmtId="164" fontId="15" fillId="8" borderId="11" xfId="0" applyFont="true" applyBorder="true" applyAlignment="true" applyProtection="true">
      <alignment horizontal="center" vertical="center" textRotation="0" wrapText="false" indent="0" shrinkToFit="false"/>
      <protection locked="true" hidden="false"/>
    </xf>
    <xf numFmtId="167" fontId="16" fillId="0" borderId="26" xfId="0" applyFont="true" applyBorder="true" applyAlignment="true" applyProtection="true">
      <alignment horizontal="center" vertical="bottom" textRotation="0" wrapText="false" indent="0" shrinkToFit="false"/>
      <protection locked="true" hidden="false"/>
    </xf>
    <xf numFmtId="167" fontId="16" fillId="0" borderId="37" xfId="0" applyFont="true" applyBorder="true" applyAlignment="true" applyProtection="true">
      <alignment horizontal="center" vertical="bottom" textRotation="0" wrapText="false" indent="0" shrinkToFit="false"/>
      <protection locked="true" hidden="false"/>
    </xf>
    <xf numFmtId="167" fontId="16" fillId="0" borderId="22" xfId="0" applyFont="true" applyBorder="true" applyAlignment="true" applyProtection="true">
      <alignment horizontal="center" vertical="bottom" textRotation="0" wrapText="false" indent="0" shrinkToFit="false"/>
      <protection locked="true" hidden="false"/>
    </xf>
    <xf numFmtId="164" fontId="16" fillId="6" borderId="29" xfId="0" applyFont="true" applyBorder="true" applyAlignment="true" applyProtection="true">
      <alignment horizontal="center" vertical="bottom" textRotation="0" wrapText="true" indent="0" shrinkToFit="false"/>
      <protection locked="true" hidden="false"/>
    </xf>
    <xf numFmtId="167" fontId="16" fillId="0" borderId="19" xfId="0" applyFont="true" applyBorder="true" applyAlignment="true" applyProtection="true">
      <alignment horizontal="center" vertical="bottom" textRotation="0" wrapText="false" indent="0" shrinkToFit="false"/>
      <protection locked="true" hidden="false"/>
    </xf>
    <xf numFmtId="166" fontId="15" fillId="0" borderId="57" xfId="0" applyFont="true" applyBorder="true" applyAlignment="true" applyProtection="true">
      <alignment horizontal="center" vertical="bottom" textRotation="0" wrapText="false" indent="0" shrinkToFit="false"/>
      <protection locked="true" hidden="false"/>
    </xf>
    <xf numFmtId="169" fontId="19" fillId="6" borderId="58" xfId="0" applyFont="true" applyBorder="true" applyAlignment="true" applyProtection="true">
      <alignment horizontal="center" vertical="center" textRotation="0" wrapText="false" indent="0" shrinkToFit="false"/>
      <protection locked="true" hidden="false"/>
    </xf>
    <xf numFmtId="166" fontId="15" fillId="0" borderId="27" xfId="0" applyFont="true" applyBorder="true" applyAlignment="true" applyProtection="true">
      <alignment horizontal="center" vertical="bottom" textRotation="0" wrapText="false" indent="0" shrinkToFit="false"/>
      <protection locked="true" hidden="false"/>
    </xf>
    <xf numFmtId="164" fontId="15" fillId="8" borderId="28" xfId="0" applyFont="true" applyBorder="true" applyAlignment="true" applyProtection="true">
      <alignment horizontal="center" vertical="center" textRotation="0" wrapText="false" indent="0" shrinkToFit="false"/>
      <protection locked="true" hidden="false"/>
    </xf>
    <xf numFmtId="164" fontId="15" fillId="8" borderId="33" xfId="0" applyFont="true" applyBorder="true" applyAlignment="true" applyProtection="true">
      <alignment horizontal="center" vertical="center" textRotation="0" wrapText="false" indent="0" shrinkToFit="false"/>
      <protection locked="true" hidden="false"/>
    </xf>
    <xf numFmtId="167" fontId="16" fillId="6" borderId="39" xfId="0" applyFont="true" applyBorder="true" applyAlignment="true" applyProtection="true">
      <alignment horizontal="center" vertical="center" textRotation="0" wrapText="false" indent="0" shrinkToFit="false"/>
      <protection locked="true" hidden="false"/>
    </xf>
    <xf numFmtId="166" fontId="15" fillId="0" borderId="59" xfId="0" applyFont="true" applyBorder="true" applyAlignment="true" applyProtection="true">
      <alignment horizontal="center" vertical="bottom" textRotation="0" wrapText="false" indent="0" shrinkToFit="false"/>
      <protection locked="true" hidden="false"/>
    </xf>
    <xf numFmtId="169" fontId="19" fillId="6" borderId="17" xfId="0" applyFont="true" applyBorder="true" applyAlignment="true" applyProtection="true">
      <alignment horizontal="center" vertical="center" textRotation="0" wrapText="false" indent="0" shrinkToFit="false"/>
      <protection locked="true" hidden="false"/>
    </xf>
    <xf numFmtId="164" fontId="18" fillId="9" borderId="11" xfId="0" applyFont="true" applyBorder="true" applyAlignment="true" applyProtection="true">
      <alignment horizontal="center" vertical="center" textRotation="0" wrapText="true" indent="0" shrinkToFit="false"/>
      <protection locked="true" hidden="false"/>
    </xf>
    <xf numFmtId="164" fontId="18" fillId="9" borderId="11" xfId="0" applyFont="true" applyBorder="true" applyAlignment="true" applyProtection="true">
      <alignment horizontal="general" vertical="bottom" textRotation="0" wrapText="false" indent="0" shrinkToFit="false"/>
      <protection locked="true" hidden="false"/>
    </xf>
    <xf numFmtId="164" fontId="18" fillId="9" borderId="13" xfId="0" applyFont="true" applyBorder="true" applyAlignment="true" applyProtection="true">
      <alignment horizontal="center" vertical="bottom" textRotation="0" wrapText="true" indent="0" shrinkToFit="false"/>
      <protection locked="true" hidden="false"/>
    </xf>
    <xf numFmtId="164" fontId="18" fillId="9" borderId="58" xfId="0" applyFont="true" applyBorder="true" applyAlignment="true" applyProtection="true">
      <alignment horizontal="center" vertical="bottom" textRotation="0" wrapText="true" indent="0" shrinkToFit="false"/>
      <protection locked="true" hidden="false"/>
    </xf>
    <xf numFmtId="164" fontId="16" fillId="10" borderId="12" xfId="0" applyFont="true" applyBorder="true" applyAlignment="true" applyProtection="true">
      <alignment horizontal="center" vertical="center" textRotation="0" wrapText="true" indent="0" shrinkToFit="false"/>
      <protection locked="true" hidden="false"/>
    </xf>
    <xf numFmtId="164" fontId="16" fillId="10" borderId="13" xfId="0" applyFont="true" applyBorder="true" applyAlignment="true" applyProtection="true">
      <alignment horizontal="center" vertical="center" textRotation="0" wrapText="true" indent="0" shrinkToFit="false"/>
      <protection locked="true" hidden="false"/>
    </xf>
    <xf numFmtId="164" fontId="16" fillId="10" borderId="12" xfId="0" applyFont="true" applyBorder="true" applyAlignment="true" applyProtection="true">
      <alignment horizontal="center" vertical="bottom" textRotation="0" wrapText="true" indent="0" shrinkToFit="false"/>
      <protection locked="true" hidden="false"/>
    </xf>
    <xf numFmtId="164" fontId="14" fillId="10" borderId="15" xfId="0" applyFont="true" applyBorder="true" applyAlignment="true" applyProtection="true">
      <alignment horizontal="center" vertical="bottom" textRotation="0" wrapText="false" indent="0" shrinkToFit="false"/>
      <protection locked="true" hidden="false"/>
    </xf>
    <xf numFmtId="167" fontId="16" fillId="10" borderId="54" xfId="0" applyFont="true" applyBorder="true" applyAlignment="true" applyProtection="true">
      <alignment horizontal="center" vertical="center" textRotation="0" wrapText="false" indent="0" shrinkToFit="false"/>
      <protection locked="true" hidden="false"/>
    </xf>
    <xf numFmtId="167" fontId="16" fillId="10" borderId="17" xfId="0" applyFont="true" applyBorder="true" applyAlignment="true" applyProtection="true">
      <alignment horizontal="center" vertical="center" textRotation="0" wrapText="false" indent="0" shrinkToFit="false"/>
      <protection locked="true" hidden="false"/>
    </xf>
    <xf numFmtId="169" fontId="19" fillId="10" borderId="58" xfId="0" applyFont="true" applyBorder="true" applyAlignment="true" applyProtection="true">
      <alignment horizontal="center" vertical="center" textRotation="0" wrapText="false" indent="0" shrinkToFit="false"/>
      <protection locked="true" hidden="false"/>
    </xf>
    <xf numFmtId="164" fontId="16" fillId="10" borderId="29" xfId="0" applyFont="true" applyBorder="true" applyAlignment="true" applyProtection="true">
      <alignment horizontal="center" vertical="bottom" textRotation="0" wrapText="true" indent="0" shrinkToFit="false"/>
      <protection locked="true" hidden="false"/>
    </xf>
    <xf numFmtId="167" fontId="16" fillId="10" borderId="55" xfId="0" applyFont="true" applyBorder="true" applyAlignment="true" applyProtection="true">
      <alignment horizontal="center" vertical="center" textRotation="0" wrapText="false" indent="0" shrinkToFit="false"/>
      <protection locked="true" hidden="false"/>
    </xf>
    <xf numFmtId="167" fontId="16" fillId="0" borderId="35" xfId="0" applyFont="true" applyBorder="true" applyAlignment="true" applyProtection="true">
      <alignment horizontal="center" vertical="bottom" textRotation="0" wrapText="false" indent="0" shrinkToFit="false"/>
      <protection locked="true" hidden="false"/>
    </xf>
    <xf numFmtId="164" fontId="15" fillId="8" borderId="12" xfId="0" applyFont="true" applyBorder="true" applyAlignment="true" applyProtection="true">
      <alignment horizontal="center" vertical="center" textRotation="0" wrapText="false" indent="0" shrinkToFit="false"/>
      <protection locked="true" hidden="false"/>
    </xf>
    <xf numFmtId="169" fontId="19" fillId="10" borderId="17" xfId="0" applyFont="true" applyBorder="true" applyAlignment="true" applyProtection="true">
      <alignment horizontal="center" vertical="center" textRotation="0" wrapText="false" indent="0" shrinkToFit="false"/>
      <protection locked="true" hidden="false"/>
    </xf>
    <xf numFmtId="167" fontId="16" fillId="10" borderId="60" xfId="0" applyFont="true" applyBorder="true" applyAlignment="true" applyProtection="true">
      <alignment horizontal="center" vertical="center" textRotation="0" wrapText="false" indent="0" shrinkToFit="false"/>
      <protection locked="true" hidden="false"/>
    </xf>
    <xf numFmtId="164" fontId="21" fillId="11" borderId="11" xfId="0" applyFont="true" applyBorder="true" applyAlignment="true" applyProtection="true">
      <alignment horizontal="center" vertical="center" textRotation="0" wrapText="true" indent="0" shrinkToFit="false"/>
      <protection locked="true" hidden="false"/>
    </xf>
    <xf numFmtId="164" fontId="21" fillId="11" borderId="11" xfId="0" applyFont="true" applyBorder="true" applyAlignment="true" applyProtection="true">
      <alignment horizontal="general" vertical="bottom" textRotation="0" wrapText="false" indent="0" shrinkToFit="false"/>
      <protection locked="true" hidden="false"/>
    </xf>
    <xf numFmtId="164" fontId="21" fillId="11" borderId="13" xfId="0" applyFont="true" applyBorder="true" applyAlignment="true" applyProtection="true">
      <alignment horizontal="center" vertical="bottom" textRotation="0" wrapText="true" indent="0" shrinkToFit="false"/>
      <protection locked="true" hidden="false"/>
    </xf>
    <xf numFmtId="164" fontId="21" fillId="11" borderId="58" xfId="0" applyFont="true" applyBorder="true" applyAlignment="true" applyProtection="true">
      <alignment horizontal="center" vertical="bottom" textRotation="0" wrapText="true" indent="0" shrinkToFit="false"/>
      <protection locked="true" hidden="false"/>
    </xf>
    <xf numFmtId="164" fontId="16" fillId="12" borderId="12" xfId="0" applyFont="true" applyBorder="true" applyAlignment="true" applyProtection="true">
      <alignment horizontal="center" vertical="center" textRotation="0" wrapText="true" indent="0" shrinkToFit="false"/>
      <protection locked="true" hidden="false"/>
    </xf>
    <xf numFmtId="164" fontId="16" fillId="12" borderId="13" xfId="0" applyFont="true" applyBorder="true" applyAlignment="true" applyProtection="true">
      <alignment horizontal="center" vertical="center" textRotation="0" wrapText="true" indent="0" shrinkToFit="false"/>
      <protection locked="true" hidden="false"/>
    </xf>
    <xf numFmtId="164" fontId="14" fillId="12" borderId="15" xfId="0" applyFont="true" applyBorder="true" applyAlignment="true" applyProtection="true">
      <alignment horizontal="center" vertical="bottom" textRotation="0" wrapText="false" indent="0" shrinkToFit="false"/>
      <protection locked="true" hidden="false"/>
    </xf>
    <xf numFmtId="167" fontId="16" fillId="12" borderId="54" xfId="0" applyFont="true" applyBorder="true" applyAlignment="true" applyProtection="true">
      <alignment horizontal="center" vertical="center" textRotation="0" wrapText="false" indent="0" shrinkToFit="false"/>
      <protection locked="true" hidden="false"/>
    </xf>
    <xf numFmtId="167" fontId="16" fillId="12" borderId="17" xfId="0" applyFont="true" applyBorder="true" applyAlignment="true" applyProtection="true">
      <alignment horizontal="center" vertical="center" textRotation="0" wrapText="false" indent="0" shrinkToFit="false"/>
      <protection locked="true" hidden="false"/>
    </xf>
    <xf numFmtId="169" fontId="19" fillId="12" borderId="58" xfId="0" applyFont="true" applyBorder="true" applyAlignment="true" applyProtection="true">
      <alignment horizontal="center" vertical="center" textRotation="0" wrapText="false" indent="0" shrinkToFit="false"/>
      <protection locked="true" hidden="false"/>
    </xf>
    <xf numFmtId="164" fontId="16" fillId="12" borderId="29" xfId="0" applyFont="true" applyBorder="true" applyAlignment="true" applyProtection="true">
      <alignment horizontal="center" vertical="center" textRotation="0" wrapText="true" indent="0" shrinkToFit="false"/>
      <protection locked="true" hidden="false"/>
    </xf>
    <xf numFmtId="164" fontId="16" fillId="12" borderId="30" xfId="0" applyFont="true" applyBorder="true" applyAlignment="true" applyProtection="true">
      <alignment horizontal="center" vertical="bottom" textRotation="0" wrapText="false" indent="0" shrinkToFit="false"/>
      <protection locked="true" hidden="false"/>
    </xf>
    <xf numFmtId="166" fontId="16" fillId="12" borderId="32" xfId="0" applyFont="true" applyBorder="true" applyAlignment="true" applyProtection="true">
      <alignment horizontal="center" vertical="bottom" textRotation="0" wrapText="false" indent="0" shrinkToFit="false"/>
      <protection locked="true" hidden="false"/>
    </xf>
    <xf numFmtId="169" fontId="19" fillId="12" borderId="17" xfId="0" applyFont="true" applyBorder="true" applyAlignment="true" applyProtection="true">
      <alignment horizontal="center" vertical="center" textRotation="0" wrapText="false" indent="0" shrinkToFit="false"/>
      <protection locked="true" hidden="false"/>
    </xf>
    <xf numFmtId="164" fontId="18" fillId="14" borderId="11" xfId="0" applyFont="true" applyBorder="true" applyAlignment="true" applyProtection="true">
      <alignment horizontal="center" vertical="center" textRotation="0" wrapText="true" indent="0" shrinkToFit="false"/>
      <protection locked="true" hidden="false"/>
    </xf>
    <xf numFmtId="164" fontId="18" fillId="14" borderId="11" xfId="0" applyFont="true" applyBorder="true" applyAlignment="true" applyProtection="true">
      <alignment horizontal="general" vertical="bottom" textRotation="0" wrapText="false" indent="0" shrinkToFit="false"/>
      <protection locked="true" hidden="false"/>
    </xf>
    <xf numFmtId="164" fontId="18" fillId="14" borderId="13" xfId="0" applyFont="true" applyBorder="true" applyAlignment="true" applyProtection="true">
      <alignment horizontal="center" vertical="bottom" textRotation="0" wrapText="true" indent="0" shrinkToFit="false"/>
      <protection locked="true" hidden="false"/>
    </xf>
    <xf numFmtId="164" fontId="18" fillId="14" borderId="58" xfId="0" applyFont="true" applyBorder="true" applyAlignment="true" applyProtection="true">
      <alignment horizontal="center" vertical="bottom" textRotation="0" wrapText="true" indent="0" shrinkToFit="false"/>
      <protection locked="true" hidden="false"/>
    </xf>
    <xf numFmtId="164" fontId="16" fillId="15" borderId="12" xfId="0" applyFont="true" applyBorder="true" applyAlignment="true" applyProtection="true">
      <alignment horizontal="center" vertical="center" textRotation="0" wrapText="true" indent="0" shrinkToFit="false"/>
      <protection locked="true" hidden="false"/>
    </xf>
    <xf numFmtId="164" fontId="16" fillId="15" borderId="13" xfId="0" applyFont="true" applyBorder="true" applyAlignment="true" applyProtection="true">
      <alignment horizontal="center" vertical="center" textRotation="0" wrapText="true" indent="0" shrinkToFit="false"/>
      <protection locked="true" hidden="false"/>
    </xf>
    <xf numFmtId="164" fontId="16" fillId="15" borderId="12" xfId="0" applyFont="true" applyBorder="true" applyAlignment="true" applyProtection="true">
      <alignment horizontal="left" vertical="center" textRotation="0" wrapText="true" indent="0" shrinkToFit="false"/>
      <protection locked="true" hidden="false"/>
    </xf>
    <xf numFmtId="164" fontId="14" fillId="15" borderId="15" xfId="0" applyFont="true" applyBorder="true" applyAlignment="true" applyProtection="true">
      <alignment horizontal="center" vertical="bottom" textRotation="0" wrapText="false" indent="0" shrinkToFit="false"/>
      <protection locked="true" hidden="false"/>
    </xf>
    <xf numFmtId="167" fontId="16" fillId="16" borderId="54" xfId="0" applyFont="true" applyBorder="true" applyAlignment="true" applyProtection="true">
      <alignment horizontal="center" vertical="center" textRotation="0" wrapText="false" indent="0" shrinkToFit="false"/>
      <protection locked="true" hidden="false"/>
    </xf>
    <xf numFmtId="167" fontId="16" fillId="16" borderId="17" xfId="0" applyFont="true" applyBorder="true" applyAlignment="true" applyProtection="true">
      <alignment horizontal="center" vertical="center" textRotation="0" wrapText="false" indent="0" shrinkToFit="false"/>
      <protection locked="true" hidden="false"/>
    </xf>
    <xf numFmtId="169" fontId="19" fillId="16" borderId="58" xfId="0" applyFont="true" applyBorder="true" applyAlignment="true" applyProtection="true">
      <alignment horizontal="center" vertical="center" textRotation="0" wrapText="false" indent="0" shrinkToFit="false"/>
      <protection locked="true" hidden="false"/>
    </xf>
    <xf numFmtId="167" fontId="16" fillId="0" borderId="26" xfId="0" applyFont="true" applyBorder="true" applyAlignment="true" applyProtection="true">
      <alignment horizontal="center" vertical="top" textRotation="0" wrapText="false" indent="0" shrinkToFit="false"/>
      <protection locked="true" hidden="false"/>
    </xf>
    <xf numFmtId="166" fontId="15" fillId="0" borderId="27" xfId="0" applyFont="true" applyBorder="true" applyAlignment="true" applyProtection="true">
      <alignment horizontal="center" vertical="top" textRotation="0" wrapText="false" indent="0" shrinkToFit="false"/>
      <protection locked="true" hidden="false"/>
    </xf>
    <xf numFmtId="167" fontId="16" fillId="0" borderId="35" xfId="0" applyFont="true" applyBorder="true" applyAlignment="true" applyProtection="true">
      <alignment horizontal="center" vertical="top" textRotation="0" wrapText="false" indent="0" shrinkToFit="false"/>
      <protection locked="true" hidden="false"/>
    </xf>
    <xf numFmtId="164" fontId="16" fillId="15" borderId="29" xfId="0" applyFont="true" applyBorder="true" applyAlignment="true" applyProtection="true">
      <alignment horizontal="left" vertical="center" textRotation="0" wrapText="true" indent="0" shrinkToFit="false"/>
      <protection locked="true" hidden="false"/>
    </xf>
    <xf numFmtId="169" fontId="19" fillId="16" borderId="17" xfId="0" applyFont="true" applyBorder="true" applyAlignment="true" applyProtection="true">
      <alignment horizontal="center" vertical="center" textRotation="0" wrapText="false" indent="0" shrinkToFit="false"/>
      <protection locked="true" hidden="false"/>
    </xf>
    <xf numFmtId="164" fontId="18" fillId="17" borderId="11" xfId="0" applyFont="true" applyBorder="true" applyAlignment="true" applyProtection="true">
      <alignment horizontal="center" vertical="center" textRotation="0" wrapText="true" indent="0" shrinkToFit="false"/>
      <protection locked="true" hidden="false"/>
    </xf>
    <xf numFmtId="164" fontId="18" fillId="17" borderId="11" xfId="0" applyFont="true" applyBorder="true" applyAlignment="true" applyProtection="true">
      <alignment horizontal="general" vertical="bottom" textRotation="0" wrapText="false" indent="0" shrinkToFit="false"/>
      <protection locked="true" hidden="false"/>
    </xf>
    <xf numFmtId="164" fontId="18" fillId="17" borderId="13" xfId="0" applyFont="true" applyBorder="true" applyAlignment="true" applyProtection="true">
      <alignment horizontal="center" vertical="bottom" textRotation="0" wrapText="true" indent="0" shrinkToFit="false"/>
      <protection locked="true" hidden="false"/>
    </xf>
    <xf numFmtId="164" fontId="18" fillId="17" borderId="58" xfId="0" applyFont="true" applyBorder="true" applyAlignment="true" applyProtection="true">
      <alignment horizontal="center" vertical="bottom" textRotation="0" wrapText="true" indent="0" shrinkToFit="false"/>
      <protection locked="true" hidden="false"/>
    </xf>
    <xf numFmtId="164" fontId="16" fillId="18" borderId="12" xfId="0" applyFont="true" applyBorder="true" applyAlignment="true" applyProtection="true">
      <alignment horizontal="center" vertical="center" textRotation="0" wrapText="true" indent="0" shrinkToFit="false"/>
      <protection locked="true" hidden="false"/>
    </xf>
    <xf numFmtId="164" fontId="16" fillId="18" borderId="13" xfId="0" applyFont="true" applyBorder="true" applyAlignment="true" applyProtection="true">
      <alignment horizontal="center" vertical="center" textRotation="0" wrapText="true" indent="0" shrinkToFit="false"/>
      <protection locked="true" hidden="false"/>
    </xf>
    <xf numFmtId="164" fontId="16" fillId="18" borderId="12" xfId="0" applyFont="true" applyBorder="true" applyAlignment="true" applyProtection="true">
      <alignment horizontal="left" vertical="center" textRotation="0" wrapText="true" indent="0" shrinkToFit="false"/>
      <protection locked="true" hidden="false"/>
    </xf>
    <xf numFmtId="164" fontId="14" fillId="18" borderId="15" xfId="0" applyFont="true" applyBorder="true" applyAlignment="true" applyProtection="true">
      <alignment horizontal="center" vertical="bottom" textRotation="0" wrapText="false" indent="0" shrinkToFit="false"/>
      <protection locked="true" hidden="false"/>
    </xf>
    <xf numFmtId="167" fontId="16" fillId="18" borderId="55" xfId="0" applyFont="true" applyBorder="true" applyAlignment="true" applyProtection="true">
      <alignment horizontal="center" vertical="center" textRotation="0" wrapText="false" indent="0" shrinkToFit="false"/>
      <protection locked="true" hidden="false"/>
    </xf>
    <xf numFmtId="167" fontId="16" fillId="18" borderId="17" xfId="0" applyFont="true" applyBorder="true" applyAlignment="true" applyProtection="true">
      <alignment horizontal="center" vertical="center" textRotation="0" wrapText="false" indent="0" shrinkToFit="false"/>
      <protection locked="true" hidden="false"/>
    </xf>
    <xf numFmtId="169" fontId="19" fillId="18" borderId="58" xfId="0" applyFont="true" applyBorder="true" applyAlignment="true" applyProtection="true">
      <alignment horizontal="center" vertical="center" textRotation="0" wrapText="false" indent="0" shrinkToFit="false"/>
      <protection locked="true" hidden="false"/>
    </xf>
    <xf numFmtId="167" fontId="16" fillId="18" borderId="60" xfId="0" applyFont="true" applyBorder="true" applyAlignment="true" applyProtection="true">
      <alignment horizontal="center" vertical="center" textRotation="0" wrapText="false" indent="0" shrinkToFit="false"/>
      <protection locked="true" hidden="false"/>
    </xf>
    <xf numFmtId="164" fontId="16" fillId="18" borderId="29" xfId="0" applyFont="true" applyBorder="true" applyAlignment="true" applyProtection="true">
      <alignment horizontal="left" vertical="center" textRotation="0" wrapText="true" indent="0" shrinkToFit="false"/>
      <protection locked="true" hidden="false"/>
    </xf>
    <xf numFmtId="167" fontId="16" fillId="0" borderId="25" xfId="0" applyFont="true" applyBorder="true" applyAlignment="true" applyProtection="true">
      <alignment horizontal="center" vertical="bottom" textRotation="0" wrapText="false" indent="0" shrinkToFit="false"/>
      <protection locked="true" hidden="false"/>
    </xf>
    <xf numFmtId="169" fontId="19" fillId="18" borderId="61" xfId="0" applyFont="true" applyBorder="true" applyAlignment="true" applyProtection="true">
      <alignment horizontal="center" vertical="center" textRotation="0" wrapText="false" indent="0" shrinkToFit="false"/>
      <protection locked="true" hidden="false"/>
    </xf>
    <xf numFmtId="167" fontId="16" fillId="18" borderId="54" xfId="0" applyFont="true" applyBorder="true" applyAlignment="true" applyProtection="true">
      <alignment horizontal="center" vertical="center" textRotation="0" wrapText="false" indent="0" shrinkToFit="false"/>
      <protection locked="true" hidden="false"/>
    </xf>
    <xf numFmtId="164" fontId="23" fillId="0" borderId="0" xfId="21" applyFont="true" applyBorder="false" applyAlignment="false" applyProtection="false">
      <alignment horizontal="general" vertical="bottom" textRotation="0" wrapText="false" indent="0" shrinkToFit="false"/>
      <protection locked="true" hidden="false"/>
    </xf>
    <xf numFmtId="164" fontId="23" fillId="0" borderId="0" xfId="21" applyFont="true" applyBorder="false" applyAlignment="false" applyProtection="false">
      <alignment horizontal="general" vertical="bottom" textRotation="0" wrapText="false" indent="0" shrinkToFit="false"/>
      <protection locked="true" hidden="false"/>
    </xf>
    <xf numFmtId="164" fontId="28" fillId="0" borderId="0" xfId="21" applyFont="true" applyBorder="false" applyAlignment="false" applyProtection="false">
      <alignment horizontal="general" vertical="bottom" textRotation="0" wrapText="false" indent="0" shrinkToFit="false"/>
      <protection locked="true" hidden="false"/>
    </xf>
    <xf numFmtId="164" fontId="29" fillId="0" borderId="0" xfId="21" applyFont="true" applyBorder="false" applyAlignment="false" applyProtection="false">
      <alignment horizontal="general" vertical="bottom" textRotation="0" wrapText="false" indent="0" shrinkToFit="false"/>
      <protection locked="true" hidden="false"/>
    </xf>
    <xf numFmtId="164" fontId="29" fillId="0" borderId="0" xfId="21" applyFont="true" applyBorder="true" applyAlignment="true" applyProtection="true">
      <alignment horizontal="left" vertical="bottom" textRotation="0" wrapText="false" indent="0" shrinkToFit="false"/>
      <protection locked="false" hidden="false"/>
    </xf>
    <xf numFmtId="164" fontId="29" fillId="0" borderId="0" xfId="21" applyFont="true" applyBorder="false" applyAlignment="false" applyProtection="false">
      <alignment horizontal="general" vertical="bottom" textRotation="0" wrapText="false" indent="0" shrinkToFit="false"/>
      <protection locked="true" hidden="false"/>
    </xf>
    <xf numFmtId="170" fontId="29" fillId="0" borderId="0" xfId="21" applyFont="true" applyBorder="true" applyAlignment="true" applyProtection="true">
      <alignment horizontal="left" vertical="bottom" textRotation="0" wrapText="false" indent="0" shrinkToFit="false"/>
      <protection locked="false" hidden="false"/>
    </xf>
    <xf numFmtId="170" fontId="29" fillId="0" borderId="0" xfId="21" applyFont="true" applyBorder="false" applyAlignment="true" applyProtection="false">
      <alignment horizontal="left" vertical="bottom" textRotation="0" wrapText="false" indent="0" shrinkToFit="false"/>
      <protection locked="true" hidden="false"/>
    </xf>
    <xf numFmtId="164" fontId="29" fillId="20" borderId="0" xfId="21" applyFont="true" applyBorder="false" applyAlignment="false" applyProtection="false">
      <alignment horizontal="general" vertical="bottom" textRotation="0" wrapText="false" indent="0" shrinkToFit="false"/>
      <protection locked="true" hidden="false"/>
    </xf>
    <xf numFmtId="164" fontId="29" fillId="20" borderId="0" xfId="21" applyFont="true" applyBorder="true" applyAlignment="true" applyProtection="false">
      <alignment horizontal="center" vertical="bottom" textRotation="0" wrapText="false" indent="0" shrinkToFit="false"/>
      <protection locked="true" hidden="false"/>
    </xf>
    <xf numFmtId="164" fontId="29" fillId="20" borderId="0" xfId="21" applyFont="true" applyBorder="true" applyAlignment="false" applyProtection="false">
      <alignment horizontal="general" vertical="bottom" textRotation="0" wrapText="false" indent="0" shrinkToFit="false"/>
      <protection locked="true" hidden="false"/>
    </xf>
    <xf numFmtId="164" fontId="29" fillId="0" borderId="0" xfId="21" applyFont="true" applyBorder="false" applyAlignment="true" applyProtection="false">
      <alignment horizontal="center" vertical="bottom" textRotation="0" wrapText="false" indent="0" shrinkToFit="false"/>
      <protection locked="true" hidden="false"/>
    </xf>
    <xf numFmtId="164" fontId="29" fillId="20" borderId="48" xfId="21" applyFont="true" applyBorder="true" applyAlignment="false" applyProtection="false">
      <alignment horizontal="general" vertical="bottom" textRotation="0" wrapText="false" indent="0" shrinkToFit="false"/>
      <protection locked="true" hidden="false"/>
    </xf>
    <xf numFmtId="164" fontId="29" fillId="20" borderId="48" xfId="21" applyFont="true" applyBorder="true" applyAlignment="true" applyProtection="false">
      <alignment horizontal="center" vertical="bottom" textRotation="0" wrapText="false" indent="0" shrinkToFit="false"/>
      <protection locked="true" hidden="false"/>
    </xf>
    <xf numFmtId="164" fontId="22" fillId="0" borderId="62" xfId="21" applyFont="true" applyBorder="true" applyAlignment="false" applyProtection="false">
      <alignment horizontal="general" vertical="bottom" textRotation="0" wrapText="false" indent="0" shrinkToFit="false"/>
      <protection locked="true" hidden="false"/>
    </xf>
    <xf numFmtId="164" fontId="22" fillId="0" borderId="62" xfId="21" applyFont="true" applyBorder="true" applyAlignment="true" applyProtection="false">
      <alignment horizontal="center" vertical="bottom" textRotation="0" wrapText="false" indent="0" shrinkToFit="false"/>
      <protection locked="true" hidden="false"/>
    </xf>
    <xf numFmtId="164" fontId="8" fillId="0" borderId="62" xfId="21" applyFont="true" applyBorder="true" applyAlignment="true" applyProtection="false">
      <alignment horizontal="center" vertical="bottom" textRotation="0" wrapText="false" indent="0" shrinkToFit="false"/>
      <protection locked="true" hidden="false"/>
    </xf>
    <xf numFmtId="164" fontId="6" fillId="0" borderId="62" xfId="21" applyFont="true" applyBorder="true" applyAlignment="true" applyProtection="false">
      <alignment horizontal="center" vertical="bottom" textRotation="0" wrapText="false" indent="0" shrinkToFit="false"/>
      <protection locked="true" hidden="false"/>
    </xf>
    <xf numFmtId="164" fontId="23" fillId="0" borderId="0" xfId="21" applyFont="true" applyBorder="false" applyAlignment="true" applyProtection="false">
      <alignment horizontal="center" vertical="bottom" textRotation="0" wrapText="false" indent="0" shrinkToFit="false"/>
      <protection locked="true" hidden="false"/>
    </xf>
    <xf numFmtId="164" fontId="23" fillId="20" borderId="0" xfId="21" applyFont="true" applyBorder="false" applyAlignment="true" applyProtection="false">
      <alignment horizontal="center" vertical="bottom" textRotation="0" wrapText="false" indent="0" shrinkToFit="false"/>
      <protection locked="true" hidden="false"/>
    </xf>
    <xf numFmtId="164" fontId="23" fillId="20" borderId="0" xfId="21" applyFont="true" applyBorder="false" applyAlignment="false" applyProtection="false">
      <alignment horizontal="general" vertical="bottom" textRotation="0" wrapText="false" indent="0" shrinkToFit="false"/>
      <protection locked="true" hidden="false"/>
    </xf>
    <xf numFmtId="167" fontId="23" fillId="20" borderId="0" xfId="21" applyFont="true" applyBorder="true" applyAlignment="true" applyProtection="false">
      <alignment horizontal="center" vertical="bottom" textRotation="0" wrapText="false" indent="0" shrinkToFit="false"/>
      <protection locked="true" hidden="false"/>
    </xf>
    <xf numFmtId="164" fontId="30" fillId="0" borderId="63" xfId="21" applyFont="true" applyBorder="true" applyAlignment="false" applyProtection="false">
      <alignment horizontal="general" vertical="bottom" textRotation="0" wrapText="false" indent="0" shrinkToFit="false"/>
      <protection locked="true" hidden="false"/>
    </xf>
    <xf numFmtId="169" fontId="15" fillId="0" borderId="64" xfId="0" applyFont="true" applyBorder="true" applyAlignment="true" applyProtection="true">
      <alignment horizontal="center" vertical="bottom" textRotation="0" wrapText="false" indent="0" shrinkToFit="false"/>
      <protection locked="true" hidden="false"/>
    </xf>
    <xf numFmtId="169" fontId="23" fillId="0" borderId="63" xfId="21" applyFont="true" applyBorder="true" applyAlignment="true" applyProtection="true">
      <alignment horizontal="center" vertical="bottom" textRotation="0" wrapText="false" indent="0" shrinkToFit="false"/>
      <protection locked="false" hidden="false"/>
    </xf>
    <xf numFmtId="167" fontId="6" fillId="0" borderId="0" xfId="21" applyFont="true" applyBorder="true" applyAlignment="true" applyProtection="false">
      <alignment horizontal="center" vertical="bottom" textRotation="0" wrapText="false" indent="0" shrinkToFit="false"/>
      <protection locked="true" hidden="false"/>
    </xf>
    <xf numFmtId="167" fontId="6" fillId="0" borderId="63" xfId="21" applyFont="true" applyBorder="true" applyAlignment="true" applyProtection="false">
      <alignment horizontal="center" vertical="bottom" textRotation="0" wrapText="false" indent="0" shrinkToFit="false"/>
      <protection locked="true" hidden="false"/>
    </xf>
    <xf numFmtId="169" fontId="23" fillId="0" borderId="0" xfId="21" applyFont="true" applyBorder="false" applyAlignment="true" applyProtection="false">
      <alignment horizontal="center" vertical="bottom" textRotation="0" wrapText="false" indent="0" shrinkToFit="false"/>
      <protection locked="true" hidden="false"/>
    </xf>
    <xf numFmtId="164" fontId="23" fillId="20" borderId="0" xfId="21" applyFont="true" applyBorder="true" applyAlignment="false" applyProtection="false">
      <alignment horizontal="general" vertical="bottom" textRotation="0" wrapText="false" indent="0" shrinkToFit="false"/>
      <protection locked="true" hidden="false"/>
    </xf>
    <xf numFmtId="169" fontId="23" fillId="0" borderId="0" xfId="21" applyFont="true" applyBorder="false" applyAlignment="false" applyProtection="false">
      <alignment horizontal="general" vertical="bottom" textRotation="0" wrapText="false" indent="0" shrinkToFit="false"/>
      <protection locked="true" hidden="false"/>
    </xf>
    <xf numFmtId="164" fontId="30" fillId="0" borderId="0" xfId="21" applyFont="true" applyBorder="true" applyAlignment="false" applyProtection="false">
      <alignment horizontal="general" vertical="bottom" textRotation="0" wrapText="false" indent="0" shrinkToFit="false"/>
      <protection locked="true" hidden="false"/>
    </xf>
    <xf numFmtId="169" fontId="23" fillId="0" borderId="0" xfId="21" applyFont="true" applyBorder="true" applyAlignment="true" applyProtection="true">
      <alignment horizontal="center" vertical="bottom" textRotation="0" wrapText="false" indent="0" shrinkToFit="false"/>
      <protection locked="false" hidden="false"/>
    </xf>
    <xf numFmtId="164" fontId="30" fillId="0" borderId="65" xfId="21" applyFont="true" applyBorder="true" applyAlignment="false" applyProtection="false">
      <alignment horizontal="general" vertical="bottom" textRotation="0" wrapText="false" indent="0" shrinkToFit="false"/>
      <protection locked="true" hidden="false"/>
    </xf>
    <xf numFmtId="169" fontId="15" fillId="0" borderId="42" xfId="0" applyFont="true" applyBorder="true" applyAlignment="true" applyProtection="true">
      <alignment horizontal="center" vertical="bottom" textRotation="0" wrapText="false" indent="0" shrinkToFit="false"/>
      <protection locked="true" hidden="false"/>
    </xf>
    <xf numFmtId="167" fontId="6" fillId="0" borderId="65" xfId="21" applyFont="true" applyBorder="true" applyAlignment="true" applyProtection="false">
      <alignment horizontal="center" vertical="bottom" textRotation="0" wrapText="false" indent="0" shrinkToFit="false"/>
      <protection locked="true" hidden="false"/>
    </xf>
    <xf numFmtId="164" fontId="31" fillId="0" borderId="66" xfId="21" applyFont="true" applyBorder="true" applyAlignment="false" applyProtection="false">
      <alignment horizontal="general" vertical="bottom" textRotation="0" wrapText="false" indent="0" shrinkToFit="false"/>
      <protection locked="true" hidden="false"/>
    </xf>
    <xf numFmtId="169" fontId="23" fillId="0" borderId="20" xfId="21" applyFont="true" applyBorder="true" applyAlignment="true" applyProtection="true">
      <alignment horizontal="center" vertical="bottom" textRotation="0" wrapText="false" indent="0" shrinkToFit="false"/>
      <protection locked="false" hidden="false"/>
    </xf>
    <xf numFmtId="167" fontId="6" fillId="0" borderId="66" xfId="21" applyFont="true" applyBorder="true" applyAlignment="true" applyProtection="false">
      <alignment horizontal="center" vertical="bottom" textRotation="0" wrapText="false" indent="0" shrinkToFit="false"/>
      <protection locked="true" hidden="false"/>
    </xf>
    <xf numFmtId="164" fontId="31" fillId="0" borderId="0" xfId="21" applyFont="true" applyBorder="true" applyAlignment="false" applyProtection="false">
      <alignment horizontal="general" vertical="bottom" textRotation="0" wrapText="false" indent="0" shrinkToFit="false"/>
      <protection locked="true" hidden="false"/>
    </xf>
    <xf numFmtId="169" fontId="6" fillId="0" borderId="0" xfId="21" applyFont="true" applyBorder="true" applyAlignment="true" applyProtection="false">
      <alignment horizontal="center" vertical="bottom" textRotation="0" wrapText="false" indent="0" shrinkToFit="false"/>
      <protection locked="true" hidden="false"/>
    </xf>
    <xf numFmtId="164" fontId="31" fillId="0" borderId="65" xfId="21" applyFont="true" applyBorder="true" applyAlignment="false" applyProtection="false">
      <alignment horizontal="general" vertical="bottom" textRotation="0" wrapText="false" indent="0" shrinkToFit="false"/>
      <protection locked="true" hidden="false"/>
    </xf>
    <xf numFmtId="169" fontId="6" fillId="0" borderId="65" xfId="21" applyFont="true" applyBorder="true" applyAlignment="true" applyProtection="false">
      <alignment horizontal="center" vertical="bottom" textRotation="0" wrapText="false" indent="0" shrinkToFit="false"/>
      <protection locked="true" hidden="false"/>
    </xf>
    <xf numFmtId="164" fontId="32" fillId="0" borderId="0" xfId="21" applyFont="true" applyBorder="true" applyAlignment="false" applyProtection="false">
      <alignment horizontal="general" vertical="bottom" textRotation="0" wrapText="false" indent="0" shrinkToFit="false"/>
      <protection locked="true" hidden="false"/>
    </xf>
    <xf numFmtId="169" fontId="15" fillId="0" borderId="67" xfId="0" applyFont="true" applyBorder="true" applyAlignment="true" applyProtection="true">
      <alignment horizontal="center" vertical="bottom" textRotation="0" wrapText="false" indent="0" shrinkToFit="false"/>
      <protection locked="true" hidden="false"/>
    </xf>
    <xf numFmtId="169" fontId="23" fillId="0" borderId="66" xfId="21" applyFont="true" applyBorder="true" applyAlignment="true" applyProtection="true">
      <alignment horizontal="center" vertical="bottom" textRotation="0" wrapText="false" indent="0" shrinkToFit="false"/>
      <protection locked="false" hidden="false"/>
    </xf>
    <xf numFmtId="164" fontId="33" fillId="0" borderId="66" xfId="21" applyFont="true" applyBorder="true" applyAlignment="false" applyProtection="false">
      <alignment horizontal="general" vertical="bottom" textRotation="0" wrapText="false" indent="0" shrinkToFit="false"/>
      <protection locked="true" hidden="false"/>
    </xf>
    <xf numFmtId="169" fontId="15" fillId="0" borderId="20" xfId="0" applyFont="true" applyBorder="true" applyAlignment="true" applyProtection="true">
      <alignment horizontal="center" vertical="bottom" textRotation="0" wrapText="false" indent="0" shrinkToFit="false"/>
      <protection locked="true" hidden="false"/>
    </xf>
    <xf numFmtId="169" fontId="6" fillId="0" borderId="66" xfId="21" applyFont="true" applyBorder="true" applyAlignment="true" applyProtection="false">
      <alignment horizontal="center" vertical="bottom" textRotation="0" wrapText="false" indent="0" shrinkToFit="false"/>
      <protection locked="true" hidden="false"/>
    </xf>
    <xf numFmtId="164" fontId="33" fillId="0" borderId="0" xfId="21" applyFont="true" applyBorder="true" applyAlignment="false" applyProtection="false">
      <alignment horizontal="general" vertical="bottom" textRotation="0" wrapText="false" indent="0" shrinkToFit="false"/>
      <protection locked="true" hidden="false"/>
    </xf>
    <xf numFmtId="164" fontId="33" fillId="0" borderId="65" xfId="21" applyFont="true" applyBorder="true" applyAlignment="false" applyProtection="false">
      <alignment horizontal="general" vertical="bottom" textRotation="0" wrapText="false" indent="0" shrinkToFit="false"/>
      <protection locked="true" hidden="false"/>
    </xf>
    <xf numFmtId="164" fontId="34" fillId="0" borderId="66" xfId="21" applyFont="true" applyBorder="true" applyAlignment="false" applyProtection="false">
      <alignment horizontal="general" vertical="bottom" textRotation="0" wrapText="false" indent="0" shrinkToFit="false"/>
      <protection locked="true" hidden="false"/>
    </xf>
    <xf numFmtId="164" fontId="34" fillId="0" borderId="0" xfId="21" applyFont="true" applyBorder="true" applyAlignment="false" applyProtection="false">
      <alignment horizontal="general" vertical="bottom" textRotation="0" wrapText="false" indent="0" shrinkToFit="false"/>
      <protection locked="true" hidden="false"/>
    </xf>
    <xf numFmtId="164" fontId="34" fillId="0" borderId="48" xfId="21" applyFont="true" applyBorder="true" applyAlignment="false" applyProtection="false">
      <alignment horizontal="general" vertical="bottom" textRotation="0" wrapText="false" indent="0" shrinkToFit="false"/>
      <protection locked="true" hidden="false"/>
    </xf>
    <xf numFmtId="169" fontId="15" fillId="0" borderId="68" xfId="0" applyFont="true" applyBorder="true" applyAlignment="true" applyProtection="true">
      <alignment horizontal="center" vertical="bottom" textRotation="0" wrapText="false" indent="0" shrinkToFit="false"/>
      <protection locked="true" hidden="false"/>
    </xf>
    <xf numFmtId="169" fontId="23" fillId="0" borderId="69" xfId="21" applyFont="true" applyBorder="true" applyAlignment="true" applyProtection="true">
      <alignment horizontal="center" vertical="bottom" textRotation="0" wrapText="false" indent="0" shrinkToFit="false"/>
      <protection locked="false" hidden="false"/>
    </xf>
    <xf numFmtId="169" fontId="6" fillId="0" borderId="48" xfId="21" applyFont="true" applyBorder="true" applyAlignment="true" applyProtection="false">
      <alignment horizontal="center" vertical="bottom" textRotation="0" wrapText="false" indent="0" shrinkToFit="false"/>
      <protection locked="true" hidden="false"/>
    </xf>
    <xf numFmtId="164" fontId="35" fillId="0" borderId="0" xfId="21" applyFont="true" applyBorder="false" applyAlignment="true" applyProtection="false">
      <alignment horizontal="right" vertical="bottom" textRotation="0" wrapText="false" indent="0" shrinkToFit="false"/>
      <protection locked="true" hidden="false"/>
    </xf>
    <xf numFmtId="165" fontId="23" fillId="0" borderId="0" xfId="23" applyFont="true" applyBorder="true" applyAlignment="true" applyProtection="true">
      <alignment horizontal="general" vertical="bottom" textRotation="0" wrapText="false" indent="0" shrinkToFit="false"/>
      <protection locked="true" hidden="false"/>
    </xf>
    <xf numFmtId="165" fontId="23" fillId="0" borderId="0" xfId="23" applyFont="true" applyBorder="true" applyAlignment="true" applyProtection="true">
      <alignment horizontal="center" vertical="bottom" textRotation="0" wrapText="false" indent="0" shrinkToFit="false"/>
      <protection locked="true" hidden="false"/>
    </xf>
    <xf numFmtId="164" fontId="23" fillId="0" borderId="63" xfId="21" applyFont="true" applyBorder="true" applyAlignment="false" applyProtection="false">
      <alignment horizontal="general" vertical="bottom" textRotation="0" wrapText="false" indent="0" shrinkToFit="false"/>
      <protection locked="true" hidden="false"/>
    </xf>
    <xf numFmtId="164" fontId="23" fillId="0" borderId="63" xfId="21" applyFont="true" applyBorder="true" applyAlignment="true" applyProtection="false">
      <alignment horizontal="center" vertical="bottom" textRotation="0" wrapText="false" indent="0" shrinkToFit="false"/>
      <protection locked="true" hidden="false"/>
    </xf>
    <xf numFmtId="164" fontId="23" fillId="0" borderId="0" xfId="21" applyFont="true" applyBorder="true" applyAlignment="false" applyProtection="false">
      <alignment horizontal="general" vertical="bottom" textRotation="0" wrapText="false" indent="0" shrinkToFit="false"/>
      <protection locked="true" hidden="false"/>
    </xf>
    <xf numFmtId="164" fontId="23" fillId="0" borderId="0" xfId="21" applyFont="true" applyBorder="true" applyAlignment="true" applyProtection="false">
      <alignment horizontal="center" vertical="bottom" textRotation="0" wrapText="false" indent="0" shrinkToFit="false"/>
      <protection locked="true" hidden="false"/>
    </xf>
    <xf numFmtId="164" fontId="23" fillId="0" borderId="48" xfId="21" applyFont="true" applyBorder="true" applyAlignment="false" applyProtection="false">
      <alignment horizontal="general" vertical="bottom" textRotation="0" wrapText="false" indent="0" shrinkToFit="false"/>
      <protection locked="true" hidden="false"/>
    </xf>
    <xf numFmtId="164" fontId="23" fillId="0" borderId="48" xfId="21" applyFont="true" applyBorder="true" applyAlignment="true" applyProtection="false">
      <alignment horizontal="center" vertical="bottom" textRotation="0" wrapText="false" indent="0" shrinkToFit="false"/>
      <protection locked="true" hidden="false"/>
    </xf>
    <xf numFmtId="164" fontId="23" fillId="20" borderId="48" xfId="21" applyFont="true" applyBorder="true" applyAlignment="false" applyProtection="false">
      <alignment horizontal="general" vertical="bottom" textRotation="0" wrapText="false" indent="0" shrinkToFit="false"/>
      <protection locked="true" hidden="false"/>
    </xf>
    <xf numFmtId="164" fontId="11" fillId="0" borderId="7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true" hidden="false"/>
    </xf>
    <xf numFmtId="164" fontId="11" fillId="0" borderId="70" xfId="0" applyFont="true" applyBorder="true" applyAlignment="true" applyProtection="true">
      <alignment horizontal="center" vertical="bottom" textRotation="0" wrapText="false" indent="0" shrinkToFit="false"/>
      <protection locked="true" hidden="false"/>
    </xf>
    <xf numFmtId="164" fontId="5" fillId="0" borderId="70" xfId="0" applyFont="true" applyBorder="true" applyAlignment="true" applyProtection="true">
      <alignment horizontal="general" vertical="bottom" textRotation="0" wrapText="false" indent="0" shrinkToFit="false"/>
      <protection locked="true" hidden="false"/>
    </xf>
    <xf numFmtId="164" fontId="10" fillId="0" borderId="70" xfId="0" applyFont="true" applyBorder="true" applyAlignment="true" applyProtection="true">
      <alignment horizontal="center" vertical="center" textRotation="0" wrapText="false" indent="0" shrinkToFit="false"/>
      <protection locked="true" hidden="false"/>
    </xf>
    <xf numFmtId="164" fontId="10" fillId="7" borderId="0" xfId="0" applyFont="true" applyBorder="true" applyAlignment="true" applyProtection="true">
      <alignment horizontal="center" vertical="center" textRotation="0" wrapText="false" indent="0" shrinkToFit="false"/>
      <protection locked="true" hidden="false"/>
    </xf>
    <xf numFmtId="164" fontId="10" fillId="6" borderId="0" xfId="0" applyFont="true" applyBorder="true" applyAlignment="true" applyProtection="true">
      <alignment horizontal="center" vertical="center" textRotation="0" wrapText="false" indent="0" shrinkToFit="false"/>
      <protection locked="true" hidden="false"/>
    </xf>
    <xf numFmtId="167" fontId="10" fillId="7" borderId="0" xfId="0" applyFont="true" applyBorder="true" applyAlignment="true" applyProtection="true">
      <alignment horizontal="center" vertical="center" textRotation="0" wrapText="false" indent="0" shrinkToFit="false"/>
      <protection locked="true" hidden="false"/>
    </xf>
    <xf numFmtId="167" fontId="5" fillId="0" borderId="0" xfId="0" applyFont="true" applyBorder="true" applyAlignment="true" applyProtection="true">
      <alignment horizontal="general" vertical="bottom" textRotation="0" wrapText="false" indent="0" shrinkToFit="false"/>
      <protection locked="true" hidden="false"/>
    </xf>
    <xf numFmtId="164" fontId="5" fillId="0" borderId="70" xfId="0" applyFont="true" applyBorder="true" applyAlignment="true" applyProtection="true">
      <alignment horizontal="center" vertical="center" textRotation="0" wrapText="false" indent="0" shrinkToFit="false"/>
      <protection locked="true" hidden="false"/>
    </xf>
    <xf numFmtId="164" fontId="10" fillId="0" borderId="70" xfId="0" applyFont="true" applyBorder="true" applyAlignment="true" applyProtection="true">
      <alignment horizontal="center" vertical="bottom" textRotation="0" wrapText="false" indent="0" shrinkToFit="false"/>
      <protection locked="true" hidden="false"/>
    </xf>
    <xf numFmtId="164" fontId="10" fillId="10" borderId="0" xfId="0" applyFont="true" applyBorder="true" applyAlignment="true" applyProtection="true">
      <alignment horizontal="center" vertical="bottom" textRotation="0" wrapText="false" indent="0" shrinkToFit="false"/>
      <protection locked="true" hidden="false"/>
    </xf>
    <xf numFmtId="164" fontId="10" fillId="15" borderId="0" xfId="0" applyFont="true" applyBorder="true" applyAlignment="true" applyProtection="true">
      <alignment horizontal="center" vertical="bottom" textRotation="0" wrapText="false" indent="0" shrinkToFit="false"/>
      <protection locked="true" hidden="false"/>
    </xf>
    <xf numFmtId="164" fontId="10" fillId="13" borderId="0" xfId="0" applyFont="true" applyBorder="true" applyAlignment="true" applyProtection="true">
      <alignment horizontal="center" vertical="bottom" textRotation="0" wrapText="false" indent="0" shrinkToFit="false"/>
      <protection locked="true" hidden="false"/>
    </xf>
    <xf numFmtId="164" fontId="10" fillId="18" borderId="0" xfId="0" applyFont="true" applyBorder="true" applyAlignment="true" applyProtection="true">
      <alignment horizontal="center" vertical="bottom" textRotation="0" wrapText="false" indent="0" shrinkToFit="false"/>
      <protection locked="true" hidden="false"/>
    </xf>
    <xf numFmtId="164" fontId="10" fillId="9" borderId="0" xfId="0" applyFont="true" applyBorder="true" applyAlignment="true" applyProtection="true">
      <alignment horizontal="center" vertical="bottom" textRotation="0" wrapText="false" indent="0" shrinkToFit="false"/>
      <protection locked="true" hidden="false"/>
    </xf>
    <xf numFmtId="164" fontId="10" fillId="6" borderId="0" xfId="0" applyFont="true" applyBorder="true" applyAlignment="true" applyProtection="true">
      <alignment horizontal="center" vertical="bottom" textRotation="0" wrapText="false" indent="0" shrinkToFit="false"/>
      <protection locked="true" hidden="false"/>
    </xf>
    <xf numFmtId="164" fontId="5" fillId="21" borderId="0" xfId="21" applyFont="true" applyBorder="false" applyAlignment="false" applyProtection="false">
      <alignment horizontal="general" vertical="bottom" textRotation="0" wrapText="false" indent="0" shrinkToFit="false"/>
      <protection locked="true" hidden="false"/>
    </xf>
    <xf numFmtId="164" fontId="28" fillId="21" borderId="0" xfId="21" applyFont="true" applyBorder="false" applyAlignment="true" applyProtection="false">
      <alignment horizontal="left" vertical="top"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Hyperlink 2" xfId="20"/>
    <cellStyle name="Normal 2" xfId="21"/>
    <cellStyle name="Normal 2 2" xfId="22"/>
    <cellStyle name="Percent 2" xfId="23"/>
  </cellStyles>
  <dxfs count="635">
    <dxf>
      <fill>
        <patternFill>
          <bgColor rgb="FFA7C0D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A7C0DE"/>
        </patternFill>
      </fill>
    </dxf>
    <dxf>
      <fill>
        <patternFill patternType="solid">
          <bgColor rgb="FF000000"/>
        </patternFill>
      </fill>
    </dxf>
  </dxfs>
  <colors>
    <indexedColors>
      <rgbColor rgb="FF000000"/>
      <rgbColor rgb="FFFFFFFF"/>
      <rgbColor rgb="FFFF0000"/>
      <rgbColor rgb="FF00FF00"/>
      <rgbColor rgb="FF0000FF"/>
      <rgbColor rgb="FFD5D514"/>
      <rgbColor rgb="FFFF00FF"/>
      <rgbColor rgb="FF00FFFF"/>
      <rgbColor rgb="FF9C0006"/>
      <rgbColor rgb="FF006100"/>
      <rgbColor rgb="FF000080"/>
      <rgbColor rgb="FFB07667"/>
      <rgbColor rgb="FF800080"/>
      <rgbColor rgb="FF2988A1"/>
      <rgbColor rgb="FFC0C0C0"/>
      <rgbColor rgb="FF808080"/>
      <rgbColor rgb="FF95B3D7"/>
      <rgbColor rgb="FFC0504D"/>
      <rgbColor rgb="FFDDD9C3"/>
      <rgbColor rgb="FFDCE6F2"/>
      <rgbColor rgb="FF611816"/>
      <rgbColor rgb="FFD59E7B"/>
      <rgbColor rgb="FF8BA988"/>
      <rgbColor rgb="FFD9D9D9"/>
      <rgbColor rgb="FF000080"/>
      <rgbColor rgb="FFFF00FF"/>
      <rgbColor rgb="FFD4D513"/>
      <rgbColor rgb="FF00FFFF"/>
      <rgbColor rgb="FF800080"/>
      <rgbColor rgb="FF791F17"/>
      <rgbColor rgb="FF3290C4"/>
      <rgbColor rgb="FF0000FF"/>
      <rgbColor rgb="FF00B0F0"/>
      <rgbColor rgb="FFDDDDDD"/>
      <rgbColor rgb="FFC6EFCE"/>
      <rgbColor rgb="FFFFC221"/>
      <rgbColor rgb="FF99CCFF"/>
      <rgbColor rgb="FF94BCDD"/>
      <rgbColor rgb="FFA7C0DE"/>
      <rgbColor rgb="FFFFC7CE"/>
      <rgbColor rgb="FF878787"/>
      <rgbColor rgb="FF34B3D5"/>
      <rgbColor rgb="FFBDBF17"/>
      <rgbColor rgb="FFFFC000"/>
      <rgbColor rgb="FFD9A619"/>
      <rgbColor rgb="FF9BBB59"/>
      <rgbColor rgb="FF595959"/>
      <rgbColor rgb="FF969696"/>
      <rgbColor rgb="FF003366"/>
      <rgbColor rgb="FF339966"/>
      <rgbColor rgb="FF010000"/>
      <rgbColor rgb="FF37793E"/>
      <rgbColor rgb="FF801E1B"/>
      <rgbColor rgb="FFB75727"/>
      <rgbColor rgb="FF8BAA88"/>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sharedStrings" Target="sharedStrings.xml"/>
</Relationships>
</file>

<file path=xl/charts/_rels/chart6.xml.rels><?xml version="1.0" encoding="UTF-8"?>
<Relationships xmlns="http://schemas.openxmlformats.org/package/2006/relationships"><Relationship Id="rId1" Type="http://schemas.openxmlformats.org/officeDocument/2006/relationships/image" Target="../media/image2.png"/>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600" spc="-1" strike="noStrike">
                <a:solidFill>
                  <a:srgbClr val="595959"/>
                </a:solidFill>
                <a:latin typeface="Calibri"/>
              </a:defRPr>
            </a:pPr>
            <a:r>
              <a:rPr b="1" lang="en-US" sz="1600" spc="-1" strike="noStrike">
                <a:solidFill>
                  <a:srgbClr val="595959"/>
                </a:solidFill>
                <a:latin typeface="Calibri"/>
              </a:rPr>
              <a:t>SAMM Current Score</a:t>
            </a:r>
          </a:p>
        </c:rich>
      </c:tx>
      <c:layout>
        <c:manualLayout>
          <c:xMode val="edge"/>
          <c:yMode val="edge"/>
          <c:x val="0.68838265559577"/>
          <c:y val="0.91049837805957"/>
        </c:manualLayout>
      </c:layout>
      <c:overlay val="0"/>
      <c:spPr>
        <a:noFill/>
        <a:ln w="0">
          <a:noFill/>
        </a:ln>
      </c:spPr>
    </c:title>
    <c:autoTitleDeleted val="0"/>
    <c:plotArea>
      <c:radarChart>
        <c:radarStyle val="filled"/>
        <c:varyColors val="0"/>
        <c:ser>
          <c:idx val="0"/>
          <c:order val="0"/>
          <c:tx>
            <c:strRef>
              <c:f>Scorecard!$V$13</c:f>
              <c:strCache>
                <c:ptCount val="1"/>
                <c:pt idx="0">
                  <c:v>Governance</c:v>
                </c:pt>
              </c:strCache>
            </c:strRef>
          </c:tx>
          <c:spPr>
            <a:gradFill>
              <a:gsLst>
                <a:gs pos="0">
                  <a:srgbClr val="2988a1"/>
                </a:gs>
                <a:gs pos="80000">
                  <a:srgbClr val="36b0d1"/>
                </a:gs>
                <a:gs pos="100000">
                  <a:srgbClr val="34b3d5"/>
                </a:gs>
              </a:gsLst>
              <a:lin ang="16200000"/>
            </a:gra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1"/>
          <c:order val="1"/>
          <c:tx>
            <c:strRef>
              <c:f>Scorecard!$W$13</c:f>
              <c:strCache>
                <c:ptCount val="1"/>
                <c:pt idx="0">
                  <c:v>Design</c:v>
                </c:pt>
              </c:strCache>
            </c:strRef>
          </c:tx>
          <c:spPr>
            <a:solidFill>
              <a:srgbClr val="b75727"/>
            </a:soli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2"/>
          <c:order val="2"/>
          <c:tx>
            <c:strRef>
              <c:f>Scorecard!$X$13</c:f>
              <c:strCache>
                <c:ptCount val="1"/>
                <c:pt idx="0">
                  <c:v>Implementation</c:v>
                </c:pt>
              </c:strCache>
            </c:strRef>
          </c:tx>
          <c:spPr>
            <a:solidFill>
              <a:srgbClr val="ffc221"/>
            </a:solidFill>
            <a:ln w="2556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3"/>
          <c:order val="3"/>
          <c:tx>
            <c:strRef>
              <c:f>Scorecard!$Y$13</c:f>
              <c:strCache>
                <c:ptCount val="1"/>
                <c:pt idx="0">
                  <c:v>Verification</c:v>
                </c:pt>
              </c:strCache>
            </c:strRef>
          </c:tx>
          <c:spPr>
            <a:solidFill>
              <a:srgbClr val="37793e"/>
            </a:soli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4"/>
          <c:order val="4"/>
          <c:tx>
            <c:strRef>
              <c:f>Scorecard!$Z$13</c:f>
              <c:strCache>
                <c:ptCount val="1"/>
                <c:pt idx="0">
                  <c:v>Operations</c:v>
                </c:pt>
              </c:strCache>
            </c:strRef>
          </c:tx>
          <c:spPr>
            <a:gradFill>
              <a:gsLst>
                <a:gs pos="0">
                  <a:srgbClr val="611816"/>
                </a:gs>
                <a:gs pos="80000">
                  <a:srgbClr val="7e1f1d"/>
                </a:gs>
                <a:gs pos="100000">
                  <a:srgbClr val="801e1b"/>
                </a:gs>
              </a:gsLst>
              <a:lin ang="16200000"/>
            </a:gra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axId val="56531166"/>
        <c:axId val="58732280"/>
      </c:radarChart>
      <c:catAx>
        <c:axId val="56531166"/>
        <c:scaling>
          <c:orientation val="maxMin"/>
        </c:scaling>
        <c:delete val="0"/>
        <c:axPos val="b"/>
        <c:numFmt formatCode="General" sourceLinked="0"/>
        <c:majorTickMark val="none"/>
        <c:minorTickMark val="none"/>
        <c:tickLblPos val="nextTo"/>
        <c:spPr>
          <a:ln w="12600">
            <a:noFill/>
          </a:ln>
        </c:spPr>
        <c:txPr>
          <a:bodyPr/>
          <a:lstStyle/>
          <a:p>
            <a:pPr>
              <a:defRPr b="0" sz="900" spc="-1" strike="noStrike">
                <a:solidFill>
                  <a:srgbClr val="595959"/>
                </a:solidFill>
                <a:latin typeface="Calibri"/>
              </a:defRPr>
            </a:pPr>
          </a:p>
        </c:txPr>
        <c:crossAx val="58732280"/>
        <c:crosses val="autoZero"/>
        <c:auto val="1"/>
        <c:lblAlgn val="ctr"/>
        <c:lblOffset val="100"/>
        <c:noMultiLvlLbl val="0"/>
      </c:catAx>
      <c:valAx>
        <c:axId val="58732280"/>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56531166"/>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524399126001457"/>
          <c:y val="0.158174692049272"/>
          <c:w val="0.920429715950473"/>
          <c:h val="0.645296752519597"/>
        </c:manualLayout>
      </c:layout>
      <c:areaChart>
        <c:grouping val="standard"/>
        <c:ser>
          <c:idx val="0"/>
          <c:order val="0"/>
          <c:spPr>
            <a:solidFill>
              <a:srgbClr val="b75727"/>
            </a:solidFill>
            <a:ln w="25560">
              <a:noFill/>
            </a:ln>
          </c:spPr>
          <c:dLbls>
            <c:txPr>
              <a:bodyPr wrap="square"/>
              <a:lstStyle/>
              <a:p>
                <a:pPr>
                  <a:defRPr b="0" sz="350" spc="-1" strike="noStrike">
                    <a:solidFill>
                      <a:srgbClr val="000000"/>
                    </a:solidFill>
                    <a:latin typeface="Arial"/>
                    <a:ea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'Roadmap Chart'!$B$15:$J$15</c:f>
              <c:numCache>
                <c:formatCode>0.00</c:formatCode>
                <c:ptCount val="9"/>
                <c:pt idx="0">
                  <c:v>0</c:v>
                </c:pt>
                <c:pt idx="1">
                  <c:v>0</c:v>
                </c:pt>
                <c:pt idx="2">
                  <c:v>0</c:v>
                </c:pt>
                <c:pt idx="3">
                  <c:v>0</c:v>
                </c:pt>
                <c:pt idx="4">
                  <c:v>0</c:v>
                </c:pt>
                <c:pt idx="5">
                  <c:v>0</c:v>
                </c:pt>
                <c:pt idx="6">
                  <c:v>0</c:v>
                </c:pt>
                <c:pt idx="7">
                  <c:v>0</c:v>
                </c:pt>
                <c:pt idx="8">
                  <c:v>0</c:v>
                </c:pt>
              </c:numCache>
            </c:numRef>
          </c:val>
        </c:ser>
        <c:axId val="14958136"/>
        <c:axId val="95504105"/>
      </c:areaChart>
      <c:catAx>
        <c:axId val="14958136"/>
        <c:scaling>
          <c:orientation val="minMax"/>
        </c:scaling>
        <c:delete val="0"/>
        <c:axPos val="b"/>
        <c:numFmt formatCode="General" sourceLinked="0"/>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95504105"/>
        <c:crosses val="autoZero"/>
        <c:auto val="1"/>
        <c:lblAlgn val="ctr"/>
        <c:lblOffset val="100"/>
        <c:noMultiLvlLbl val="0"/>
      </c:catAx>
      <c:valAx>
        <c:axId val="95504105"/>
        <c:scaling>
          <c:orientation val="minMax"/>
          <c:max val="3"/>
        </c:scaling>
        <c:delete val="0"/>
        <c:axPos val="l"/>
        <c:majorGridlines>
          <c:spPr>
            <a:ln w="3240">
              <a:solidFill>
                <a:srgbClr val="c0c0c0"/>
              </a:solidFill>
              <a:prstDash val="sysDash"/>
              <a:round/>
            </a:ln>
          </c:spPr>
        </c:majorGridlines>
        <c:numFmt formatCode="0.00"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14958136"/>
        <c:crosses val="autoZero"/>
        <c:crossBetween val="midCat"/>
        <c:majorUnit val="1"/>
        <c:minorUnit val="0.5"/>
      </c:valAx>
      <c:spPr>
        <a:noFill/>
        <a:ln w="25560">
          <a:noFill/>
        </a:ln>
      </c:spPr>
    </c:plotArea>
    <c:plotVisOnly val="1"/>
    <c:dispBlanksAs val="zero"/>
  </c:chart>
  <c:spPr>
    <a:noFill/>
    <a:ln w="9360">
      <a:noFill/>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524783109870776"/>
          <c:y val="0.158251057827927"/>
          <c:w val="0.920402839288964"/>
          <c:h val="0.645416078984485"/>
        </c:manualLayout>
      </c:layout>
      <c:areaChart>
        <c:grouping val="standard"/>
        <c:ser>
          <c:idx val="0"/>
          <c:order val="0"/>
          <c:spPr>
            <a:solidFill>
              <a:srgbClr val="b75727"/>
            </a:solidFill>
            <a:ln w="25560">
              <a:noFill/>
            </a:ln>
          </c:spPr>
          <c:dLbls>
            <c:txPr>
              <a:bodyPr wrap="square"/>
              <a:lstStyle/>
              <a:p>
                <a:pPr>
                  <a:defRPr b="0" sz="350" spc="-1" strike="noStrike">
                    <a:solidFill>
                      <a:srgbClr val="000000"/>
                    </a:solidFill>
                    <a:latin typeface="Arial"/>
                    <a:ea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'Roadmap Chart'!$B$16:$J$16</c:f>
              <c:numCache>
                <c:formatCode>0.00</c:formatCode>
                <c:ptCount val="9"/>
                <c:pt idx="0">
                  <c:v>0</c:v>
                </c:pt>
                <c:pt idx="1">
                  <c:v>0</c:v>
                </c:pt>
                <c:pt idx="2">
                  <c:v>0</c:v>
                </c:pt>
                <c:pt idx="3">
                  <c:v>0</c:v>
                </c:pt>
                <c:pt idx="4">
                  <c:v>0</c:v>
                </c:pt>
                <c:pt idx="5">
                  <c:v>0</c:v>
                </c:pt>
                <c:pt idx="6">
                  <c:v>0</c:v>
                </c:pt>
                <c:pt idx="7">
                  <c:v>0</c:v>
                </c:pt>
                <c:pt idx="8">
                  <c:v>0</c:v>
                </c:pt>
              </c:numCache>
            </c:numRef>
          </c:val>
        </c:ser>
        <c:axId val="39828608"/>
        <c:axId val="88051842"/>
      </c:areaChart>
      <c:catAx>
        <c:axId val="39828608"/>
        <c:scaling>
          <c:orientation val="minMax"/>
        </c:scaling>
        <c:delete val="0"/>
        <c:axPos val="b"/>
        <c:numFmt formatCode="General" sourceLinked="0"/>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88051842"/>
        <c:crosses val="autoZero"/>
        <c:auto val="1"/>
        <c:lblAlgn val="ctr"/>
        <c:lblOffset val="100"/>
        <c:noMultiLvlLbl val="0"/>
      </c:catAx>
      <c:valAx>
        <c:axId val="88051842"/>
        <c:scaling>
          <c:orientation val="minMax"/>
          <c:max val="3"/>
        </c:scaling>
        <c:delete val="0"/>
        <c:axPos val="l"/>
        <c:majorGridlines>
          <c:spPr>
            <a:ln w="3240">
              <a:solidFill>
                <a:srgbClr val="c0c0c0"/>
              </a:solidFill>
              <a:prstDash val="sysDash"/>
              <a:round/>
            </a:ln>
          </c:spPr>
        </c:majorGridlines>
        <c:numFmt formatCode="0.00"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39828608"/>
        <c:crosses val="autoZero"/>
        <c:crossBetween val="midCat"/>
        <c:majorUnit val="1"/>
        <c:minorUnit val="0.5"/>
      </c:valAx>
      <c:spPr>
        <a:noFill/>
        <a:ln w="25560">
          <a:noFill/>
        </a:ln>
      </c:spPr>
    </c:plotArea>
    <c:plotVisOnly val="1"/>
    <c:dispBlanksAs val="zero"/>
  </c:chart>
  <c:spPr>
    <a:noFill/>
    <a:ln w="9360">
      <a:noFill/>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523627075351213"/>
          <c:y val="0.157290792051497"/>
          <c:w val="0.920574104482151"/>
          <c:h val="0.647635040582144"/>
        </c:manualLayout>
      </c:layout>
      <c:areaChart>
        <c:grouping val="standard"/>
        <c:ser>
          <c:idx val="0"/>
          <c:order val="0"/>
          <c:spPr>
            <a:solidFill>
              <a:srgbClr val="b75727"/>
            </a:solidFill>
            <a:ln w="25560">
              <a:noFill/>
            </a:ln>
          </c:spPr>
          <c:dLbls>
            <c:txPr>
              <a:bodyPr wrap="square"/>
              <a:lstStyle/>
              <a:p>
                <a:pPr>
                  <a:defRPr b="0" sz="350" spc="-1" strike="noStrike">
                    <a:solidFill>
                      <a:srgbClr val="000000"/>
                    </a:solidFill>
                    <a:latin typeface="Arial"/>
                    <a:ea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'Roadmap Chart'!$B$17:$J$17</c:f>
              <c:numCache>
                <c:formatCode>0.00</c:formatCode>
                <c:ptCount val="9"/>
                <c:pt idx="0">
                  <c:v>0</c:v>
                </c:pt>
                <c:pt idx="1">
                  <c:v>0</c:v>
                </c:pt>
                <c:pt idx="2">
                  <c:v>0</c:v>
                </c:pt>
                <c:pt idx="3">
                  <c:v>0</c:v>
                </c:pt>
                <c:pt idx="4">
                  <c:v>0</c:v>
                </c:pt>
                <c:pt idx="5">
                  <c:v>0</c:v>
                </c:pt>
                <c:pt idx="6">
                  <c:v>0</c:v>
                </c:pt>
                <c:pt idx="7">
                  <c:v>0</c:v>
                </c:pt>
                <c:pt idx="8">
                  <c:v>0</c:v>
                </c:pt>
              </c:numCache>
            </c:numRef>
          </c:val>
        </c:ser>
        <c:axId val="56897188"/>
        <c:axId val="52587770"/>
      </c:areaChart>
      <c:catAx>
        <c:axId val="56897188"/>
        <c:scaling>
          <c:orientation val="minMax"/>
        </c:scaling>
        <c:delete val="0"/>
        <c:axPos val="b"/>
        <c:numFmt formatCode="General" sourceLinked="0"/>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52587770"/>
        <c:crosses val="autoZero"/>
        <c:auto val="1"/>
        <c:lblAlgn val="ctr"/>
        <c:lblOffset val="100"/>
        <c:noMultiLvlLbl val="0"/>
      </c:catAx>
      <c:valAx>
        <c:axId val="52587770"/>
        <c:scaling>
          <c:orientation val="minMax"/>
          <c:max val="3"/>
        </c:scaling>
        <c:delete val="0"/>
        <c:axPos val="l"/>
        <c:majorGridlines>
          <c:spPr>
            <a:ln w="3240">
              <a:solidFill>
                <a:srgbClr val="c0c0c0"/>
              </a:solidFill>
              <a:prstDash val="sysDash"/>
              <a:round/>
            </a:ln>
          </c:spPr>
        </c:majorGridlines>
        <c:numFmt formatCode="0.00"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56897188"/>
        <c:crosses val="autoZero"/>
        <c:crossBetween val="midCat"/>
        <c:majorUnit val="1"/>
        <c:minorUnit val="0.5"/>
      </c:valAx>
      <c:spPr>
        <a:noFill/>
        <a:ln w="25560">
          <a:noFill/>
        </a:ln>
      </c:spPr>
    </c:plotArea>
    <c:plotVisOnly val="1"/>
    <c:dispBlanksAs val="zero"/>
  </c:chart>
  <c:spPr>
    <a:noFill/>
    <a:ln w="9360">
      <a:noFill/>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524240033978521"/>
          <c:y val="0.156197887715397"/>
          <c:w val="0.920393180025484"/>
          <c:h val="0.649805447470817"/>
        </c:manualLayout>
      </c:layout>
      <c:areaChart>
        <c:grouping val="standard"/>
        <c:ser>
          <c:idx val="0"/>
          <c:order val="0"/>
          <c:spPr>
            <a:solidFill>
              <a:srgbClr val="37793e"/>
            </a:solidFill>
            <a:ln w="25560">
              <a:noFill/>
            </a:ln>
          </c:spPr>
          <c:dLbls>
            <c:txPr>
              <a:bodyPr wrap="square"/>
              <a:lstStyle/>
              <a:p>
                <a:pPr>
                  <a:defRPr b="0" sz="375" spc="-1" strike="noStrike">
                    <a:solidFill>
                      <a:srgbClr val="000000"/>
                    </a:solidFill>
                    <a:latin typeface="Arial"/>
                    <a:ea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'Roadmap Chart'!$B$21:$J$21</c:f>
              <c:numCache>
                <c:formatCode>0.00</c:formatCode>
                <c:ptCount val="9"/>
                <c:pt idx="0">
                  <c:v>0</c:v>
                </c:pt>
                <c:pt idx="1">
                  <c:v>0</c:v>
                </c:pt>
                <c:pt idx="2">
                  <c:v>0</c:v>
                </c:pt>
                <c:pt idx="3">
                  <c:v>0</c:v>
                </c:pt>
                <c:pt idx="4">
                  <c:v>0</c:v>
                </c:pt>
                <c:pt idx="5">
                  <c:v>0</c:v>
                </c:pt>
                <c:pt idx="6">
                  <c:v>0</c:v>
                </c:pt>
                <c:pt idx="7">
                  <c:v>0</c:v>
                </c:pt>
                <c:pt idx="8">
                  <c:v>0</c:v>
                </c:pt>
              </c:numCache>
            </c:numRef>
          </c:val>
        </c:ser>
        <c:axId val="87730192"/>
        <c:axId val="94803879"/>
      </c:areaChart>
      <c:catAx>
        <c:axId val="87730192"/>
        <c:scaling>
          <c:orientation val="minMax"/>
        </c:scaling>
        <c:delete val="0"/>
        <c:axPos val="b"/>
        <c:numFmt formatCode="General" sourceLinked="0"/>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94803879"/>
        <c:crosses val="autoZero"/>
        <c:auto val="1"/>
        <c:lblAlgn val="ctr"/>
        <c:lblOffset val="100"/>
        <c:noMultiLvlLbl val="0"/>
      </c:catAx>
      <c:valAx>
        <c:axId val="94803879"/>
        <c:scaling>
          <c:orientation val="minMax"/>
          <c:max val="3"/>
        </c:scaling>
        <c:delete val="0"/>
        <c:axPos val="l"/>
        <c:majorGridlines>
          <c:spPr>
            <a:ln w="3240">
              <a:solidFill>
                <a:srgbClr val="c0c0c0"/>
              </a:solidFill>
              <a:prstDash val="sysDash"/>
              <a:round/>
            </a:ln>
          </c:spPr>
        </c:majorGridlines>
        <c:numFmt formatCode="0.00"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87730192"/>
        <c:crosses val="autoZero"/>
        <c:crossBetween val="midCat"/>
        <c:majorUnit val="1"/>
        <c:minorUnit val="0.5"/>
      </c:valAx>
      <c:spPr>
        <a:noFill/>
        <a:ln w="25560">
          <a:noFill/>
        </a:ln>
      </c:spPr>
    </c:plotArea>
    <c:plotVisOnly val="1"/>
    <c:dispBlanksAs val="zero"/>
  </c:chart>
  <c:spPr>
    <a:noFill/>
    <a:ln w="9360">
      <a:noFill/>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523633274679934"/>
          <c:y val="0.155353200883002"/>
          <c:w val="0.92057520781506"/>
          <c:h val="0.652041942604857"/>
        </c:manualLayout>
      </c:layout>
      <c:areaChart>
        <c:grouping val="standard"/>
        <c:ser>
          <c:idx val="0"/>
          <c:order val="0"/>
          <c:spPr>
            <a:solidFill>
              <a:srgbClr val="37793e"/>
            </a:solidFill>
            <a:ln w="25560">
              <a:noFill/>
            </a:ln>
          </c:spPr>
          <c:dLbls>
            <c:txPr>
              <a:bodyPr wrap="square"/>
              <a:lstStyle/>
              <a:p>
                <a:pPr>
                  <a:defRPr b="0" sz="375" spc="-1" strike="noStrike">
                    <a:solidFill>
                      <a:srgbClr val="000000"/>
                    </a:solidFill>
                    <a:latin typeface="Arial"/>
                    <a:ea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'Roadmap Chart'!$B$22:$J$22</c:f>
              <c:numCache>
                <c:formatCode>0.00</c:formatCode>
                <c:ptCount val="9"/>
                <c:pt idx="0">
                  <c:v>0</c:v>
                </c:pt>
                <c:pt idx="1">
                  <c:v>0</c:v>
                </c:pt>
                <c:pt idx="2">
                  <c:v>0</c:v>
                </c:pt>
                <c:pt idx="3">
                  <c:v>0</c:v>
                </c:pt>
                <c:pt idx="4">
                  <c:v>0</c:v>
                </c:pt>
                <c:pt idx="5">
                  <c:v>0</c:v>
                </c:pt>
                <c:pt idx="6">
                  <c:v>0</c:v>
                </c:pt>
                <c:pt idx="7">
                  <c:v>0</c:v>
                </c:pt>
                <c:pt idx="8">
                  <c:v>0</c:v>
                </c:pt>
              </c:numCache>
            </c:numRef>
          </c:val>
        </c:ser>
        <c:axId val="80930180"/>
        <c:axId val="86367820"/>
      </c:areaChart>
      <c:catAx>
        <c:axId val="80930180"/>
        <c:scaling>
          <c:orientation val="minMax"/>
        </c:scaling>
        <c:delete val="0"/>
        <c:axPos val="b"/>
        <c:numFmt formatCode="General" sourceLinked="0"/>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86367820"/>
        <c:crosses val="autoZero"/>
        <c:auto val="1"/>
        <c:lblAlgn val="ctr"/>
        <c:lblOffset val="100"/>
        <c:noMultiLvlLbl val="0"/>
      </c:catAx>
      <c:valAx>
        <c:axId val="86367820"/>
        <c:scaling>
          <c:orientation val="minMax"/>
          <c:max val="3"/>
        </c:scaling>
        <c:delete val="0"/>
        <c:axPos val="l"/>
        <c:majorGridlines>
          <c:spPr>
            <a:ln w="3240">
              <a:solidFill>
                <a:srgbClr val="c0c0c0"/>
              </a:solidFill>
              <a:prstDash val="sysDash"/>
              <a:round/>
            </a:ln>
          </c:spPr>
        </c:majorGridlines>
        <c:numFmt formatCode="0.00"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80930180"/>
        <c:crosses val="autoZero"/>
        <c:crossBetween val="midCat"/>
        <c:majorUnit val="1"/>
        <c:minorUnit val="0.5"/>
      </c:valAx>
      <c:spPr>
        <a:noFill/>
        <a:ln w="25560">
          <a:noFill/>
        </a:ln>
      </c:spPr>
    </c:plotArea>
    <c:plotVisOnly val="1"/>
    <c:dispBlanksAs val="zero"/>
  </c:chart>
  <c:spPr>
    <a:noFill/>
    <a:ln w="9360">
      <a:noFill/>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525453552575693"/>
          <c:y val="0.155310344827586"/>
          <c:w val="0.920271828165767"/>
          <c:h val="0.651862068965517"/>
        </c:manualLayout>
      </c:layout>
      <c:areaChart>
        <c:grouping val="standard"/>
        <c:ser>
          <c:idx val="0"/>
          <c:order val="0"/>
          <c:spPr>
            <a:solidFill>
              <a:srgbClr val="37793e"/>
            </a:solidFill>
            <a:ln w="25560">
              <a:noFill/>
            </a:ln>
          </c:spPr>
          <c:dLbls>
            <c:txPr>
              <a:bodyPr wrap="square"/>
              <a:lstStyle/>
              <a:p>
                <a:pPr>
                  <a:defRPr b="0" sz="375" spc="-1" strike="noStrike">
                    <a:solidFill>
                      <a:srgbClr val="000000"/>
                    </a:solidFill>
                    <a:latin typeface="Arial"/>
                    <a:ea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'Roadmap Chart'!$B$23:$J$23</c:f>
              <c:numCache>
                <c:formatCode>0.00</c:formatCode>
                <c:ptCount val="9"/>
                <c:pt idx="0">
                  <c:v>0</c:v>
                </c:pt>
                <c:pt idx="1">
                  <c:v>0</c:v>
                </c:pt>
                <c:pt idx="2">
                  <c:v>0</c:v>
                </c:pt>
                <c:pt idx="3">
                  <c:v>0</c:v>
                </c:pt>
                <c:pt idx="4">
                  <c:v>0</c:v>
                </c:pt>
                <c:pt idx="5">
                  <c:v>0</c:v>
                </c:pt>
                <c:pt idx="6">
                  <c:v>0</c:v>
                </c:pt>
                <c:pt idx="7">
                  <c:v>0</c:v>
                </c:pt>
                <c:pt idx="8">
                  <c:v>0</c:v>
                </c:pt>
              </c:numCache>
            </c:numRef>
          </c:val>
        </c:ser>
        <c:axId val="78515821"/>
        <c:axId val="29317628"/>
      </c:areaChart>
      <c:catAx>
        <c:axId val="78515821"/>
        <c:scaling>
          <c:orientation val="minMax"/>
        </c:scaling>
        <c:delete val="0"/>
        <c:axPos val="b"/>
        <c:numFmt formatCode="General" sourceLinked="0"/>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29317628"/>
        <c:crosses val="autoZero"/>
        <c:auto val="1"/>
        <c:lblAlgn val="ctr"/>
        <c:lblOffset val="100"/>
        <c:noMultiLvlLbl val="0"/>
      </c:catAx>
      <c:valAx>
        <c:axId val="29317628"/>
        <c:scaling>
          <c:orientation val="minMax"/>
          <c:max val="3"/>
        </c:scaling>
        <c:delete val="0"/>
        <c:axPos val="l"/>
        <c:majorGridlines>
          <c:spPr>
            <a:ln w="3240">
              <a:solidFill>
                <a:srgbClr val="c0c0c0"/>
              </a:solidFill>
              <a:prstDash val="sysDash"/>
              <a:round/>
            </a:ln>
          </c:spPr>
        </c:majorGridlines>
        <c:numFmt formatCode="0.00"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78515821"/>
        <c:crosses val="autoZero"/>
        <c:crossBetween val="midCat"/>
        <c:majorUnit val="1"/>
        <c:minorUnit val="0.5"/>
      </c:valAx>
      <c:spPr>
        <a:noFill/>
        <a:ln w="25560">
          <a:noFill/>
        </a:ln>
      </c:spPr>
    </c:plotArea>
    <c:plotVisOnly val="1"/>
    <c:dispBlanksAs val="zero"/>
  </c:chart>
  <c:spPr>
    <a:noFill/>
    <a:ln w="9360">
      <a:noFill/>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524240033978521"/>
          <c:y val="0.154314159292035"/>
          <c:w val="0.920393180025484"/>
          <c:h val="0.654037610619469"/>
        </c:manualLayout>
      </c:layout>
      <c:areaChart>
        <c:grouping val="standard"/>
        <c:ser>
          <c:idx val="0"/>
          <c:order val="0"/>
          <c:spPr>
            <a:solidFill>
              <a:srgbClr val="791f17"/>
            </a:solidFill>
            <a:ln w="25560">
              <a:noFill/>
            </a:ln>
          </c:spPr>
          <c:dLbls>
            <c:txPr>
              <a:bodyPr wrap="square"/>
              <a:lstStyle/>
              <a:p>
                <a:pPr>
                  <a:defRPr b="0" sz="375" spc="-1" strike="noStrike">
                    <a:solidFill>
                      <a:srgbClr val="000000"/>
                    </a:solidFill>
                    <a:latin typeface="Arial"/>
                    <a:ea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'Roadmap Chart'!$B$24:$J$24</c:f>
              <c:numCache>
                <c:formatCode>0.00</c:formatCode>
                <c:ptCount val="9"/>
                <c:pt idx="0">
                  <c:v>0</c:v>
                </c:pt>
                <c:pt idx="1">
                  <c:v>0</c:v>
                </c:pt>
                <c:pt idx="2">
                  <c:v>0</c:v>
                </c:pt>
                <c:pt idx="3">
                  <c:v>0</c:v>
                </c:pt>
                <c:pt idx="4">
                  <c:v>0</c:v>
                </c:pt>
                <c:pt idx="5">
                  <c:v>0</c:v>
                </c:pt>
                <c:pt idx="6">
                  <c:v>0</c:v>
                </c:pt>
                <c:pt idx="7">
                  <c:v>0</c:v>
                </c:pt>
                <c:pt idx="8">
                  <c:v>0</c:v>
                </c:pt>
              </c:numCache>
            </c:numRef>
          </c:val>
        </c:ser>
        <c:axId val="95037815"/>
        <c:axId val="41833509"/>
      </c:areaChart>
      <c:catAx>
        <c:axId val="95037815"/>
        <c:scaling>
          <c:orientation val="minMax"/>
        </c:scaling>
        <c:delete val="0"/>
        <c:axPos val="b"/>
        <c:numFmt formatCode="General" sourceLinked="0"/>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41833509"/>
        <c:crosses val="autoZero"/>
        <c:auto val="1"/>
        <c:lblAlgn val="ctr"/>
        <c:lblOffset val="100"/>
        <c:noMultiLvlLbl val="0"/>
      </c:catAx>
      <c:valAx>
        <c:axId val="41833509"/>
        <c:scaling>
          <c:orientation val="minMax"/>
          <c:max val="3"/>
        </c:scaling>
        <c:delete val="0"/>
        <c:axPos val="l"/>
        <c:majorGridlines>
          <c:spPr>
            <a:ln w="3240">
              <a:solidFill>
                <a:srgbClr val="c0c0c0"/>
              </a:solidFill>
              <a:prstDash val="sysDash"/>
              <a:round/>
            </a:ln>
          </c:spPr>
        </c:majorGridlines>
        <c:numFmt formatCode="0.00"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95037815"/>
        <c:crosses val="autoZero"/>
        <c:crossBetween val="midCat"/>
        <c:majorUnit val="1"/>
        <c:minorUnit val="0.5"/>
      </c:valAx>
      <c:spPr>
        <a:noFill/>
        <a:ln w="25560">
          <a:noFill/>
        </a:ln>
      </c:spPr>
    </c:plotArea>
    <c:plotVisOnly val="1"/>
    <c:dispBlanksAs val="zero"/>
  </c:chart>
  <c:spPr>
    <a:noFill/>
    <a:ln w="9360">
      <a:noFill/>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523852932239441"/>
          <c:y val="0.153212520593081"/>
          <c:w val="0.920571254937709"/>
          <c:h val="0.656232839099396"/>
        </c:manualLayout>
      </c:layout>
      <c:areaChart>
        <c:grouping val="standard"/>
        <c:ser>
          <c:idx val="0"/>
          <c:order val="0"/>
          <c:spPr>
            <a:solidFill>
              <a:srgbClr val="791f17"/>
            </a:solidFill>
            <a:ln w="25560">
              <a:noFill/>
            </a:ln>
          </c:spPr>
          <c:dLbls>
            <c:txPr>
              <a:bodyPr wrap="square"/>
              <a:lstStyle/>
              <a:p>
                <a:pPr>
                  <a:defRPr b="0" sz="375" spc="-1" strike="noStrike">
                    <a:solidFill>
                      <a:srgbClr val="000000"/>
                    </a:solidFill>
                    <a:latin typeface="Arial"/>
                    <a:ea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'Roadmap Chart'!$B$25:$J$25</c:f>
              <c:numCache>
                <c:formatCode>0.00</c:formatCode>
                <c:ptCount val="9"/>
                <c:pt idx="0">
                  <c:v>0</c:v>
                </c:pt>
                <c:pt idx="1">
                  <c:v>0</c:v>
                </c:pt>
                <c:pt idx="2">
                  <c:v>0</c:v>
                </c:pt>
                <c:pt idx="3">
                  <c:v>0</c:v>
                </c:pt>
                <c:pt idx="4">
                  <c:v>0</c:v>
                </c:pt>
                <c:pt idx="5">
                  <c:v>0</c:v>
                </c:pt>
                <c:pt idx="6">
                  <c:v>0</c:v>
                </c:pt>
                <c:pt idx="7">
                  <c:v>0</c:v>
                </c:pt>
                <c:pt idx="8">
                  <c:v>0</c:v>
                </c:pt>
              </c:numCache>
            </c:numRef>
          </c:val>
        </c:ser>
        <c:axId val="99577672"/>
        <c:axId val="27169862"/>
      </c:areaChart>
      <c:catAx>
        <c:axId val="99577672"/>
        <c:scaling>
          <c:orientation val="minMax"/>
        </c:scaling>
        <c:delete val="0"/>
        <c:axPos val="b"/>
        <c:numFmt formatCode="General" sourceLinked="0"/>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27169862"/>
        <c:crosses val="autoZero"/>
        <c:auto val="1"/>
        <c:lblAlgn val="ctr"/>
        <c:lblOffset val="100"/>
        <c:noMultiLvlLbl val="0"/>
      </c:catAx>
      <c:valAx>
        <c:axId val="27169862"/>
        <c:scaling>
          <c:orientation val="minMax"/>
          <c:max val="3"/>
        </c:scaling>
        <c:delete val="0"/>
        <c:axPos val="l"/>
        <c:majorGridlines>
          <c:spPr>
            <a:ln w="3240">
              <a:solidFill>
                <a:srgbClr val="c0c0c0"/>
              </a:solidFill>
              <a:prstDash val="sysDash"/>
              <a:round/>
            </a:ln>
          </c:spPr>
        </c:majorGridlines>
        <c:numFmt formatCode="0.00"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99577672"/>
        <c:crosses val="autoZero"/>
        <c:crossBetween val="midCat"/>
        <c:majorUnit val="1"/>
        <c:minorUnit val="0.5"/>
      </c:valAx>
      <c:spPr>
        <a:noFill/>
        <a:ln w="25560">
          <a:noFill/>
        </a:ln>
      </c:spPr>
    </c:plotArea>
    <c:plotVisOnly val="1"/>
    <c:dispBlanksAs val="zero"/>
  </c:chart>
  <c:spPr>
    <a:noFill/>
    <a:ln w="9360">
      <a:noFill/>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523633274679934"/>
          <c:y val="0.15325460038451"/>
          <c:w val="0.92057520781506"/>
          <c:h val="0.656138423510025"/>
        </c:manualLayout>
      </c:layout>
      <c:areaChart>
        <c:grouping val="standard"/>
        <c:ser>
          <c:idx val="0"/>
          <c:order val="0"/>
          <c:spPr>
            <a:solidFill>
              <a:srgbClr val="791f17"/>
            </a:solidFill>
            <a:ln w="25560">
              <a:noFill/>
            </a:ln>
          </c:spPr>
          <c:dLbls>
            <c:txPr>
              <a:bodyPr wrap="square"/>
              <a:lstStyle/>
              <a:p>
                <a:pPr>
                  <a:defRPr b="0" sz="375" spc="-1" strike="noStrike">
                    <a:solidFill>
                      <a:srgbClr val="000000"/>
                    </a:solidFill>
                    <a:latin typeface="Arial"/>
                    <a:ea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'Roadmap Chart'!$B$26:$J$26</c:f>
              <c:numCache>
                <c:formatCode>0.00</c:formatCode>
                <c:ptCount val="9"/>
                <c:pt idx="0">
                  <c:v>0</c:v>
                </c:pt>
                <c:pt idx="1">
                  <c:v>0</c:v>
                </c:pt>
                <c:pt idx="2">
                  <c:v>0</c:v>
                </c:pt>
                <c:pt idx="3">
                  <c:v>0</c:v>
                </c:pt>
                <c:pt idx="4">
                  <c:v>0</c:v>
                </c:pt>
                <c:pt idx="5">
                  <c:v>0</c:v>
                </c:pt>
                <c:pt idx="6">
                  <c:v>0</c:v>
                </c:pt>
                <c:pt idx="7">
                  <c:v>0</c:v>
                </c:pt>
                <c:pt idx="8">
                  <c:v>0</c:v>
                </c:pt>
              </c:numCache>
            </c:numRef>
          </c:val>
        </c:ser>
        <c:axId val="91152589"/>
        <c:axId val="97029685"/>
      </c:areaChart>
      <c:catAx>
        <c:axId val="91152589"/>
        <c:scaling>
          <c:orientation val="minMax"/>
        </c:scaling>
        <c:delete val="0"/>
        <c:axPos val="b"/>
        <c:numFmt formatCode="General" sourceLinked="0"/>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97029685"/>
        <c:crosses val="autoZero"/>
        <c:auto val="1"/>
        <c:lblAlgn val="ctr"/>
        <c:lblOffset val="100"/>
        <c:noMultiLvlLbl val="0"/>
      </c:catAx>
      <c:valAx>
        <c:axId val="97029685"/>
        <c:scaling>
          <c:orientation val="minMax"/>
          <c:max val="3"/>
        </c:scaling>
        <c:delete val="0"/>
        <c:axPos val="l"/>
        <c:majorGridlines>
          <c:spPr>
            <a:ln w="3240">
              <a:solidFill>
                <a:srgbClr val="c0c0c0"/>
              </a:solidFill>
              <a:prstDash val="sysDash"/>
              <a:round/>
            </a:ln>
          </c:spPr>
        </c:majorGridlines>
        <c:numFmt formatCode="0.00"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91152589"/>
        <c:crosses val="autoZero"/>
        <c:crossBetween val="midCat"/>
        <c:majorUnit val="1"/>
        <c:minorUnit val="0.5"/>
      </c:valAx>
      <c:spPr>
        <a:noFill/>
        <a:ln w="25560">
          <a:noFill/>
        </a:ln>
      </c:spPr>
    </c:plotArea>
    <c:plotVisOnly val="1"/>
    <c:dispBlanksAs val="zero"/>
  </c:chart>
  <c:spPr>
    <a:noFill/>
    <a:ln w="9360">
      <a:noFill/>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radarChart>
        <c:radarStyle val="filled"/>
        <c:varyColors val="0"/>
        <c:ser>
          <c:idx val="0"/>
          <c:order val="0"/>
          <c:tx>
            <c:strRef>
              <c:f>'Roadmap Chart'!$AA$11</c:f>
              <c:strCache>
                <c:ptCount val="1"/>
                <c:pt idx="0">
                  <c:v>Phase 4</c:v>
                </c:pt>
              </c:strCache>
            </c:strRef>
          </c:tx>
          <c:spPr>
            <a:solidFill>
              <a:srgbClr val="9bbb59"/>
            </a:solidFill>
            <a:ln w="0">
              <a:solidFill>
                <a:srgbClr val="9bbb59"/>
              </a:solid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0.875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1"/>
          <c:order val="1"/>
          <c:tx>
            <c:strRef>
              <c:f>'Roadmap Chart'!$AB$11</c:f>
              <c:strCache>
                <c:ptCount val="1"/>
                <c:pt idx="0">
                  <c:v>Phase 3</c:v>
                </c:pt>
              </c:strCache>
            </c:strRef>
          </c:tx>
          <c:spPr>
            <a:solidFill>
              <a:srgbClr val="00b0f0"/>
            </a:soli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0.875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2"/>
          <c:order val="2"/>
          <c:tx>
            <c:strRef>
              <c:f>'Roadmap Chart'!$AC$11</c:f>
              <c:strCache>
                <c:ptCount val="1"/>
                <c:pt idx="0">
                  <c:v>Phase 2</c:v>
                </c:pt>
              </c:strCache>
            </c:strRef>
          </c:tx>
          <c:spPr>
            <a:solidFill>
              <a:srgbClr val="ffc000"/>
            </a:soli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0.875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3"/>
          <c:order val="3"/>
          <c:tx>
            <c:strRef>
              <c:f>'Roadmap Chart'!$AD$11</c:f>
              <c:strCache>
                <c:ptCount val="1"/>
                <c:pt idx="0">
                  <c:v>Phase 1</c:v>
                </c:pt>
              </c:strCache>
            </c:strRef>
          </c:tx>
          <c:spPr>
            <a:solidFill>
              <a:srgbClr val="c0504d"/>
            </a:solidFill>
            <a:ln w="0">
              <a:solidFill>
                <a:srgbClr val="c0504d"/>
              </a:solid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0.875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4"/>
          <c:order val="4"/>
          <c:tx>
            <c:strRef>
              <c:f>'Roadmap Chart'!$AE$11</c:f>
              <c:strCache>
                <c:ptCount val="1"/>
                <c:pt idx="0">
                  <c:v>Start</c:v>
                </c:pt>
              </c:strCache>
            </c:strRef>
          </c:tx>
          <c:spPr>
            <a:solidFill>
              <a:srgbClr val="ddd9c3"/>
            </a:soli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axId val="61057404"/>
        <c:axId val="35871946"/>
      </c:radarChart>
      <c:catAx>
        <c:axId val="61057404"/>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1" sz="1000" spc="-1" strike="noStrike">
                <a:solidFill>
                  <a:srgbClr val="000000"/>
                </a:solidFill>
                <a:latin typeface="Calibri"/>
              </a:defRPr>
            </a:pPr>
          </a:p>
        </c:txPr>
        <c:crossAx val="35871946"/>
        <c:crosses val="autoZero"/>
        <c:auto val="1"/>
        <c:lblAlgn val="ctr"/>
        <c:lblOffset val="100"/>
        <c:noMultiLvlLbl val="0"/>
      </c:catAx>
      <c:valAx>
        <c:axId val="35871946"/>
        <c:scaling>
          <c:orientation val="minMax"/>
        </c:scaling>
        <c:delete val="0"/>
        <c:axPos val="l"/>
        <c:majorGridlines>
          <c:spPr>
            <a:ln w="9360">
              <a:solidFill>
                <a:srgbClr val="878787"/>
              </a:solidFill>
              <a:round/>
            </a:ln>
          </c:spPr>
        </c:majorGridlines>
        <c:numFmt formatCode="0.00" sourceLinked="0"/>
        <c:majorTickMark val="cross"/>
        <c:minorTickMark val="none"/>
        <c:tickLblPos val="nextTo"/>
        <c:spPr>
          <a:ln w="9360">
            <a:solidFill>
              <a:srgbClr val="878787"/>
            </a:solidFill>
            <a:round/>
          </a:ln>
        </c:spPr>
        <c:txPr>
          <a:bodyPr/>
          <a:lstStyle/>
          <a:p>
            <a:pPr>
              <a:defRPr b="0" sz="1100" spc="-1" strike="noStrike">
                <a:solidFill>
                  <a:srgbClr val="000000"/>
                </a:solidFill>
                <a:latin typeface="Cambria"/>
              </a:defRPr>
            </a:pPr>
          </a:p>
        </c:txPr>
        <c:crossAx val="61057404"/>
        <c:crosses val="autoZero"/>
        <c:crossBetween val="midCat"/>
        <c:majorUnit val="1"/>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600" spc="-1" strike="noStrike">
                <a:solidFill>
                  <a:srgbClr val="595959"/>
                </a:solidFill>
                <a:latin typeface="Calibri"/>
              </a:defRPr>
            </a:pPr>
            <a:r>
              <a:rPr b="1" lang="en-US" sz="1600" spc="-1" strike="noStrike">
                <a:solidFill>
                  <a:srgbClr val="595959"/>
                </a:solidFill>
                <a:latin typeface="Calibri"/>
              </a:rPr>
              <a:t>Phase II Score</a:t>
            </a:r>
          </a:p>
        </c:rich>
      </c:tx>
      <c:layout>
        <c:manualLayout>
          <c:xMode val="edge"/>
          <c:yMode val="edge"/>
          <c:x val="0.767268122823678"/>
          <c:y val="0.910450966356478"/>
        </c:manualLayout>
      </c:layout>
      <c:overlay val="0"/>
      <c:spPr>
        <a:noFill/>
        <a:ln w="0">
          <a:noFill/>
        </a:ln>
      </c:spPr>
    </c:title>
    <c:autoTitleDeleted val="0"/>
    <c:plotArea>
      <c:radarChart>
        <c:radarStyle val="filled"/>
        <c:varyColors val="0"/>
        <c:ser>
          <c:idx val="0"/>
          <c:order val="0"/>
          <c:tx>
            <c:strRef>
              <c:f>Scorecard!$V$53</c:f>
              <c:strCache>
                <c:ptCount val="1"/>
                <c:pt idx="0">
                  <c:v>Governance</c:v>
                </c:pt>
              </c:strCache>
            </c:strRef>
          </c:tx>
          <c:spPr>
            <a:gradFill>
              <a:gsLst>
                <a:gs pos="0">
                  <a:srgbClr val="2988a1"/>
                </a:gs>
                <a:gs pos="80000">
                  <a:srgbClr val="36b0d1"/>
                </a:gs>
                <a:gs pos="100000">
                  <a:srgbClr val="34b3d5"/>
                </a:gs>
              </a:gsLst>
              <a:lin ang="16200000"/>
            </a:gra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0.875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1"/>
          <c:order val="1"/>
          <c:tx>
            <c:strRef>
              <c:f>Scorecard!$W$53</c:f>
              <c:strCache>
                <c:ptCount val="1"/>
                <c:pt idx="0">
                  <c:v>Design</c:v>
                </c:pt>
              </c:strCache>
            </c:strRef>
          </c:tx>
          <c:spPr>
            <a:solidFill>
              <a:srgbClr val="b75727"/>
            </a:soli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2"/>
          <c:order val="2"/>
          <c:tx>
            <c:strRef>
              <c:f>Scorecard!$X$53</c:f>
              <c:strCache>
                <c:ptCount val="1"/>
                <c:pt idx="0">
                  <c:v>Implementation</c:v>
                </c:pt>
              </c:strCache>
            </c:strRef>
          </c:tx>
          <c:spPr>
            <a:solidFill>
              <a:srgbClr val="bdbf17"/>
            </a:solidFill>
            <a:ln w="2556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3"/>
          <c:order val="3"/>
          <c:tx>
            <c:strRef>
              <c:f>Scorecard!$Y$53</c:f>
              <c:strCache>
                <c:ptCount val="1"/>
                <c:pt idx="0">
                  <c:v>Verification</c:v>
                </c:pt>
              </c:strCache>
            </c:strRef>
          </c:tx>
          <c:spPr>
            <a:solidFill>
              <a:srgbClr val="37793e"/>
            </a:soli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4"/>
          <c:order val="4"/>
          <c:tx>
            <c:strRef>
              <c:f>Scorecard!$Z$53</c:f>
              <c:strCache>
                <c:ptCount val="1"/>
                <c:pt idx="0">
                  <c:v>Operations</c:v>
                </c:pt>
              </c:strCache>
            </c:strRef>
          </c:tx>
          <c:spPr>
            <a:gradFill>
              <a:gsLst>
                <a:gs pos="0">
                  <a:srgbClr val="611816"/>
                </a:gs>
                <a:gs pos="80000">
                  <a:srgbClr val="7e1f1d"/>
                </a:gs>
                <a:gs pos="100000">
                  <a:srgbClr val="801e1b"/>
                </a:gs>
              </a:gsLst>
              <a:lin ang="16200000"/>
            </a:gra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axId val="9326034"/>
        <c:axId val="82133851"/>
      </c:radarChart>
      <c:catAx>
        <c:axId val="9326034"/>
        <c:scaling>
          <c:orientation val="maxMin"/>
        </c:scaling>
        <c:delete val="0"/>
        <c:axPos val="b"/>
        <c:numFmt formatCode="General" sourceLinked="0"/>
        <c:majorTickMark val="none"/>
        <c:minorTickMark val="none"/>
        <c:tickLblPos val="nextTo"/>
        <c:spPr>
          <a:ln w="12600">
            <a:noFill/>
          </a:ln>
        </c:spPr>
        <c:txPr>
          <a:bodyPr/>
          <a:lstStyle/>
          <a:p>
            <a:pPr>
              <a:defRPr b="0" sz="900" spc="-1" strike="noStrike">
                <a:solidFill>
                  <a:srgbClr val="595959"/>
                </a:solidFill>
                <a:latin typeface="Calibri"/>
              </a:defRPr>
            </a:pPr>
          </a:p>
        </c:txPr>
        <c:crossAx val="82133851"/>
        <c:crosses val="autoZero"/>
        <c:auto val="1"/>
        <c:lblAlgn val="ctr"/>
        <c:lblOffset val="100"/>
        <c:noMultiLvlLbl val="0"/>
      </c:catAx>
      <c:valAx>
        <c:axId val="82133851"/>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9326034"/>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523627075351213"/>
          <c:y val="0.157054871220605"/>
          <c:w val="0.920574104482151"/>
          <c:h val="0.647536394176932"/>
        </c:manualLayout>
      </c:layout>
      <c:areaChart>
        <c:grouping val="standard"/>
        <c:ser>
          <c:idx val="0"/>
          <c:order val="0"/>
          <c:spPr>
            <a:solidFill>
              <a:srgbClr val="d4d513"/>
            </a:solidFill>
            <a:ln w="25560">
              <a:noFill/>
            </a:ln>
          </c:spPr>
          <c:dLbls>
            <c:txPr>
              <a:bodyPr wrap="square"/>
              <a:lstStyle/>
              <a:p>
                <a:pPr>
                  <a:defRPr b="0" sz="350" spc="-1" strike="noStrike">
                    <a:solidFill>
                      <a:srgbClr val="000000"/>
                    </a:solidFill>
                    <a:latin typeface="Arial"/>
                    <a:ea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'Roadmap Chart'!$B$18:$J$18</c:f>
              <c:numCache>
                <c:formatCode>0.00</c:formatCode>
                <c:ptCount val="9"/>
                <c:pt idx="0">
                  <c:v>0</c:v>
                </c:pt>
                <c:pt idx="1">
                  <c:v>0</c:v>
                </c:pt>
                <c:pt idx="2">
                  <c:v>0</c:v>
                </c:pt>
                <c:pt idx="3">
                  <c:v>0</c:v>
                </c:pt>
                <c:pt idx="4">
                  <c:v>0</c:v>
                </c:pt>
                <c:pt idx="5">
                  <c:v>0</c:v>
                </c:pt>
                <c:pt idx="6">
                  <c:v>0</c:v>
                </c:pt>
                <c:pt idx="7">
                  <c:v>0</c:v>
                </c:pt>
                <c:pt idx="8">
                  <c:v>0</c:v>
                </c:pt>
              </c:numCache>
            </c:numRef>
          </c:val>
        </c:ser>
        <c:axId val="85246619"/>
        <c:axId val="15611146"/>
      </c:areaChart>
      <c:catAx>
        <c:axId val="85246619"/>
        <c:scaling>
          <c:orientation val="minMax"/>
        </c:scaling>
        <c:delete val="0"/>
        <c:axPos val="b"/>
        <c:numFmt formatCode="General" sourceLinked="0"/>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15611146"/>
        <c:crosses val="autoZero"/>
        <c:auto val="1"/>
        <c:lblAlgn val="ctr"/>
        <c:lblOffset val="100"/>
        <c:noMultiLvlLbl val="0"/>
      </c:catAx>
      <c:valAx>
        <c:axId val="15611146"/>
        <c:scaling>
          <c:orientation val="minMax"/>
          <c:max val="3"/>
        </c:scaling>
        <c:delete val="0"/>
        <c:axPos val="l"/>
        <c:majorGridlines>
          <c:spPr>
            <a:ln w="3240">
              <a:solidFill>
                <a:srgbClr val="c0c0c0"/>
              </a:solidFill>
              <a:prstDash val="sysDash"/>
              <a:round/>
            </a:ln>
          </c:spPr>
        </c:majorGridlines>
        <c:numFmt formatCode="0.00"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85246619"/>
        <c:crosses val="autoZero"/>
        <c:crossBetween val="midCat"/>
        <c:majorUnit val="1"/>
        <c:minorUnit val="0.5"/>
      </c:valAx>
      <c:spPr>
        <a:noFill/>
        <a:ln w="25560">
          <a:noFill/>
        </a:ln>
      </c:spPr>
    </c:plotArea>
    <c:plotVisOnly val="1"/>
    <c:dispBlanksAs val="zero"/>
  </c:chart>
  <c:spPr>
    <a:noFill/>
    <a:ln w="9360">
      <a:noFill/>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523734560426253"/>
          <c:y val="0.157290792051497"/>
          <c:w val="0.920561879389683"/>
          <c:h val="0.647635040582144"/>
        </c:manualLayout>
      </c:layout>
      <c:areaChart>
        <c:grouping val="standard"/>
        <c:ser>
          <c:idx val="0"/>
          <c:order val="0"/>
          <c:spPr>
            <a:solidFill>
              <a:srgbClr val="d4d513"/>
            </a:solidFill>
            <a:ln w="25560">
              <a:noFill/>
            </a:ln>
          </c:spPr>
          <c:dLbls>
            <c:txPr>
              <a:bodyPr wrap="square"/>
              <a:lstStyle/>
              <a:p>
                <a:pPr>
                  <a:defRPr b="0" sz="350" spc="-1" strike="noStrike">
                    <a:solidFill>
                      <a:srgbClr val="000000"/>
                    </a:solidFill>
                    <a:latin typeface="Arial"/>
                    <a:ea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'Roadmap Chart'!$B$19:$J$19</c:f>
              <c:numCache>
                <c:formatCode>0.00</c:formatCode>
                <c:ptCount val="9"/>
                <c:pt idx="0">
                  <c:v>0</c:v>
                </c:pt>
                <c:pt idx="1">
                  <c:v>0</c:v>
                </c:pt>
                <c:pt idx="2">
                  <c:v>0</c:v>
                </c:pt>
                <c:pt idx="3">
                  <c:v>0</c:v>
                </c:pt>
                <c:pt idx="4">
                  <c:v>0</c:v>
                </c:pt>
                <c:pt idx="5">
                  <c:v>0</c:v>
                </c:pt>
                <c:pt idx="6">
                  <c:v>0</c:v>
                </c:pt>
                <c:pt idx="7">
                  <c:v>0</c:v>
                </c:pt>
                <c:pt idx="8">
                  <c:v>0</c:v>
                </c:pt>
              </c:numCache>
            </c:numRef>
          </c:val>
        </c:ser>
        <c:axId val="93234721"/>
        <c:axId val="92795837"/>
      </c:areaChart>
      <c:catAx>
        <c:axId val="93234721"/>
        <c:scaling>
          <c:orientation val="minMax"/>
        </c:scaling>
        <c:delete val="0"/>
        <c:axPos val="b"/>
        <c:numFmt formatCode="General" sourceLinked="0"/>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92795837"/>
        <c:crosses val="autoZero"/>
        <c:auto val="1"/>
        <c:lblAlgn val="ctr"/>
        <c:lblOffset val="100"/>
        <c:noMultiLvlLbl val="0"/>
      </c:catAx>
      <c:valAx>
        <c:axId val="92795837"/>
        <c:scaling>
          <c:orientation val="minMax"/>
          <c:max val="3"/>
        </c:scaling>
        <c:delete val="0"/>
        <c:axPos val="l"/>
        <c:majorGridlines>
          <c:spPr>
            <a:ln w="3240">
              <a:solidFill>
                <a:srgbClr val="c0c0c0"/>
              </a:solidFill>
              <a:prstDash val="sysDash"/>
              <a:round/>
            </a:ln>
          </c:spPr>
        </c:majorGridlines>
        <c:numFmt formatCode="0.00"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93234721"/>
        <c:crosses val="autoZero"/>
        <c:crossBetween val="midCat"/>
        <c:majorUnit val="1"/>
        <c:minorUnit val="0.5"/>
      </c:valAx>
      <c:spPr>
        <a:noFill/>
        <a:ln w="25560">
          <a:noFill/>
        </a:ln>
      </c:spPr>
    </c:plotArea>
    <c:plotVisOnly val="1"/>
    <c:dispBlanksAs val="zero"/>
  </c:chart>
  <c:spPr>
    <a:noFill/>
    <a:ln w="9360">
      <a:noFill/>
    </a:ln>
  </c:spPr>
</c:chartSpace>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523734560426253"/>
          <c:y val="0.157054871220605"/>
          <c:w val="0.920561879389683"/>
          <c:h val="0.647536394176932"/>
        </c:manualLayout>
      </c:layout>
      <c:areaChart>
        <c:grouping val="standard"/>
        <c:ser>
          <c:idx val="0"/>
          <c:order val="0"/>
          <c:spPr>
            <a:solidFill>
              <a:srgbClr val="d4d513"/>
            </a:solidFill>
            <a:ln w="25560">
              <a:noFill/>
            </a:ln>
          </c:spPr>
          <c:dLbls>
            <c:txPr>
              <a:bodyPr wrap="square"/>
              <a:lstStyle/>
              <a:p>
                <a:pPr>
                  <a:defRPr b="0" sz="350" spc="-1" strike="noStrike">
                    <a:solidFill>
                      <a:srgbClr val="000000"/>
                    </a:solidFill>
                    <a:latin typeface="Arial"/>
                    <a:ea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'Roadmap Chart'!$B$20:$J$20</c:f>
              <c:numCache>
                <c:formatCode>0.00</c:formatCode>
                <c:ptCount val="9"/>
                <c:pt idx="0">
                  <c:v>0</c:v>
                </c:pt>
                <c:pt idx="1">
                  <c:v>0</c:v>
                </c:pt>
                <c:pt idx="2">
                  <c:v>0</c:v>
                </c:pt>
                <c:pt idx="3">
                  <c:v>0</c:v>
                </c:pt>
                <c:pt idx="4">
                  <c:v>0</c:v>
                </c:pt>
                <c:pt idx="5">
                  <c:v>0</c:v>
                </c:pt>
                <c:pt idx="6">
                  <c:v>0</c:v>
                </c:pt>
                <c:pt idx="7">
                  <c:v>0</c:v>
                </c:pt>
                <c:pt idx="8">
                  <c:v>0</c:v>
                </c:pt>
              </c:numCache>
            </c:numRef>
          </c:val>
        </c:ser>
        <c:axId val="43985455"/>
        <c:axId val="41461786"/>
      </c:areaChart>
      <c:catAx>
        <c:axId val="43985455"/>
        <c:scaling>
          <c:orientation val="minMax"/>
        </c:scaling>
        <c:delete val="0"/>
        <c:axPos val="b"/>
        <c:numFmt formatCode="General" sourceLinked="0"/>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41461786"/>
        <c:crosses val="autoZero"/>
        <c:auto val="1"/>
        <c:lblAlgn val="ctr"/>
        <c:lblOffset val="100"/>
        <c:noMultiLvlLbl val="0"/>
      </c:catAx>
      <c:valAx>
        <c:axId val="41461786"/>
        <c:scaling>
          <c:orientation val="minMax"/>
          <c:max val="3"/>
        </c:scaling>
        <c:delete val="0"/>
        <c:axPos val="l"/>
        <c:majorGridlines>
          <c:spPr>
            <a:ln w="3240">
              <a:solidFill>
                <a:srgbClr val="c0c0c0"/>
              </a:solidFill>
              <a:prstDash val="sysDash"/>
              <a:round/>
            </a:ln>
          </c:spPr>
        </c:majorGridlines>
        <c:numFmt formatCode="0.00"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43985455"/>
        <c:crosses val="autoZero"/>
        <c:crossBetween val="midCat"/>
        <c:majorUnit val="1"/>
        <c:minorUnit val="0.5"/>
      </c:valAx>
      <c:spPr>
        <a:noFill/>
        <a:ln w="25560">
          <a:noFill/>
        </a:ln>
      </c:spPr>
    </c:plotArea>
    <c:plotVisOnly val="1"/>
    <c:dispBlanksAs val="zero"/>
  </c:chart>
  <c:spPr>
    <a:noFill/>
    <a:ln w="9360">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600" spc="-1" strike="noStrike">
                <a:solidFill>
                  <a:srgbClr val="595959"/>
                </a:solidFill>
                <a:latin typeface="Calibri"/>
              </a:defRPr>
            </a:pPr>
            <a:r>
              <a:rPr b="1" lang="en-US" sz="1600" spc="-1" strike="noStrike">
                <a:solidFill>
                  <a:srgbClr val="595959"/>
                </a:solidFill>
                <a:latin typeface="Calibri"/>
              </a:rPr>
              <a:t>Phase I Score</a:t>
            </a:r>
          </a:p>
        </c:rich>
      </c:tx>
      <c:layout>
        <c:manualLayout>
          <c:xMode val="edge"/>
          <c:yMode val="edge"/>
          <c:x val="0.767268122823678"/>
          <c:y val="0.910450966356478"/>
        </c:manualLayout>
      </c:layout>
      <c:overlay val="0"/>
      <c:spPr>
        <a:noFill/>
        <a:ln w="0">
          <a:noFill/>
        </a:ln>
      </c:spPr>
    </c:title>
    <c:autoTitleDeleted val="0"/>
    <c:plotArea>
      <c:radarChart>
        <c:radarStyle val="filled"/>
        <c:varyColors val="0"/>
        <c:ser>
          <c:idx val="0"/>
          <c:order val="0"/>
          <c:tx>
            <c:strRef>
              <c:f>Scorecard!$V$33</c:f>
              <c:strCache>
                <c:ptCount val="1"/>
                <c:pt idx="0">
                  <c:v>Governance</c:v>
                </c:pt>
              </c:strCache>
            </c:strRef>
          </c:tx>
          <c:spPr>
            <a:gradFill>
              <a:gsLst>
                <a:gs pos="0">
                  <a:srgbClr val="2988a1"/>
                </a:gs>
                <a:gs pos="80000">
                  <a:srgbClr val="36b0d1"/>
                </a:gs>
                <a:gs pos="100000">
                  <a:srgbClr val="34b3d5"/>
                </a:gs>
              </a:gsLst>
              <a:lin ang="16200000"/>
            </a:gra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0.875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1"/>
          <c:order val="1"/>
          <c:tx>
            <c:strRef>
              <c:f>Scorecard!$W$33</c:f>
              <c:strCache>
                <c:ptCount val="1"/>
                <c:pt idx="0">
                  <c:v>Design</c:v>
                </c:pt>
              </c:strCache>
            </c:strRef>
          </c:tx>
          <c:spPr>
            <a:solidFill>
              <a:srgbClr val="b75727"/>
            </a:soli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2"/>
          <c:order val="2"/>
          <c:tx>
            <c:strRef>
              <c:f>Scorecard!$X$33</c:f>
              <c:strCache>
                <c:ptCount val="1"/>
                <c:pt idx="0">
                  <c:v>Implementation</c:v>
                </c:pt>
              </c:strCache>
            </c:strRef>
          </c:tx>
          <c:spPr>
            <a:solidFill>
              <a:srgbClr val="bdbf17"/>
            </a:solidFill>
            <a:ln w="2556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3"/>
          <c:order val="3"/>
          <c:tx>
            <c:strRef>
              <c:f>Scorecard!$Y$33</c:f>
              <c:strCache>
                <c:ptCount val="1"/>
                <c:pt idx="0">
                  <c:v>Verification</c:v>
                </c:pt>
              </c:strCache>
            </c:strRef>
          </c:tx>
          <c:spPr>
            <a:solidFill>
              <a:srgbClr val="37793e"/>
            </a:soli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4"/>
          <c:order val="4"/>
          <c:tx>
            <c:strRef>
              <c:f>Scorecard!$Z$33</c:f>
              <c:strCache>
                <c:ptCount val="1"/>
                <c:pt idx="0">
                  <c:v>Operations</c:v>
                </c:pt>
              </c:strCache>
            </c:strRef>
          </c:tx>
          <c:spPr>
            <a:gradFill>
              <a:gsLst>
                <a:gs pos="0">
                  <a:srgbClr val="611816"/>
                </a:gs>
                <a:gs pos="80000">
                  <a:srgbClr val="7e1f1d"/>
                </a:gs>
                <a:gs pos="100000">
                  <a:srgbClr val="801e1b"/>
                </a:gs>
              </a:gsLst>
              <a:lin ang="16200000"/>
            </a:gra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axId val="73323006"/>
        <c:axId val="74955422"/>
      </c:radarChart>
      <c:catAx>
        <c:axId val="73323006"/>
        <c:scaling>
          <c:orientation val="maxMin"/>
        </c:scaling>
        <c:delete val="0"/>
        <c:axPos val="b"/>
        <c:numFmt formatCode="General" sourceLinked="0"/>
        <c:majorTickMark val="none"/>
        <c:minorTickMark val="none"/>
        <c:tickLblPos val="nextTo"/>
        <c:spPr>
          <a:ln w="12600">
            <a:noFill/>
          </a:ln>
        </c:spPr>
        <c:txPr>
          <a:bodyPr/>
          <a:lstStyle/>
          <a:p>
            <a:pPr>
              <a:defRPr b="0" sz="900" spc="-1" strike="noStrike">
                <a:solidFill>
                  <a:srgbClr val="595959"/>
                </a:solidFill>
                <a:latin typeface="Calibri"/>
              </a:defRPr>
            </a:pPr>
          </a:p>
        </c:txPr>
        <c:crossAx val="74955422"/>
        <c:crosses val="autoZero"/>
        <c:auto val="1"/>
        <c:lblAlgn val="ctr"/>
        <c:lblOffset val="100"/>
        <c:noMultiLvlLbl val="0"/>
      </c:catAx>
      <c:valAx>
        <c:axId val="74955422"/>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73323006"/>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600" spc="-1" strike="noStrike">
                <a:solidFill>
                  <a:srgbClr val="595959"/>
                </a:solidFill>
                <a:latin typeface="Calibri"/>
              </a:defRPr>
            </a:pPr>
            <a:r>
              <a:rPr b="1" lang="en-US" sz="1600" spc="-1" strike="noStrike">
                <a:solidFill>
                  <a:srgbClr val="595959"/>
                </a:solidFill>
                <a:latin typeface="Calibri"/>
              </a:rPr>
              <a:t>Phase IV Score</a:t>
            </a:r>
          </a:p>
        </c:rich>
      </c:tx>
      <c:layout>
        <c:manualLayout>
          <c:xMode val="edge"/>
          <c:yMode val="edge"/>
          <c:x val="0.767268122823678"/>
          <c:y val="0.910450966356478"/>
        </c:manualLayout>
      </c:layout>
      <c:overlay val="0"/>
      <c:spPr>
        <a:noFill/>
        <a:ln w="0">
          <a:noFill/>
        </a:ln>
      </c:spPr>
    </c:title>
    <c:autoTitleDeleted val="0"/>
    <c:plotArea>
      <c:radarChart>
        <c:radarStyle val="filled"/>
        <c:varyColors val="0"/>
        <c:ser>
          <c:idx val="0"/>
          <c:order val="0"/>
          <c:tx>
            <c:strRef>
              <c:f>Scorecard!$V$93</c:f>
              <c:strCache>
                <c:ptCount val="1"/>
                <c:pt idx="0">
                  <c:v>Governance</c:v>
                </c:pt>
              </c:strCache>
            </c:strRef>
          </c:tx>
          <c:spPr>
            <a:gradFill>
              <a:gsLst>
                <a:gs pos="0">
                  <a:srgbClr val="2988a1"/>
                </a:gs>
                <a:gs pos="80000">
                  <a:srgbClr val="36b0d1"/>
                </a:gs>
                <a:gs pos="100000">
                  <a:srgbClr val="34b3d5"/>
                </a:gs>
              </a:gsLst>
              <a:lin ang="16200000"/>
            </a:gra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0.875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1"/>
          <c:order val="1"/>
          <c:tx>
            <c:strRef>
              <c:f>Scorecard!$W$93</c:f>
              <c:strCache>
                <c:ptCount val="1"/>
                <c:pt idx="0">
                  <c:v>Design</c:v>
                </c:pt>
              </c:strCache>
            </c:strRef>
          </c:tx>
          <c:spPr>
            <a:solidFill>
              <a:srgbClr val="b75727"/>
            </a:soli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2"/>
          <c:order val="2"/>
          <c:tx>
            <c:strRef>
              <c:f>Scorecard!$X$93</c:f>
              <c:strCache>
                <c:ptCount val="1"/>
                <c:pt idx="0">
                  <c:v>Implementation</c:v>
                </c:pt>
              </c:strCache>
            </c:strRef>
          </c:tx>
          <c:spPr>
            <a:solidFill>
              <a:srgbClr val="bdbf17"/>
            </a:solidFill>
            <a:ln w="2556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3"/>
          <c:order val="3"/>
          <c:tx>
            <c:strRef>
              <c:f>Scorecard!$Y$93</c:f>
              <c:strCache>
                <c:ptCount val="1"/>
                <c:pt idx="0">
                  <c:v>Verification</c:v>
                </c:pt>
              </c:strCache>
            </c:strRef>
          </c:tx>
          <c:spPr>
            <a:solidFill>
              <a:srgbClr val="37793e"/>
            </a:soli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4"/>
          <c:order val="4"/>
          <c:tx>
            <c:strRef>
              <c:f>Scorecard!$Z$93</c:f>
              <c:strCache>
                <c:ptCount val="1"/>
                <c:pt idx="0">
                  <c:v>Operations</c:v>
                </c:pt>
              </c:strCache>
            </c:strRef>
          </c:tx>
          <c:spPr>
            <a:gradFill>
              <a:gsLst>
                <a:gs pos="0">
                  <a:srgbClr val="611816"/>
                </a:gs>
                <a:gs pos="80000">
                  <a:srgbClr val="7e1f1d"/>
                </a:gs>
                <a:gs pos="100000">
                  <a:srgbClr val="801e1b"/>
                </a:gs>
              </a:gsLst>
              <a:lin ang="16200000"/>
            </a:gra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axId val="98711967"/>
        <c:axId val="61522811"/>
      </c:radarChart>
      <c:catAx>
        <c:axId val="98711967"/>
        <c:scaling>
          <c:orientation val="maxMin"/>
        </c:scaling>
        <c:delete val="0"/>
        <c:axPos val="b"/>
        <c:numFmt formatCode="General" sourceLinked="0"/>
        <c:majorTickMark val="none"/>
        <c:minorTickMark val="none"/>
        <c:tickLblPos val="nextTo"/>
        <c:spPr>
          <a:ln w="12600">
            <a:noFill/>
          </a:ln>
        </c:spPr>
        <c:txPr>
          <a:bodyPr/>
          <a:lstStyle/>
          <a:p>
            <a:pPr>
              <a:defRPr b="0" sz="900" spc="-1" strike="noStrike">
                <a:solidFill>
                  <a:srgbClr val="595959"/>
                </a:solidFill>
                <a:latin typeface="Calibri"/>
              </a:defRPr>
            </a:pPr>
          </a:p>
        </c:txPr>
        <c:crossAx val="61522811"/>
        <c:crosses val="autoZero"/>
        <c:auto val="1"/>
        <c:lblAlgn val="ctr"/>
        <c:lblOffset val="100"/>
        <c:noMultiLvlLbl val="0"/>
      </c:catAx>
      <c:valAx>
        <c:axId val="61522811"/>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98711967"/>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600" spc="-1" strike="noStrike">
                <a:solidFill>
                  <a:srgbClr val="595959"/>
                </a:solidFill>
                <a:latin typeface="Calibri"/>
              </a:defRPr>
            </a:pPr>
            <a:r>
              <a:rPr b="1" lang="en-US" sz="1600" spc="-1" strike="noStrike">
                <a:solidFill>
                  <a:srgbClr val="595959"/>
                </a:solidFill>
                <a:latin typeface="Calibri"/>
              </a:rPr>
              <a:t>Phase III Score</a:t>
            </a:r>
          </a:p>
        </c:rich>
      </c:tx>
      <c:layout>
        <c:manualLayout>
          <c:xMode val="edge"/>
          <c:yMode val="edge"/>
          <c:x val="0.767268122823678"/>
          <c:y val="0.910450966356478"/>
        </c:manualLayout>
      </c:layout>
      <c:overlay val="0"/>
      <c:spPr>
        <a:noFill/>
        <a:ln w="0">
          <a:noFill/>
        </a:ln>
      </c:spPr>
    </c:title>
    <c:autoTitleDeleted val="0"/>
    <c:plotArea>
      <c:radarChart>
        <c:radarStyle val="filled"/>
        <c:varyColors val="0"/>
        <c:ser>
          <c:idx val="0"/>
          <c:order val="0"/>
          <c:tx>
            <c:strRef>
              <c:f>Scorecard!$V$72</c:f>
              <c:strCache>
                <c:ptCount val="1"/>
                <c:pt idx="0">
                  <c:v>Governance</c:v>
                </c:pt>
              </c:strCache>
            </c:strRef>
          </c:tx>
          <c:spPr>
            <a:gradFill>
              <a:gsLst>
                <a:gs pos="0">
                  <a:srgbClr val="2988a1"/>
                </a:gs>
                <a:gs pos="80000">
                  <a:srgbClr val="36b0d1"/>
                </a:gs>
                <a:gs pos="100000">
                  <a:srgbClr val="34b3d5"/>
                </a:gs>
              </a:gsLst>
              <a:lin ang="16200000"/>
            </a:gra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0.875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1"/>
          <c:order val="1"/>
          <c:tx>
            <c:strRef>
              <c:f>Scorecard!$W$72</c:f>
              <c:strCache>
                <c:ptCount val="1"/>
                <c:pt idx="0">
                  <c:v>Design</c:v>
                </c:pt>
              </c:strCache>
            </c:strRef>
          </c:tx>
          <c:spPr>
            <a:solidFill>
              <a:srgbClr val="b75727"/>
            </a:soli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2"/>
          <c:order val="2"/>
          <c:tx>
            <c:strRef>
              <c:f>Scorecard!$X$72</c:f>
              <c:strCache>
                <c:ptCount val="1"/>
                <c:pt idx="0">
                  <c:v>Implementation</c:v>
                </c:pt>
              </c:strCache>
            </c:strRef>
          </c:tx>
          <c:spPr>
            <a:solidFill>
              <a:srgbClr val="bdbf17"/>
            </a:solidFill>
            <a:ln w="2556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3"/>
          <c:order val="3"/>
          <c:tx>
            <c:strRef>
              <c:f>Scorecard!$Y$72</c:f>
              <c:strCache>
                <c:ptCount val="1"/>
                <c:pt idx="0">
                  <c:v>Verification</c:v>
                </c:pt>
              </c:strCache>
            </c:strRef>
          </c:tx>
          <c:spPr>
            <a:solidFill>
              <a:srgbClr val="37793e"/>
            </a:soli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4"/>
          <c:order val="4"/>
          <c:tx>
            <c:strRef>
              <c:f>Scorecard!$Z$72</c:f>
              <c:strCache>
                <c:ptCount val="1"/>
                <c:pt idx="0">
                  <c:v>Operations</c:v>
                </c:pt>
              </c:strCache>
            </c:strRef>
          </c:tx>
          <c:spPr>
            <a:gradFill>
              <a:gsLst>
                <a:gs pos="0">
                  <a:srgbClr val="611816"/>
                </a:gs>
                <a:gs pos="80000">
                  <a:srgbClr val="7e1f1d"/>
                </a:gs>
                <a:gs pos="100000">
                  <a:srgbClr val="801e1b"/>
                </a:gs>
              </a:gsLst>
              <a:lin ang="16200000"/>
            </a:gra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axId val="97682860"/>
        <c:axId val="29116812"/>
      </c:radarChart>
      <c:catAx>
        <c:axId val="97682860"/>
        <c:scaling>
          <c:orientation val="maxMin"/>
        </c:scaling>
        <c:delete val="0"/>
        <c:axPos val="b"/>
        <c:numFmt formatCode="General" sourceLinked="0"/>
        <c:majorTickMark val="none"/>
        <c:minorTickMark val="none"/>
        <c:tickLblPos val="nextTo"/>
        <c:spPr>
          <a:ln w="12600">
            <a:noFill/>
          </a:ln>
        </c:spPr>
        <c:txPr>
          <a:bodyPr/>
          <a:lstStyle/>
          <a:p>
            <a:pPr>
              <a:defRPr b="0" sz="900" spc="-1" strike="noStrike">
                <a:solidFill>
                  <a:srgbClr val="595959"/>
                </a:solidFill>
                <a:latin typeface="Calibri"/>
              </a:defRPr>
            </a:pPr>
          </a:p>
        </c:txPr>
        <c:crossAx val="29116812"/>
        <c:crosses val="autoZero"/>
        <c:auto val="1"/>
        <c:lblAlgn val="ctr"/>
        <c:lblOffset val="100"/>
        <c:noMultiLvlLbl val="0"/>
      </c:catAx>
      <c:valAx>
        <c:axId val="29116812"/>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97682860"/>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261740763932373"/>
          <c:y val="0.00798077359089466"/>
          <c:w val="0.949342517219787"/>
          <c:h val="0.984559923819888"/>
        </c:manualLayout>
      </c:layout>
      <c:areaChart>
        <c:grouping val="stacked"/>
        <c:ser>
          <c:idx val="0"/>
          <c:order val="0"/>
          <c:spPr>
            <a:blipFill rotWithShape="0">
              <a:blip r:embed="rId1"/>
              <a:stretch/>
            </a:blipFill>
            <a:ln w="25560">
              <a:noFill/>
            </a:ln>
          </c:spPr>
          <c:dLbls>
            <c:txPr>
              <a:bodyPr wrap="square"/>
              <a:lstStyle/>
              <a:p>
                <a:pPr>
                  <a:defRPr b="0" sz="925" spc="-1" strike="noStrike">
                    <a:solidFill>
                      <a:srgbClr val="000000"/>
                    </a:solidFill>
                    <a:latin typeface="Arial"/>
                    <a:ea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'Roadmap Chart'!$Y$4:$AA$4</c:f>
              <c:numCache>
                <c:formatCode>General</c:formatCode>
                <c:ptCount val="3"/>
                <c:pt idx="0">
                  <c:v>1</c:v>
                </c:pt>
                <c:pt idx="1">
                  <c:v>1</c:v>
                </c:pt>
                <c:pt idx="2">
                  <c:v>1</c:v>
                </c:pt>
              </c:numCache>
            </c:numRef>
          </c:val>
        </c:ser>
        <c:axId val="86148619"/>
        <c:axId val="76255563"/>
      </c:areaChart>
      <c:catAx>
        <c:axId val="86148619"/>
        <c:scaling>
          <c:orientation val="minMax"/>
        </c:scaling>
        <c:delete val="0"/>
        <c:axPos val="b"/>
        <c:numFmt formatCode="General" sourceLinked="1"/>
        <c:majorTickMark val="none"/>
        <c:minorTickMark val="none"/>
        <c:tickLblPos val="none"/>
        <c:spPr>
          <a:ln w="9360">
            <a:noFill/>
          </a:ln>
        </c:spPr>
        <c:txPr>
          <a:bodyPr/>
          <a:lstStyle/>
          <a:p>
            <a:pPr>
              <a:defRPr b="0" sz="925" spc="-1" strike="noStrike">
                <a:solidFill>
                  <a:srgbClr val="000000"/>
                </a:solidFill>
                <a:latin typeface="Arial"/>
                <a:ea typeface="Arial"/>
              </a:defRPr>
            </a:pPr>
          </a:p>
        </c:txPr>
        <c:crossAx val="76255563"/>
        <c:crosses val="autoZero"/>
        <c:auto val="1"/>
        <c:lblAlgn val="ctr"/>
        <c:lblOffset val="100"/>
        <c:noMultiLvlLbl val="0"/>
      </c:catAx>
      <c:valAx>
        <c:axId val="76255563"/>
        <c:scaling>
          <c:orientation val="minMax"/>
          <c:max val="1"/>
        </c:scaling>
        <c:delete val="0"/>
        <c:axPos val="l"/>
        <c:majorGridlines>
          <c:spPr>
            <a:ln w="3240">
              <a:solidFill>
                <a:srgbClr val="000000"/>
              </a:solidFill>
              <a:round/>
            </a:ln>
          </c:spPr>
        </c:majorGridlines>
        <c:numFmt formatCode="General" sourceLinked="0"/>
        <c:majorTickMark val="none"/>
        <c:minorTickMark val="none"/>
        <c:tickLblPos val="none"/>
        <c:spPr>
          <a:ln w="9360">
            <a:noFill/>
          </a:ln>
        </c:spPr>
        <c:txPr>
          <a:bodyPr/>
          <a:lstStyle/>
          <a:p>
            <a:pPr>
              <a:defRPr b="0" sz="925" spc="-1" strike="noStrike">
                <a:solidFill>
                  <a:srgbClr val="000000"/>
                </a:solidFill>
                <a:latin typeface="Arial"/>
                <a:ea typeface="Arial"/>
              </a:defRPr>
            </a:pPr>
          </a:p>
        </c:txPr>
        <c:crossAx val="86148619"/>
        <c:crosses val="autoZero"/>
        <c:crossBetween val="midCat"/>
      </c:valAx>
      <c:spPr>
        <a:solidFill>
          <a:srgbClr val="c0c0c0"/>
        </a:solidFill>
        <a:ln w="12600">
          <a:solidFill>
            <a:srgbClr val="808080"/>
          </a:solidFill>
          <a:round/>
        </a:ln>
      </c:spPr>
    </c:plotArea>
    <c:plotVisOnly val="1"/>
    <c:dispBlanksAs val="zero"/>
  </c:chart>
  <c:spPr>
    <a:noFill/>
    <a:ln w="9360">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524713903092282"/>
          <c:y val="0.160195422987915"/>
          <c:w val="0.920440710981252"/>
          <c:h val="0.640781691951659"/>
        </c:manualLayout>
      </c:layout>
      <c:areaChart>
        <c:grouping val="standard"/>
        <c:ser>
          <c:idx val="0"/>
          <c:order val="0"/>
          <c:spPr>
            <a:solidFill>
              <a:srgbClr val="3290c4"/>
            </a:solidFill>
            <a:ln w="25560">
              <a:noFill/>
            </a:ln>
          </c:spPr>
          <c:dLbls>
            <c:txPr>
              <a:bodyPr wrap="square"/>
              <a:lstStyle/>
              <a:p>
                <a:pPr>
                  <a:defRPr b="0" sz="350" spc="-1" strike="noStrike">
                    <a:solidFill>
                      <a:srgbClr val="000000"/>
                    </a:solidFill>
                    <a:latin typeface="Arial"/>
                    <a:ea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'Roadmap Chart'!$B$12:$J$12</c:f>
              <c:numCache>
                <c:formatCode>0.00</c:formatCode>
                <c:ptCount val="9"/>
                <c:pt idx="0">
                  <c:v>0</c:v>
                </c:pt>
                <c:pt idx="1">
                  <c:v>0.875</c:v>
                </c:pt>
                <c:pt idx="2">
                  <c:v>0.875</c:v>
                </c:pt>
                <c:pt idx="3">
                  <c:v>0.875</c:v>
                </c:pt>
                <c:pt idx="4">
                  <c:v>0.875</c:v>
                </c:pt>
                <c:pt idx="5">
                  <c:v>0.875</c:v>
                </c:pt>
                <c:pt idx="6">
                  <c:v>0.875</c:v>
                </c:pt>
                <c:pt idx="7">
                  <c:v>0.875</c:v>
                </c:pt>
                <c:pt idx="8">
                  <c:v>0.875</c:v>
                </c:pt>
              </c:numCache>
            </c:numRef>
          </c:val>
        </c:ser>
        <c:axId val="52657561"/>
        <c:axId val="19183016"/>
      </c:areaChart>
      <c:catAx>
        <c:axId val="52657561"/>
        <c:scaling>
          <c:orientation val="minMax"/>
        </c:scaling>
        <c:delete val="0"/>
        <c:axPos val="b"/>
        <c:numFmt formatCode="General" sourceLinked="0"/>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19183016"/>
        <c:crosses val="autoZero"/>
        <c:auto val="1"/>
        <c:lblAlgn val="ctr"/>
        <c:lblOffset val="100"/>
        <c:noMultiLvlLbl val="0"/>
      </c:catAx>
      <c:valAx>
        <c:axId val="19183016"/>
        <c:scaling>
          <c:orientation val="minMax"/>
          <c:max val="3"/>
          <c:min val="0"/>
        </c:scaling>
        <c:delete val="0"/>
        <c:axPos val="l"/>
        <c:majorGridlines>
          <c:spPr>
            <a:ln w="3240">
              <a:solidFill>
                <a:srgbClr val="c0c0c0"/>
              </a:solidFill>
              <a:prstDash val="sysDash"/>
              <a:round/>
            </a:ln>
          </c:spPr>
        </c:majorGridlines>
        <c:numFmt formatCode="0.00" sourceLinked="0"/>
        <c:majorTickMark val="out"/>
        <c:minorTickMark val="in"/>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52657561"/>
        <c:crosses val="autoZero"/>
        <c:crossBetween val="midCat"/>
        <c:majorUnit val="1"/>
        <c:minorUnit val="0.5"/>
      </c:valAx>
      <c:spPr>
        <a:noFill/>
        <a:ln w="25560">
          <a:noFill/>
        </a:ln>
      </c:spPr>
    </c:plotArea>
    <c:plotVisOnly val="1"/>
    <c:dispBlanksAs val="zero"/>
  </c:chart>
  <c:spPr>
    <a:noFill/>
    <a:ln w="9360">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523818215002738"/>
          <c:y val="0.158283603296391"/>
          <c:w val="0.920545111638377"/>
          <c:h val="0.64535379369139"/>
        </c:manualLayout>
      </c:layout>
      <c:areaChart>
        <c:grouping val="standard"/>
        <c:ser>
          <c:idx val="0"/>
          <c:order val="0"/>
          <c:spPr>
            <a:solidFill>
              <a:srgbClr val="3290c4"/>
            </a:solidFill>
            <a:ln w="25560">
              <a:noFill/>
            </a:ln>
          </c:spPr>
          <c:dLbls>
            <c:txPr>
              <a:bodyPr wrap="square"/>
              <a:lstStyle/>
              <a:p>
                <a:pPr>
                  <a:defRPr b="0" sz="350" spc="-1" strike="noStrike">
                    <a:solidFill>
                      <a:srgbClr val="000000"/>
                    </a:solidFill>
                    <a:latin typeface="Arial"/>
                    <a:ea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'Roadmap Chart'!$B$13:$J$13</c:f>
              <c:numCache>
                <c:formatCode>0.00</c:formatCode>
                <c:ptCount val="9"/>
                <c:pt idx="0">
                  <c:v>0</c:v>
                </c:pt>
                <c:pt idx="1">
                  <c:v>0</c:v>
                </c:pt>
                <c:pt idx="2">
                  <c:v>0</c:v>
                </c:pt>
                <c:pt idx="3">
                  <c:v>0</c:v>
                </c:pt>
                <c:pt idx="4">
                  <c:v>0</c:v>
                </c:pt>
                <c:pt idx="5">
                  <c:v>0</c:v>
                </c:pt>
                <c:pt idx="6">
                  <c:v>0</c:v>
                </c:pt>
                <c:pt idx="7">
                  <c:v>0</c:v>
                </c:pt>
                <c:pt idx="8">
                  <c:v>0</c:v>
                </c:pt>
              </c:numCache>
            </c:numRef>
          </c:val>
        </c:ser>
        <c:axId val="86741474"/>
        <c:axId val="71649251"/>
      </c:areaChart>
      <c:catAx>
        <c:axId val="86741474"/>
        <c:scaling>
          <c:orientation val="minMax"/>
        </c:scaling>
        <c:delete val="0"/>
        <c:axPos val="b"/>
        <c:numFmt formatCode="General" sourceLinked="0"/>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71649251"/>
        <c:crosses val="autoZero"/>
        <c:auto val="1"/>
        <c:lblAlgn val="ctr"/>
        <c:lblOffset val="100"/>
        <c:noMultiLvlLbl val="0"/>
      </c:catAx>
      <c:valAx>
        <c:axId val="71649251"/>
        <c:scaling>
          <c:orientation val="minMax"/>
          <c:max val="3"/>
        </c:scaling>
        <c:delete val="0"/>
        <c:axPos val="l"/>
        <c:majorGridlines>
          <c:spPr>
            <a:ln w="3240">
              <a:solidFill>
                <a:srgbClr val="c0c0c0"/>
              </a:solidFill>
              <a:prstDash val="sysDash"/>
              <a:round/>
            </a:ln>
          </c:spPr>
        </c:majorGridlines>
        <c:numFmt formatCode="0.00"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86741474"/>
        <c:crosses val="autoZero"/>
        <c:crossBetween val="midCat"/>
        <c:majorUnit val="1"/>
        <c:minorUnit val="0.5"/>
      </c:valAx>
      <c:spPr>
        <a:noFill/>
        <a:ln w="25560">
          <a:noFill/>
        </a:ln>
      </c:spPr>
    </c:plotArea>
    <c:plotVisOnly val="1"/>
    <c:dispBlanksAs val="zero"/>
  </c:chart>
  <c:spPr>
    <a:noFill/>
    <a:ln w="9360">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522788203753351"/>
          <c:y val="0.157054871220605"/>
          <c:w val="0.92066780404582"/>
          <c:h val="0.647536394176932"/>
        </c:manualLayout>
      </c:layout>
      <c:areaChart>
        <c:grouping val="standard"/>
        <c:ser>
          <c:idx val="0"/>
          <c:order val="0"/>
          <c:spPr>
            <a:solidFill>
              <a:srgbClr val="3290c4"/>
            </a:solidFill>
            <a:ln w="25560">
              <a:noFill/>
            </a:ln>
          </c:spPr>
          <c:dLbls>
            <c:txPr>
              <a:bodyPr wrap="square"/>
              <a:lstStyle/>
              <a:p>
                <a:pPr>
                  <a:defRPr b="0" sz="350" spc="-1" strike="noStrike">
                    <a:solidFill>
                      <a:srgbClr val="000000"/>
                    </a:solidFill>
                    <a:latin typeface="Arial"/>
                    <a:ea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'Roadmap Chart'!$B$14:$J$14</c:f>
              <c:numCache>
                <c:formatCode>0.00</c:formatCode>
                <c:ptCount val="9"/>
                <c:pt idx="0">
                  <c:v>0</c:v>
                </c:pt>
                <c:pt idx="1">
                  <c:v>0</c:v>
                </c:pt>
                <c:pt idx="2">
                  <c:v>0</c:v>
                </c:pt>
                <c:pt idx="3">
                  <c:v>0</c:v>
                </c:pt>
                <c:pt idx="4">
                  <c:v>0</c:v>
                </c:pt>
                <c:pt idx="5">
                  <c:v>0</c:v>
                </c:pt>
                <c:pt idx="6">
                  <c:v>0</c:v>
                </c:pt>
                <c:pt idx="7">
                  <c:v>0</c:v>
                </c:pt>
                <c:pt idx="8">
                  <c:v>0</c:v>
                </c:pt>
              </c:numCache>
            </c:numRef>
          </c:val>
        </c:ser>
        <c:axId val="31252014"/>
        <c:axId val="27159317"/>
      </c:areaChart>
      <c:catAx>
        <c:axId val="31252014"/>
        <c:scaling>
          <c:orientation val="minMax"/>
        </c:scaling>
        <c:delete val="0"/>
        <c:axPos val="b"/>
        <c:numFmt formatCode="General" sourceLinked="0"/>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27159317"/>
        <c:crosses val="autoZero"/>
        <c:auto val="1"/>
        <c:lblAlgn val="ctr"/>
        <c:lblOffset val="100"/>
        <c:noMultiLvlLbl val="0"/>
      </c:catAx>
      <c:valAx>
        <c:axId val="27159317"/>
        <c:scaling>
          <c:orientation val="minMax"/>
          <c:max val="3"/>
        </c:scaling>
        <c:delete val="0"/>
        <c:axPos val="l"/>
        <c:majorGridlines>
          <c:spPr>
            <a:ln w="3240">
              <a:solidFill>
                <a:srgbClr val="c0c0c0"/>
              </a:solidFill>
              <a:prstDash val="sysDash"/>
              <a:round/>
            </a:ln>
          </c:spPr>
        </c:majorGridlines>
        <c:numFmt formatCode="0.00" sourceLinked="0"/>
        <c:majorTickMark val="out"/>
        <c:minorTickMark val="none"/>
        <c:tickLblPos val="nextTo"/>
        <c:spPr>
          <a:ln w="3240">
            <a:solidFill>
              <a:srgbClr val="c0c0c0"/>
            </a:solidFill>
            <a:round/>
          </a:ln>
        </c:spPr>
        <c:txPr>
          <a:bodyPr/>
          <a:lstStyle/>
          <a:p>
            <a:pPr>
              <a:defRPr b="0" sz="800" spc="-1" strike="noStrike">
                <a:solidFill>
                  <a:srgbClr val="000000"/>
                </a:solidFill>
                <a:latin typeface="Arial"/>
                <a:ea typeface="Arial"/>
              </a:defRPr>
            </a:pPr>
          </a:p>
        </c:txPr>
        <c:crossAx val="31252014"/>
        <c:crosses val="autoZero"/>
        <c:crossBetween val="midCat"/>
        <c:majorUnit val="1"/>
        <c:minorUnit val="0.5"/>
      </c:valAx>
      <c:spPr>
        <a:noFill/>
        <a:ln w="25560">
          <a:noFill/>
        </a:ln>
      </c:spPr>
    </c:plotArea>
    <c:plotVisOnly val="1"/>
    <c:dispBlanksAs val="zero"/>
  </c:chart>
  <c:spPr>
    <a:no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wmf"/>
</Relationships>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
</Relationships>
</file>

<file path=xl/drawings/_rels/drawing3.xml.rels><?xml version="1.0" encoding="UTF-8"?>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 Id="rId5" Type="http://schemas.openxmlformats.org/officeDocument/2006/relationships/chart" Target="../charts/chart10.xml"/><Relationship Id="rId6" Type="http://schemas.openxmlformats.org/officeDocument/2006/relationships/chart" Target="../charts/chart11.xml"/><Relationship Id="rId7" Type="http://schemas.openxmlformats.org/officeDocument/2006/relationships/chart" Target="../charts/chart12.xml"/><Relationship Id="rId8" Type="http://schemas.openxmlformats.org/officeDocument/2006/relationships/chart" Target="../charts/chart13.xml"/><Relationship Id="rId9" Type="http://schemas.openxmlformats.org/officeDocument/2006/relationships/chart" Target="../charts/chart14.xml"/><Relationship Id="rId10" Type="http://schemas.openxmlformats.org/officeDocument/2006/relationships/chart" Target="../charts/chart15.xml"/><Relationship Id="rId11" Type="http://schemas.openxmlformats.org/officeDocument/2006/relationships/chart" Target="../charts/chart16.xml"/><Relationship Id="rId12" Type="http://schemas.openxmlformats.org/officeDocument/2006/relationships/chart" Target="../charts/chart17.xml"/><Relationship Id="rId13" Type="http://schemas.openxmlformats.org/officeDocument/2006/relationships/chart" Target="../charts/chart18.xml"/><Relationship Id="rId14" Type="http://schemas.openxmlformats.org/officeDocument/2006/relationships/chart" Target="../charts/chart19.xml"/><Relationship Id="rId15" Type="http://schemas.openxmlformats.org/officeDocument/2006/relationships/chart" Target="../charts/chart20.xml"/><Relationship Id="rId16" Type="http://schemas.openxmlformats.org/officeDocument/2006/relationships/chart" Target="../charts/chart21.xml"/><Relationship Id="rId17" Type="http://schemas.openxmlformats.org/officeDocument/2006/relationships/chart" Target="../charts/chart22.xml"/>
</Relationships>
</file>

<file path=xl/drawings/_rels/drawing5.xml.rels><?xml version="1.0" encoding="UTF-8"?>
<Relationships xmlns="http://schemas.openxmlformats.org/package/2006/relationships"><Relationship Id="rId1" Type="http://schemas.openxmlformats.org/officeDocument/2006/relationships/image" Target="../media/image3.wmf"/><Relationship Id="rId2" Type="http://schemas.openxmlformats.org/officeDocument/2006/relationships/image" Target="../media/image4.wmf"/><Relationship Id="rId3" Type="http://schemas.openxmlformats.org/officeDocument/2006/relationships/image" Target="../media/image5.wmf"/><Relationship Id="rId4" Type="http://schemas.openxmlformats.org/officeDocument/2006/relationships/image" Target="../media/image6.wmf"/><Relationship Id="rId5" Type="http://schemas.openxmlformats.org/officeDocument/2006/relationships/image" Target="../media/image7.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9</xdr:row>
      <xdr:rowOff>129600</xdr:rowOff>
    </xdr:from>
    <xdr:to>
      <xdr:col>1</xdr:col>
      <xdr:colOff>6657480</xdr:colOff>
      <xdr:row>33</xdr:row>
      <xdr:rowOff>110160</xdr:rowOff>
    </xdr:to>
    <xdr:pic>
      <xdr:nvPicPr>
        <xdr:cNvPr id="0" name="Picture 6" descr=""/>
        <xdr:cNvPicPr/>
      </xdr:nvPicPr>
      <xdr:blipFill>
        <a:blip r:embed="rId1"/>
        <a:stretch/>
      </xdr:blipFill>
      <xdr:spPr>
        <a:xfrm>
          <a:off x="0" y="2352600"/>
          <a:ext cx="8266680" cy="3866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613440</xdr:colOff>
      <xdr:row>12</xdr:row>
      <xdr:rowOff>0</xdr:rowOff>
    </xdr:from>
    <xdr:to>
      <xdr:col>18</xdr:col>
      <xdr:colOff>24840</xdr:colOff>
      <xdr:row>27</xdr:row>
      <xdr:rowOff>291600</xdr:rowOff>
    </xdr:to>
    <xdr:graphicFrame>
      <xdr:nvGraphicFramePr>
        <xdr:cNvPr id="1" name="Chart 1"/>
        <xdr:cNvGraphicFramePr/>
      </xdr:nvGraphicFramePr>
      <xdr:xfrm>
        <a:off x="8636040" y="2781360"/>
        <a:ext cx="5072400" cy="4882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12600</xdr:colOff>
      <xdr:row>52</xdr:row>
      <xdr:rowOff>0</xdr:rowOff>
    </xdr:from>
    <xdr:to>
      <xdr:col>18</xdr:col>
      <xdr:colOff>37440</xdr:colOff>
      <xdr:row>67</xdr:row>
      <xdr:rowOff>313920</xdr:rowOff>
    </xdr:to>
    <xdr:graphicFrame>
      <xdr:nvGraphicFramePr>
        <xdr:cNvPr id="2" name="Chart 3"/>
        <xdr:cNvGraphicFramePr/>
      </xdr:nvGraphicFramePr>
      <xdr:xfrm>
        <a:off x="8035200" y="14297040"/>
        <a:ext cx="5685840" cy="5028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12600</xdr:colOff>
      <xdr:row>32</xdr:row>
      <xdr:rowOff>0</xdr:rowOff>
    </xdr:from>
    <xdr:to>
      <xdr:col>18</xdr:col>
      <xdr:colOff>37440</xdr:colOff>
      <xdr:row>47</xdr:row>
      <xdr:rowOff>313920</xdr:rowOff>
    </xdr:to>
    <xdr:graphicFrame>
      <xdr:nvGraphicFramePr>
        <xdr:cNvPr id="3" name="Chart 4"/>
        <xdr:cNvGraphicFramePr/>
      </xdr:nvGraphicFramePr>
      <xdr:xfrm>
        <a:off x="8035200" y="8477280"/>
        <a:ext cx="5685840" cy="50288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12600</xdr:colOff>
      <xdr:row>92</xdr:row>
      <xdr:rowOff>0</xdr:rowOff>
    </xdr:from>
    <xdr:to>
      <xdr:col>18</xdr:col>
      <xdr:colOff>37440</xdr:colOff>
      <xdr:row>107</xdr:row>
      <xdr:rowOff>313920</xdr:rowOff>
    </xdr:to>
    <xdr:graphicFrame>
      <xdr:nvGraphicFramePr>
        <xdr:cNvPr id="4" name="Chart 5"/>
        <xdr:cNvGraphicFramePr/>
      </xdr:nvGraphicFramePr>
      <xdr:xfrm>
        <a:off x="8035200" y="25936560"/>
        <a:ext cx="5685840" cy="50288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12600</xdr:colOff>
      <xdr:row>71</xdr:row>
      <xdr:rowOff>0</xdr:rowOff>
    </xdr:from>
    <xdr:to>
      <xdr:col>18</xdr:col>
      <xdr:colOff>37440</xdr:colOff>
      <xdr:row>86</xdr:row>
      <xdr:rowOff>313920</xdr:rowOff>
    </xdr:to>
    <xdr:graphicFrame>
      <xdr:nvGraphicFramePr>
        <xdr:cNvPr id="5" name="Chart 7"/>
        <xdr:cNvGraphicFramePr/>
      </xdr:nvGraphicFramePr>
      <xdr:xfrm>
        <a:off x="8035200" y="19954800"/>
        <a:ext cx="5685840" cy="502884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13</xdr:col>
      <xdr:colOff>152280</xdr:colOff>
      <xdr:row>11</xdr:row>
      <xdr:rowOff>11160</xdr:rowOff>
    </xdr:from>
    <xdr:to>
      <xdr:col>22</xdr:col>
      <xdr:colOff>132840</xdr:colOff>
      <xdr:row>108</xdr:row>
      <xdr:rowOff>39600</xdr:rowOff>
    </xdr:to>
    <xdr:graphicFrame>
      <xdr:nvGraphicFramePr>
        <xdr:cNvPr id="6" name="Chart 6"/>
        <xdr:cNvGraphicFramePr/>
      </xdr:nvGraphicFramePr>
      <xdr:xfrm>
        <a:off x="8879760" y="2752560"/>
        <a:ext cx="5748840" cy="15877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twoCell">
    <xdr:from>
      <xdr:col>12</xdr:col>
      <xdr:colOff>19080</xdr:colOff>
      <xdr:row>130</xdr:row>
      <xdr:rowOff>30960</xdr:rowOff>
    </xdr:from>
    <xdr:to>
      <xdr:col>22</xdr:col>
      <xdr:colOff>622080</xdr:colOff>
      <xdr:row>132</xdr:row>
      <xdr:rowOff>30600</xdr:rowOff>
    </xdr:to>
    <xdr:sp>
      <xdr:nvSpPr>
        <xdr:cNvPr id="7" name="Rectangle 20"/>
        <xdr:cNvSpPr/>
      </xdr:nvSpPr>
      <xdr:spPr>
        <a:xfrm>
          <a:off x="8476560" y="22184280"/>
          <a:ext cx="6641280" cy="323280"/>
        </a:xfrm>
        <a:prstGeom prst="rect">
          <a:avLst/>
        </a:prstGeom>
        <a:solidFill>
          <a:srgbClr val="ffffff"/>
        </a:solidFill>
        <a:ln w="0">
          <a:noFill/>
        </a:ln>
      </xdr:spPr>
      <xdr:style>
        <a:lnRef idx="0"/>
        <a:fillRef idx="0"/>
        <a:effectRef idx="0"/>
        <a:fontRef idx="minor"/>
      </xdr:style>
    </xdr:sp>
    <xdr:clientData/>
  </xdr:twoCellAnchor>
  <xdr:twoCellAnchor editAs="twoCell">
    <xdr:from>
      <xdr:col>22</xdr:col>
      <xdr:colOff>9360</xdr:colOff>
      <xdr:row>7</xdr:row>
      <xdr:rowOff>10440</xdr:rowOff>
    </xdr:from>
    <xdr:to>
      <xdr:col>22</xdr:col>
      <xdr:colOff>622080</xdr:colOff>
      <xdr:row>108</xdr:row>
      <xdr:rowOff>33480</xdr:rowOff>
    </xdr:to>
    <xdr:sp>
      <xdr:nvSpPr>
        <xdr:cNvPr id="8" name="Rectangle 19"/>
        <xdr:cNvSpPr/>
      </xdr:nvSpPr>
      <xdr:spPr>
        <a:xfrm>
          <a:off x="14505120" y="2063880"/>
          <a:ext cx="612720" cy="16560360"/>
        </a:xfrm>
        <a:prstGeom prst="rect">
          <a:avLst/>
        </a:prstGeom>
        <a:solidFill>
          <a:srgbClr val="ffffff"/>
        </a:solidFill>
        <a:ln w="0">
          <a:noFill/>
        </a:ln>
      </xdr:spPr>
      <xdr:style>
        <a:lnRef idx="0"/>
        <a:fillRef idx="0"/>
        <a:effectRef idx="0"/>
        <a:fontRef idx="minor"/>
      </xdr:style>
    </xdr:sp>
    <xdr:clientData/>
  </xdr:twoCellAnchor>
  <xdr:twoCellAnchor editAs="oneCell">
    <xdr:from>
      <xdr:col>13</xdr:col>
      <xdr:colOff>8640</xdr:colOff>
      <xdr:row>10</xdr:row>
      <xdr:rowOff>154440</xdr:rowOff>
    </xdr:from>
    <xdr:to>
      <xdr:col>22</xdr:col>
      <xdr:colOff>154080</xdr:colOff>
      <xdr:row>18</xdr:row>
      <xdr:rowOff>115920</xdr:rowOff>
    </xdr:to>
    <xdr:graphicFrame>
      <xdr:nvGraphicFramePr>
        <xdr:cNvPr id="9" name="Chart 1"/>
        <xdr:cNvGraphicFramePr/>
      </xdr:nvGraphicFramePr>
      <xdr:xfrm>
        <a:off x="8736120" y="2733840"/>
        <a:ext cx="5913720" cy="13996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5400</xdr:colOff>
      <xdr:row>20</xdr:row>
      <xdr:rowOff>141480</xdr:rowOff>
    </xdr:from>
    <xdr:to>
      <xdr:col>22</xdr:col>
      <xdr:colOff>154080</xdr:colOff>
      <xdr:row>28</xdr:row>
      <xdr:rowOff>112680</xdr:rowOff>
    </xdr:to>
    <xdr:graphicFrame>
      <xdr:nvGraphicFramePr>
        <xdr:cNvPr id="10" name="Chart 7"/>
        <xdr:cNvGraphicFramePr/>
      </xdr:nvGraphicFramePr>
      <xdr:xfrm>
        <a:off x="8732880" y="4483080"/>
        <a:ext cx="5916960" cy="12664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14040</xdr:colOff>
      <xdr:row>27</xdr:row>
      <xdr:rowOff>102240</xdr:rowOff>
    </xdr:from>
    <xdr:to>
      <xdr:col>22</xdr:col>
      <xdr:colOff>153720</xdr:colOff>
      <xdr:row>35</xdr:row>
      <xdr:rowOff>92160</xdr:rowOff>
    </xdr:to>
    <xdr:graphicFrame>
      <xdr:nvGraphicFramePr>
        <xdr:cNvPr id="11" name="Chart 8"/>
        <xdr:cNvGraphicFramePr/>
      </xdr:nvGraphicFramePr>
      <xdr:xfrm>
        <a:off x="8741520" y="5577120"/>
        <a:ext cx="5907960" cy="12855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2880</xdr:colOff>
      <xdr:row>35</xdr:row>
      <xdr:rowOff>11160</xdr:rowOff>
    </xdr:from>
    <xdr:to>
      <xdr:col>22</xdr:col>
      <xdr:colOff>165600</xdr:colOff>
      <xdr:row>43</xdr:row>
      <xdr:rowOff>1440</xdr:rowOff>
    </xdr:to>
    <xdr:graphicFrame>
      <xdr:nvGraphicFramePr>
        <xdr:cNvPr id="12" name="Chart 9"/>
        <xdr:cNvGraphicFramePr/>
      </xdr:nvGraphicFramePr>
      <xdr:xfrm>
        <a:off x="8730360" y="6781680"/>
        <a:ext cx="5931000" cy="12855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720</xdr:colOff>
      <xdr:row>42</xdr:row>
      <xdr:rowOff>20880</xdr:rowOff>
    </xdr:from>
    <xdr:to>
      <xdr:col>22</xdr:col>
      <xdr:colOff>165960</xdr:colOff>
      <xdr:row>50</xdr:row>
      <xdr:rowOff>1440</xdr:rowOff>
    </xdr:to>
    <xdr:graphicFrame>
      <xdr:nvGraphicFramePr>
        <xdr:cNvPr id="13" name="Chart 10"/>
        <xdr:cNvGraphicFramePr/>
      </xdr:nvGraphicFramePr>
      <xdr:xfrm>
        <a:off x="8728200" y="7924680"/>
        <a:ext cx="5933520" cy="127584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2880</xdr:colOff>
      <xdr:row>50</xdr:row>
      <xdr:rowOff>20880</xdr:rowOff>
    </xdr:from>
    <xdr:to>
      <xdr:col>22</xdr:col>
      <xdr:colOff>153720</xdr:colOff>
      <xdr:row>58</xdr:row>
      <xdr:rowOff>11160</xdr:rowOff>
    </xdr:to>
    <xdr:graphicFrame>
      <xdr:nvGraphicFramePr>
        <xdr:cNvPr id="14" name="Chart 11"/>
        <xdr:cNvGraphicFramePr/>
      </xdr:nvGraphicFramePr>
      <xdr:xfrm>
        <a:off x="8730360" y="9219960"/>
        <a:ext cx="5919120" cy="128592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267480</xdr:colOff>
      <xdr:row>82</xdr:row>
      <xdr:rowOff>11520</xdr:rowOff>
    </xdr:from>
    <xdr:to>
      <xdr:col>22</xdr:col>
      <xdr:colOff>162000</xdr:colOff>
      <xdr:row>90</xdr:row>
      <xdr:rowOff>11160</xdr:rowOff>
    </xdr:to>
    <xdr:graphicFrame>
      <xdr:nvGraphicFramePr>
        <xdr:cNvPr id="15" name="Chart 12"/>
        <xdr:cNvGraphicFramePr/>
      </xdr:nvGraphicFramePr>
      <xdr:xfrm>
        <a:off x="8724960" y="14392440"/>
        <a:ext cx="5932800" cy="129492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267480</xdr:colOff>
      <xdr:row>90</xdr:row>
      <xdr:rowOff>20880</xdr:rowOff>
    </xdr:from>
    <xdr:to>
      <xdr:col>22</xdr:col>
      <xdr:colOff>162000</xdr:colOff>
      <xdr:row>98</xdr:row>
      <xdr:rowOff>29880</xdr:rowOff>
    </xdr:to>
    <xdr:graphicFrame>
      <xdr:nvGraphicFramePr>
        <xdr:cNvPr id="16" name="Chart 13"/>
        <xdr:cNvGraphicFramePr/>
      </xdr:nvGraphicFramePr>
      <xdr:xfrm>
        <a:off x="8724960" y="15697080"/>
        <a:ext cx="5932800" cy="130428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267480</xdr:colOff>
      <xdr:row>98</xdr:row>
      <xdr:rowOff>20880</xdr:rowOff>
    </xdr:from>
    <xdr:to>
      <xdr:col>22</xdr:col>
      <xdr:colOff>162000</xdr:colOff>
      <xdr:row>106</xdr:row>
      <xdr:rowOff>29880</xdr:rowOff>
    </xdr:to>
    <xdr:graphicFrame>
      <xdr:nvGraphicFramePr>
        <xdr:cNvPr id="17" name="Chart 14"/>
        <xdr:cNvGraphicFramePr/>
      </xdr:nvGraphicFramePr>
      <xdr:xfrm>
        <a:off x="8724960" y="16992360"/>
        <a:ext cx="5932800" cy="130464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267480</xdr:colOff>
      <xdr:row>106</xdr:row>
      <xdr:rowOff>20880</xdr:rowOff>
    </xdr:from>
    <xdr:to>
      <xdr:col>22</xdr:col>
      <xdr:colOff>162000</xdr:colOff>
      <xdr:row>114</xdr:row>
      <xdr:rowOff>27000</xdr:rowOff>
    </xdr:to>
    <xdr:graphicFrame>
      <xdr:nvGraphicFramePr>
        <xdr:cNvPr id="18" name="Chart 15"/>
        <xdr:cNvGraphicFramePr/>
      </xdr:nvGraphicFramePr>
      <xdr:xfrm>
        <a:off x="8724960" y="18288000"/>
        <a:ext cx="5932800" cy="130140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12</xdr:col>
      <xdr:colOff>267480</xdr:colOff>
      <xdr:row>114</xdr:row>
      <xdr:rowOff>11520</xdr:rowOff>
    </xdr:from>
    <xdr:to>
      <xdr:col>22</xdr:col>
      <xdr:colOff>152640</xdr:colOff>
      <xdr:row>122</xdr:row>
      <xdr:rowOff>27000</xdr:rowOff>
    </xdr:to>
    <xdr:graphicFrame>
      <xdr:nvGraphicFramePr>
        <xdr:cNvPr id="19" name="Chart 16"/>
        <xdr:cNvGraphicFramePr/>
      </xdr:nvGraphicFramePr>
      <xdr:xfrm>
        <a:off x="8724960" y="19573920"/>
        <a:ext cx="5923440" cy="131076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12</xdr:col>
      <xdr:colOff>267480</xdr:colOff>
      <xdr:row>122</xdr:row>
      <xdr:rowOff>20880</xdr:rowOff>
    </xdr:from>
    <xdr:to>
      <xdr:col>22</xdr:col>
      <xdr:colOff>162000</xdr:colOff>
      <xdr:row>130</xdr:row>
      <xdr:rowOff>35640</xdr:rowOff>
    </xdr:to>
    <xdr:graphicFrame>
      <xdr:nvGraphicFramePr>
        <xdr:cNvPr id="20" name="Chart 17"/>
        <xdr:cNvGraphicFramePr/>
      </xdr:nvGraphicFramePr>
      <xdr:xfrm>
        <a:off x="8724960" y="20878560"/>
        <a:ext cx="5932800" cy="131040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24</xdr:col>
      <xdr:colOff>35280</xdr:colOff>
      <xdr:row>29</xdr:row>
      <xdr:rowOff>8280</xdr:rowOff>
    </xdr:from>
    <xdr:to>
      <xdr:col>35</xdr:col>
      <xdr:colOff>317160</xdr:colOff>
      <xdr:row>64</xdr:row>
      <xdr:rowOff>80640</xdr:rowOff>
    </xdr:to>
    <xdr:graphicFrame>
      <xdr:nvGraphicFramePr>
        <xdr:cNvPr id="21" name="Chart 16"/>
        <xdr:cNvGraphicFramePr/>
      </xdr:nvGraphicFramePr>
      <xdr:xfrm>
        <a:off x="15775560" y="5807160"/>
        <a:ext cx="7844040" cy="573984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13</xdr:col>
      <xdr:colOff>15840</xdr:colOff>
      <xdr:row>57</xdr:row>
      <xdr:rowOff>27360</xdr:rowOff>
    </xdr:from>
    <xdr:to>
      <xdr:col>22</xdr:col>
      <xdr:colOff>166680</xdr:colOff>
      <xdr:row>65</xdr:row>
      <xdr:rowOff>17640</xdr:rowOff>
    </xdr:to>
    <xdr:graphicFrame>
      <xdr:nvGraphicFramePr>
        <xdr:cNvPr id="22" name="Chart 11"/>
        <xdr:cNvGraphicFramePr/>
      </xdr:nvGraphicFramePr>
      <xdr:xfrm>
        <a:off x="8743320" y="10360080"/>
        <a:ext cx="5919120" cy="128556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13</xdr:col>
      <xdr:colOff>10440</xdr:colOff>
      <xdr:row>64</xdr:row>
      <xdr:rowOff>93600</xdr:rowOff>
    </xdr:from>
    <xdr:to>
      <xdr:col>22</xdr:col>
      <xdr:colOff>187560</xdr:colOff>
      <xdr:row>72</xdr:row>
      <xdr:rowOff>84240</xdr:rowOff>
    </xdr:to>
    <xdr:graphicFrame>
      <xdr:nvGraphicFramePr>
        <xdr:cNvPr id="23" name="Chart 11"/>
        <xdr:cNvGraphicFramePr/>
      </xdr:nvGraphicFramePr>
      <xdr:xfrm>
        <a:off x="8737920" y="11559960"/>
        <a:ext cx="5945400" cy="128592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13</xdr:col>
      <xdr:colOff>10440</xdr:colOff>
      <xdr:row>71</xdr:row>
      <xdr:rowOff>41040</xdr:rowOff>
    </xdr:from>
    <xdr:to>
      <xdr:col>22</xdr:col>
      <xdr:colOff>187560</xdr:colOff>
      <xdr:row>79</xdr:row>
      <xdr:rowOff>31320</xdr:rowOff>
    </xdr:to>
    <xdr:graphicFrame>
      <xdr:nvGraphicFramePr>
        <xdr:cNvPr id="24" name="Chart 11"/>
        <xdr:cNvGraphicFramePr/>
      </xdr:nvGraphicFramePr>
      <xdr:xfrm>
        <a:off x="8737920" y="12640680"/>
        <a:ext cx="5945400" cy="128556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xdr:row>
      <xdr:rowOff>0</xdr:rowOff>
    </xdr:from>
    <xdr:to>
      <xdr:col>2</xdr:col>
      <xdr:colOff>428400</xdr:colOff>
      <xdr:row>14</xdr:row>
      <xdr:rowOff>123480</xdr:rowOff>
    </xdr:to>
    <xdr:pic>
      <xdr:nvPicPr>
        <xdr:cNvPr id="25" name="Picture 1" descr=""/>
        <xdr:cNvPicPr/>
      </xdr:nvPicPr>
      <xdr:blipFill>
        <a:blip r:embed="rId1"/>
        <a:stretch/>
      </xdr:blipFill>
      <xdr:spPr>
        <a:xfrm>
          <a:off x="0" y="476280"/>
          <a:ext cx="13056480" cy="2066400"/>
        </a:xfrm>
        <a:prstGeom prst="rect">
          <a:avLst/>
        </a:prstGeom>
        <a:ln w="0">
          <a:noFill/>
        </a:ln>
      </xdr:spPr>
    </xdr:pic>
    <xdr:clientData/>
  </xdr:twoCellAnchor>
  <xdr:twoCellAnchor editAs="oneCell">
    <xdr:from>
      <xdr:col>0</xdr:col>
      <xdr:colOff>0</xdr:colOff>
      <xdr:row>16</xdr:row>
      <xdr:rowOff>0</xdr:rowOff>
    </xdr:from>
    <xdr:to>
      <xdr:col>2</xdr:col>
      <xdr:colOff>428400</xdr:colOff>
      <xdr:row>28</xdr:row>
      <xdr:rowOff>123480</xdr:rowOff>
    </xdr:to>
    <xdr:pic>
      <xdr:nvPicPr>
        <xdr:cNvPr id="26" name="Picture 2" descr=""/>
        <xdr:cNvPicPr/>
      </xdr:nvPicPr>
      <xdr:blipFill>
        <a:blip r:embed="rId2"/>
        <a:stretch/>
      </xdr:blipFill>
      <xdr:spPr>
        <a:xfrm>
          <a:off x="0" y="2743200"/>
          <a:ext cx="13056480" cy="2066760"/>
        </a:xfrm>
        <a:prstGeom prst="rect">
          <a:avLst/>
        </a:prstGeom>
        <a:ln w="0">
          <a:noFill/>
        </a:ln>
      </xdr:spPr>
    </xdr:pic>
    <xdr:clientData/>
  </xdr:twoCellAnchor>
  <xdr:twoCellAnchor editAs="oneCell">
    <xdr:from>
      <xdr:col>0</xdr:col>
      <xdr:colOff>0</xdr:colOff>
      <xdr:row>30</xdr:row>
      <xdr:rowOff>0</xdr:rowOff>
    </xdr:from>
    <xdr:to>
      <xdr:col>2</xdr:col>
      <xdr:colOff>428400</xdr:colOff>
      <xdr:row>42</xdr:row>
      <xdr:rowOff>123480</xdr:rowOff>
    </xdr:to>
    <xdr:pic>
      <xdr:nvPicPr>
        <xdr:cNvPr id="27" name="Picture 3" descr=""/>
        <xdr:cNvPicPr/>
      </xdr:nvPicPr>
      <xdr:blipFill>
        <a:blip r:embed="rId3"/>
        <a:stretch/>
      </xdr:blipFill>
      <xdr:spPr>
        <a:xfrm>
          <a:off x="0" y="5010120"/>
          <a:ext cx="13056480" cy="2066760"/>
        </a:xfrm>
        <a:prstGeom prst="rect">
          <a:avLst/>
        </a:prstGeom>
        <a:ln w="0">
          <a:noFill/>
        </a:ln>
      </xdr:spPr>
    </xdr:pic>
    <xdr:clientData/>
  </xdr:twoCellAnchor>
  <xdr:twoCellAnchor editAs="oneCell">
    <xdr:from>
      <xdr:col>0</xdr:col>
      <xdr:colOff>0</xdr:colOff>
      <xdr:row>44</xdr:row>
      <xdr:rowOff>0</xdr:rowOff>
    </xdr:from>
    <xdr:to>
      <xdr:col>2</xdr:col>
      <xdr:colOff>428400</xdr:colOff>
      <xdr:row>56</xdr:row>
      <xdr:rowOff>123480</xdr:rowOff>
    </xdr:to>
    <xdr:pic>
      <xdr:nvPicPr>
        <xdr:cNvPr id="28" name="Picture 4" descr=""/>
        <xdr:cNvPicPr/>
      </xdr:nvPicPr>
      <xdr:blipFill>
        <a:blip r:embed="rId4"/>
        <a:stretch/>
      </xdr:blipFill>
      <xdr:spPr>
        <a:xfrm>
          <a:off x="0" y="7277040"/>
          <a:ext cx="13056480" cy="2066760"/>
        </a:xfrm>
        <a:prstGeom prst="rect">
          <a:avLst/>
        </a:prstGeom>
        <a:ln w="0">
          <a:noFill/>
        </a:ln>
      </xdr:spPr>
    </xdr:pic>
    <xdr:clientData/>
  </xdr:twoCellAnchor>
  <xdr:twoCellAnchor editAs="oneCell">
    <xdr:from>
      <xdr:col>0</xdr:col>
      <xdr:colOff>0</xdr:colOff>
      <xdr:row>58</xdr:row>
      <xdr:rowOff>0</xdr:rowOff>
    </xdr:from>
    <xdr:to>
      <xdr:col>2</xdr:col>
      <xdr:colOff>428400</xdr:colOff>
      <xdr:row>70</xdr:row>
      <xdr:rowOff>123480</xdr:rowOff>
    </xdr:to>
    <xdr:pic>
      <xdr:nvPicPr>
        <xdr:cNvPr id="29" name="Picture 5" descr=""/>
        <xdr:cNvPicPr/>
      </xdr:nvPicPr>
      <xdr:blipFill>
        <a:blip r:embed="rId5"/>
        <a:stretch/>
      </xdr:blipFill>
      <xdr:spPr>
        <a:xfrm>
          <a:off x="0" y="9543960"/>
          <a:ext cx="13056480" cy="206676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C5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9" activeCellId="0" sqref="A19"/>
    </sheetView>
  </sheetViews>
  <sheetFormatPr defaultColWidth="8.83203125" defaultRowHeight="12.75" zeroHeight="false" outlineLevelRow="0" outlineLevelCol="0"/>
  <cols>
    <col collapsed="false" customWidth="true" hidden="false" outlineLevel="0" max="1" min="1" style="1" width="22.83"/>
    <col collapsed="false" customWidth="true" hidden="false" outlineLevel="0" max="2" min="2" style="1" width="100.5"/>
    <col collapsed="false" customWidth="false" hidden="false" outlineLevel="0" max="16384" min="3" style="1" width="8.83"/>
  </cols>
  <sheetData>
    <row r="1" s="3" customFormat="true" ht="24.75" hidden="false" customHeight="false" outlineLevel="0" collapsed="false">
      <c r="A1" s="2" t="s">
        <v>0</v>
      </c>
      <c r="B1" s="2"/>
    </row>
    <row r="2" customFormat="false" ht="12.75" hidden="false" customHeight="false" outlineLevel="0" collapsed="false">
      <c r="A2" s="4"/>
      <c r="B2" s="4"/>
    </row>
    <row r="3" customFormat="false" ht="12.75" hidden="false" customHeight="false" outlineLevel="0" collapsed="false">
      <c r="A3" s="4" t="s">
        <v>1</v>
      </c>
      <c r="B3" s="4" t="s">
        <v>2</v>
      </c>
    </row>
    <row r="4" customFormat="false" ht="12.75" hidden="false" customHeight="false" outlineLevel="0" collapsed="false">
      <c r="A4" s="4"/>
      <c r="B4" s="4"/>
    </row>
    <row r="5" customFormat="false" ht="36.9" hidden="false" customHeight="false" outlineLevel="0" collapsed="false">
      <c r="A5" s="4" t="s">
        <v>3</v>
      </c>
      <c r="B5" s="5" t="s">
        <v>4</v>
      </c>
    </row>
    <row r="7" customFormat="false" ht="12.75" hidden="false" customHeight="false" outlineLevel="0" collapsed="false">
      <c r="A7" s="4" t="s">
        <v>5</v>
      </c>
      <c r="B7" s="4" t="s">
        <v>6</v>
      </c>
    </row>
    <row r="8" customFormat="false" ht="36.9" hidden="false" customHeight="false" outlineLevel="0" collapsed="false">
      <c r="A8" s="4"/>
      <c r="B8" s="5" t="s">
        <v>7</v>
      </c>
    </row>
    <row r="35" customFormat="false" ht="12.75" hidden="false" customHeight="false" outlineLevel="0" collapsed="false">
      <c r="A35" s="4" t="s">
        <v>8</v>
      </c>
      <c r="B35" s="4" t="s">
        <v>9</v>
      </c>
    </row>
    <row r="36" customFormat="false" ht="12.75" hidden="false" customHeight="false" outlineLevel="0" collapsed="false">
      <c r="A36" s="4" t="s">
        <v>10</v>
      </c>
      <c r="B36" s="4" t="s">
        <v>11</v>
      </c>
    </row>
    <row r="37" customFormat="false" ht="12.75" hidden="false" customHeight="false" outlineLevel="0" collapsed="false">
      <c r="A37" s="4" t="s">
        <v>12</v>
      </c>
      <c r="B37" s="4" t="s">
        <v>13</v>
      </c>
    </row>
    <row r="39" customFormat="false" ht="12.75" hidden="false" customHeight="false" outlineLevel="0" collapsed="false">
      <c r="A39" s="4" t="s">
        <v>8</v>
      </c>
      <c r="B39" s="4" t="s">
        <v>14</v>
      </c>
    </row>
    <row r="40" customFormat="false" ht="12.75" hidden="false" customHeight="false" outlineLevel="0" collapsed="false">
      <c r="A40" s="4" t="s">
        <v>10</v>
      </c>
      <c r="B40" s="4" t="s">
        <v>15</v>
      </c>
    </row>
    <row r="41" customFormat="false" ht="12.75" hidden="false" customHeight="false" outlineLevel="0" collapsed="false">
      <c r="A41" s="4"/>
      <c r="B41" s="4"/>
    </row>
    <row r="42" customFormat="false" ht="12.75" hidden="false" customHeight="false" outlineLevel="0" collapsed="false">
      <c r="A42" s="4" t="s">
        <v>8</v>
      </c>
      <c r="B42" s="4" t="s">
        <v>16</v>
      </c>
    </row>
    <row r="43" customFormat="false" ht="12.75" hidden="false" customHeight="false" outlineLevel="0" collapsed="false">
      <c r="A43" s="4" t="s">
        <v>17</v>
      </c>
      <c r="B43" s="4" t="s">
        <v>18</v>
      </c>
    </row>
    <row r="44" customFormat="false" ht="12.75" hidden="false" customHeight="false" outlineLevel="0" collapsed="false">
      <c r="A44" s="4" t="s">
        <v>12</v>
      </c>
      <c r="B44" s="4" t="s">
        <v>19</v>
      </c>
    </row>
    <row r="45" customFormat="false" ht="12.75" hidden="false" customHeight="false" outlineLevel="0" collapsed="false">
      <c r="A45" s="4"/>
      <c r="B45" s="4"/>
    </row>
    <row r="46" customFormat="false" ht="12.75" hidden="false" customHeight="false" outlineLevel="0" collapsed="false">
      <c r="A46" s="4" t="s">
        <v>8</v>
      </c>
      <c r="B46" s="4" t="s">
        <v>20</v>
      </c>
    </row>
    <row r="47" customFormat="false" ht="12.75" hidden="false" customHeight="false" outlineLevel="0" collapsed="false">
      <c r="A47" s="4" t="s">
        <v>21</v>
      </c>
      <c r="B47" s="4" t="s">
        <v>22</v>
      </c>
    </row>
    <row r="48" customFormat="false" ht="12.75" hidden="false" customHeight="false" outlineLevel="0" collapsed="false">
      <c r="A48" s="4" t="s">
        <v>12</v>
      </c>
      <c r="B48" s="4"/>
    </row>
    <row r="49" customFormat="false" ht="12.75" hidden="false" customHeight="false" outlineLevel="0" collapsed="false">
      <c r="A49" s="4"/>
      <c r="B49" s="4"/>
    </row>
    <row r="50" customFormat="false" ht="25" hidden="false" customHeight="false" outlineLevel="0" collapsed="false">
      <c r="A50" s="6" t="s">
        <v>23</v>
      </c>
      <c r="B50" s="7" t="s">
        <v>24</v>
      </c>
      <c r="C50" s="8"/>
    </row>
    <row r="51" customFormat="false" ht="12.75" hidden="false" customHeight="false" outlineLevel="0" collapsed="false">
      <c r="A51" s="6"/>
      <c r="B51" s="6" t="s">
        <v>25</v>
      </c>
      <c r="C51" s="8"/>
    </row>
    <row r="52" customFormat="false" ht="12.75" hidden="false" customHeight="false" outlineLevel="0" collapsed="false">
      <c r="A52" s="6"/>
      <c r="B52" s="9" t="s">
        <v>26</v>
      </c>
      <c r="C52" s="8"/>
    </row>
  </sheetData>
  <sheetProtection sheet="true" objects="true" scenarios="true"/>
  <printOptions headings="false" gridLines="false" gridLinesSet="true" horizontalCentered="false" verticalCentered="false"/>
  <pageMargins left="0.747916666666667" right="0.747916666666667" top="0.39375" bottom="0.39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30"/>
  <sheetViews>
    <sheetView showFormulas="false" showGridLines="true" showRowColHeaders="true" showZeros="true" rightToLeft="false" tabSelected="false" showOutlineSymbols="true" defaultGridColor="true" view="normal" topLeftCell="B1" colorId="64" zoomScale="80" zoomScaleNormal="80" zoomScalePageLayoutView="100" workbookViewId="0">
      <selection pane="topLeft" activeCell="F21" activeCellId="0" sqref="F21"/>
    </sheetView>
  </sheetViews>
  <sheetFormatPr defaultColWidth="8.83203125" defaultRowHeight="13.5" zeroHeight="false" outlineLevelRow="0" outlineLevelCol="0"/>
  <cols>
    <col collapsed="false" customWidth="true" hidden="true" outlineLevel="0" max="1" min="1" style="10" width="10.33"/>
    <col collapsed="false" customWidth="true" hidden="false" outlineLevel="0" max="2" min="2" style="0" width="13.5"/>
    <col collapsed="false" customWidth="true" hidden="false" outlineLevel="0" max="3" min="3" style="11" width="7.33"/>
    <col collapsed="false" customWidth="true" hidden="false" outlineLevel="0" max="4" min="4" style="12" width="107.83"/>
    <col collapsed="false" customWidth="true" hidden="true" outlineLevel="0" max="5" min="5" style="10" width="5.16"/>
    <col collapsed="false" customWidth="true" hidden="false" outlineLevel="0" max="6" min="6" style="13" width="33.33"/>
    <col collapsed="false" customWidth="true" hidden="true" outlineLevel="0" max="7" min="7" style="10" width="8.67"/>
    <col collapsed="false" customWidth="true" hidden="true" outlineLevel="0" max="8" min="8" style="14" width="8.67"/>
    <col collapsed="false" customWidth="true" hidden="false" outlineLevel="0" max="9" min="9" style="0" width="33.33"/>
    <col collapsed="false" customWidth="true" hidden="false" outlineLevel="0" max="10" min="10" style="15" width="15"/>
    <col collapsed="false" customWidth="true" hidden="false" outlineLevel="0" max="11" min="11" style="0" width="15"/>
    <col collapsed="false" customWidth="true" hidden="false" outlineLevel="0" max="12" min="12" style="0" width="26"/>
    <col collapsed="false" customWidth="true" hidden="false" outlineLevel="0" max="13" min="13" style="0" width="24.51"/>
    <col collapsed="false" customWidth="true" hidden="false" outlineLevel="0" max="14" min="14" style="0" width="26.67"/>
    <col collapsed="false" customWidth="true" hidden="false" outlineLevel="0" max="15" min="15" style="0" width="25.67"/>
    <col collapsed="false" customWidth="true" hidden="false" outlineLevel="0" max="16" min="16" style="0" width="28.67"/>
    <col collapsed="false" customWidth="true" hidden="false" outlineLevel="0" max="26" min="17" style="0" width="15"/>
  </cols>
  <sheetData>
    <row r="1" customFormat="false" ht="17.35" hidden="false" customHeight="false" outlineLevel="0" collapsed="false">
      <c r="B1" s="16" t="str">
        <f aca="false">CONCATENATE("SAMM Assessment Interview: ",D11," For ",D10)</f>
        <v>SAMM Assessment Interview:  For </v>
      </c>
      <c r="C1" s="16"/>
      <c r="D1" s="16"/>
      <c r="E1" s="16"/>
      <c r="F1" s="16"/>
      <c r="G1" s="16"/>
      <c r="H1" s="16"/>
      <c r="I1" s="16"/>
      <c r="J1" s="17"/>
      <c r="K1" s="18"/>
      <c r="L1" s="18"/>
      <c r="M1" s="18"/>
      <c r="N1" s="18"/>
      <c r="O1" s="18"/>
      <c r="P1" s="18"/>
      <c r="Q1" s="18"/>
      <c r="R1" s="18"/>
      <c r="S1" s="18"/>
      <c r="T1" s="18"/>
      <c r="U1" s="18"/>
      <c r="V1" s="18"/>
      <c r="W1" s="18"/>
      <c r="X1" s="18"/>
      <c r="Y1" s="18"/>
      <c r="Z1" s="18"/>
    </row>
    <row r="2" customFormat="false" ht="13.8" hidden="false" customHeight="false" outlineLevel="0" collapsed="false">
      <c r="B2" s="18"/>
      <c r="C2" s="19"/>
      <c r="D2" s="18"/>
      <c r="E2" s="20"/>
      <c r="F2" s="21"/>
      <c r="G2" s="20"/>
      <c r="H2" s="22"/>
      <c r="I2" s="18"/>
      <c r="J2" s="17"/>
      <c r="K2" s="18"/>
      <c r="L2" s="18"/>
      <c r="M2" s="18"/>
      <c r="N2" s="18"/>
      <c r="O2" s="18"/>
      <c r="P2" s="18"/>
      <c r="Q2" s="18"/>
      <c r="R2" s="18"/>
      <c r="S2" s="18"/>
      <c r="T2" s="18"/>
      <c r="U2" s="18"/>
      <c r="V2" s="18"/>
      <c r="W2" s="18"/>
      <c r="X2" s="18"/>
      <c r="Y2" s="18"/>
      <c r="Z2" s="18"/>
    </row>
    <row r="3" customFormat="false" ht="13.8" hidden="false" customHeight="true" outlineLevel="0" collapsed="false">
      <c r="B3" s="23" t="s">
        <v>27</v>
      </c>
      <c r="C3" s="23"/>
      <c r="D3" s="23"/>
      <c r="E3" s="23"/>
      <c r="F3" s="23"/>
      <c r="G3" s="23"/>
      <c r="H3" s="23"/>
      <c r="I3" s="23"/>
      <c r="J3" s="17"/>
      <c r="K3" s="18"/>
      <c r="L3" s="18"/>
      <c r="M3" s="18"/>
      <c r="N3" s="18"/>
      <c r="O3" s="18"/>
      <c r="P3" s="18"/>
      <c r="Q3" s="18"/>
      <c r="R3" s="18"/>
      <c r="S3" s="18"/>
      <c r="T3" s="18"/>
      <c r="U3" s="18"/>
      <c r="V3" s="18"/>
      <c r="W3" s="18"/>
      <c r="X3" s="18"/>
      <c r="Y3" s="18"/>
      <c r="Z3" s="18"/>
    </row>
    <row r="4" customFormat="false" ht="13.8" hidden="false" customHeight="true" outlineLevel="0" collapsed="false">
      <c r="B4" s="24" t="s">
        <v>28</v>
      </c>
      <c r="C4" s="24"/>
      <c r="D4" s="24"/>
      <c r="E4" s="24"/>
      <c r="F4" s="24"/>
      <c r="G4" s="24"/>
      <c r="H4" s="24"/>
      <c r="I4" s="24"/>
      <c r="J4" s="17"/>
      <c r="K4" s="18"/>
      <c r="L4" s="18"/>
      <c r="M4" s="18"/>
      <c r="N4" s="18"/>
      <c r="O4" s="18"/>
      <c r="P4" s="18"/>
      <c r="Q4" s="18"/>
      <c r="R4" s="18"/>
      <c r="S4" s="18"/>
      <c r="T4" s="18"/>
      <c r="U4" s="18"/>
      <c r="V4" s="18"/>
      <c r="W4" s="18"/>
      <c r="X4" s="18"/>
      <c r="Y4" s="18"/>
      <c r="Z4" s="18"/>
    </row>
    <row r="5" customFormat="false" ht="13.8" hidden="false" customHeight="true" outlineLevel="0" collapsed="false">
      <c r="B5" s="25" t="s">
        <v>29</v>
      </c>
      <c r="C5" s="25"/>
      <c r="D5" s="25"/>
      <c r="E5" s="25"/>
      <c r="F5" s="25"/>
      <c r="G5" s="25"/>
      <c r="H5" s="25"/>
      <c r="I5" s="25"/>
      <c r="J5" s="17"/>
      <c r="K5" s="18"/>
      <c r="L5" s="18"/>
      <c r="M5" s="18"/>
      <c r="N5" s="18"/>
      <c r="O5" s="18"/>
      <c r="P5" s="18"/>
      <c r="Q5" s="18"/>
      <c r="R5" s="18"/>
      <c r="S5" s="18"/>
      <c r="T5" s="18"/>
      <c r="U5" s="18"/>
      <c r="V5" s="18"/>
      <c r="W5" s="18"/>
      <c r="X5" s="18"/>
      <c r="Y5" s="18"/>
      <c r="Z5" s="18"/>
    </row>
    <row r="6" customFormat="false" ht="13.8" hidden="false" customHeight="true" outlineLevel="0" collapsed="false">
      <c r="B6" s="25" t="s">
        <v>30</v>
      </c>
      <c r="C6" s="25"/>
      <c r="D6" s="25"/>
      <c r="E6" s="25"/>
      <c r="F6" s="25"/>
      <c r="G6" s="25"/>
      <c r="H6" s="25"/>
      <c r="I6" s="25"/>
      <c r="J6" s="17"/>
      <c r="K6" s="18"/>
      <c r="L6" s="18"/>
      <c r="M6" s="18"/>
      <c r="N6" s="18"/>
      <c r="O6" s="18"/>
      <c r="P6" s="18"/>
      <c r="Q6" s="18"/>
      <c r="R6" s="18"/>
      <c r="S6" s="18"/>
      <c r="T6" s="18"/>
      <c r="U6" s="18"/>
      <c r="V6" s="18"/>
      <c r="W6" s="18"/>
      <c r="X6" s="18"/>
      <c r="Y6" s="18"/>
      <c r="Z6" s="18"/>
    </row>
    <row r="7" customFormat="false" ht="13.8" hidden="false" customHeight="true" outlineLevel="0" collapsed="false">
      <c r="B7" s="25" t="s">
        <v>31</v>
      </c>
      <c r="C7" s="25"/>
      <c r="D7" s="25"/>
      <c r="E7" s="25"/>
      <c r="F7" s="25"/>
      <c r="G7" s="25"/>
      <c r="H7" s="25"/>
      <c r="I7" s="25"/>
      <c r="J7" s="17"/>
      <c r="K7" s="18"/>
      <c r="L7" s="18"/>
      <c r="M7" s="18"/>
      <c r="N7" s="18"/>
      <c r="O7" s="18"/>
      <c r="P7" s="18"/>
      <c r="Q7" s="18"/>
      <c r="R7" s="18"/>
      <c r="S7" s="18"/>
      <c r="T7" s="18"/>
      <c r="U7" s="18"/>
      <c r="V7" s="18"/>
      <c r="W7" s="18"/>
      <c r="X7" s="18"/>
      <c r="Y7" s="18"/>
      <c r="Z7" s="18"/>
    </row>
    <row r="8" customFormat="false" ht="13.8" hidden="false" customHeight="true" outlineLevel="0" collapsed="false">
      <c r="B8" s="26" t="s">
        <v>32</v>
      </c>
      <c r="C8" s="26"/>
      <c r="D8" s="26"/>
      <c r="E8" s="26"/>
      <c r="F8" s="26"/>
      <c r="G8" s="26"/>
      <c r="H8" s="26"/>
      <c r="I8" s="26"/>
      <c r="J8" s="17"/>
      <c r="K8" s="18"/>
      <c r="L8" s="18"/>
      <c r="M8" s="18"/>
      <c r="N8" s="18"/>
      <c r="O8" s="18"/>
      <c r="P8" s="18"/>
      <c r="Q8" s="18"/>
      <c r="R8" s="18"/>
      <c r="S8" s="18"/>
      <c r="T8" s="18"/>
      <c r="U8" s="18"/>
      <c r="V8" s="18"/>
      <c r="W8" s="18"/>
      <c r="X8" s="18"/>
      <c r="Y8" s="18"/>
      <c r="Z8" s="18"/>
    </row>
    <row r="9" customFormat="false" ht="13.8" hidden="false" customHeight="false" outlineLevel="0" collapsed="false">
      <c r="B9" s="18"/>
      <c r="C9" s="19"/>
      <c r="D9" s="18"/>
      <c r="E9" s="20"/>
      <c r="F9" s="21"/>
      <c r="G9" s="20"/>
      <c r="H9" s="22"/>
      <c r="I9" s="18"/>
      <c r="J9" s="17"/>
      <c r="K9" s="18"/>
      <c r="L9" s="18"/>
      <c r="M9" s="18"/>
      <c r="N9" s="18"/>
      <c r="O9" s="18"/>
      <c r="P9" s="18"/>
      <c r="Q9" s="18"/>
      <c r="R9" s="18"/>
      <c r="S9" s="18"/>
      <c r="T9" s="18"/>
      <c r="U9" s="18"/>
      <c r="V9" s="18"/>
      <c r="W9" s="18"/>
      <c r="X9" s="18"/>
      <c r="Y9" s="18"/>
      <c r="Z9" s="18"/>
    </row>
    <row r="10" customFormat="false" ht="13.8" hidden="false" customHeight="true" outlineLevel="0" collapsed="false">
      <c r="B10" s="27" t="s">
        <v>33</v>
      </c>
      <c r="C10" s="27"/>
      <c r="D10" s="28"/>
      <c r="E10" s="20"/>
      <c r="F10" s="21"/>
      <c r="G10" s="20"/>
      <c r="H10" s="22"/>
      <c r="I10" s="18"/>
      <c r="J10" s="17"/>
      <c r="K10" s="18"/>
      <c r="L10" s="18"/>
      <c r="M10" s="18"/>
      <c r="N10" s="18"/>
      <c r="O10" s="18"/>
      <c r="P10" s="18"/>
      <c r="Q10" s="18"/>
      <c r="R10" s="18"/>
      <c r="S10" s="18"/>
      <c r="T10" s="18"/>
      <c r="U10" s="18"/>
      <c r="V10" s="18"/>
      <c r="W10" s="18"/>
      <c r="X10" s="18"/>
      <c r="Y10" s="18"/>
      <c r="Z10" s="18"/>
    </row>
    <row r="11" customFormat="false" ht="13.8" hidden="false" customHeight="true" outlineLevel="0" collapsed="false">
      <c r="B11" s="29" t="s">
        <v>34</v>
      </c>
      <c r="C11" s="29"/>
      <c r="D11" s="30"/>
      <c r="E11" s="20"/>
      <c r="F11" s="21"/>
      <c r="G11" s="20"/>
      <c r="H11" s="22"/>
      <c r="I11" s="18"/>
      <c r="J11" s="17"/>
      <c r="K11" s="18"/>
      <c r="L11" s="18"/>
      <c r="M11" s="18"/>
      <c r="N11" s="18"/>
      <c r="O11" s="18"/>
      <c r="P11" s="18"/>
      <c r="Q11" s="18"/>
      <c r="R11" s="18"/>
      <c r="S11" s="18"/>
      <c r="T11" s="18"/>
      <c r="U11" s="18"/>
      <c r="V11" s="18"/>
      <c r="W11" s="18"/>
      <c r="X11" s="18"/>
      <c r="Y11" s="18"/>
      <c r="Z11" s="18"/>
    </row>
    <row r="12" customFormat="false" ht="13.8" hidden="false" customHeight="true" outlineLevel="0" collapsed="false">
      <c r="B12" s="29" t="s">
        <v>35</v>
      </c>
      <c r="C12" s="29"/>
      <c r="D12" s="31"/>
      <c r="E12" s="32"/>
      <c r="F12" s="21"/>
      <c r="G12" s="20"/>
      <c r="H12" s="22"/>
      <c r="I12" s="18"/>
      <c r="J12" s="17"/>
      <c r="K12" s="18"/>
      <c r="L12" s="18"/>
      <c r="M12" s="18"/>
      <c r="N12" s="18"/>
      <c r="O12" s="18"/>
      <c r="P12" s="18"/>
      <c r="Q12" s="18"/>
      <c r="R12" s="18"/>
      <c r="S12" s="18"/>
      <c r="T12" s="18"/>
      <c r="U12" s="18"/>
      <c r="V12" s="18"/>
      <c r="W12" s="18"/>
      <c r="X12" s="18"/>
      <c r="Y12" s="18"/>
      <c r="Z12" s="18"/>
    </row>
    <row r="13" customFormat="false" ht="13.8" hidden="false" customHeight="true" outlineLevel="0" collapsed="false">
      <c r="B13" s="29" t="s">
        <v>36</v>
      </c>
      <c r="C13" s="29"/>
      <c r="D13" s="30"/>
      <c r="E13" s="20"/>
      <c r="F13" s="21"/>
      <c r="G13" s="20"/>
      <c r="H13" s="22"/>
      <c r="I13" s="18"/>
      <c r="J13" s="17"/>
      <c r="K13" s="18"/>
      <c r="L13" s="18"/>
      <c r="M13" s="18"/>
      <c r="N13" s="18"/>
      <c r="O13" s="18"/>
      <c r="P13" s="18"/>
      <c r="Q13" s="18"/>
      <c r="R13" s="18"/>
      <c r="S13" s="18"/>
      <c r="T13" s="18"/>
      <c r="U13" s="18"/>
      <c r="V13" s="18"/>
      <c r="W13" s="18"/>
      <c r="X13" s="18"/>
      <c r="Y13" s="18"/>
      <c r="Z13" s="18"/>
    </row>
    <row r="14" customFormat="false" ht="22.05" hidden="false" customHeight="true" outlineLevel="0" collapsed="false">
      <c r="A14" s="33"/>
      <c r="B14" s="34" t="s">
        <v>12</v>
      </c>
      <c r="C14" s="34"/>
      <c r="D14" s="35"/>
      <c r="E14" s="20"/>
      <c r="F14" s="21"/>
      <c r="G14" s="20"/>
      <c r="H14" s="22"/>
      <c r="I14" s="18"/>
      <c r="J14" s="17"/>
      <c r="K14" s="18"/>
      <c r="L14" s="18"/>
      <c r="M14" s="18"/>
      <c r="N14" s="18"/>
      <c r="O14" s="18"/>
      <c r="P14" s="18"/>
      <c r="Q14" s="18"/>
      <c r="R14" s="18"/>
      <c r="S14" s="18"/>
      <c r="T14" s="18"/>
      <c r="U14" s="18"/>
      <c r="V14" s="18"/>
      <c r="W14" s="18"/>
      <c r="X14" s="18"/>
      <c r="Y14" s="18"/>
      <c r="Z14" s="18"/>
    </row>
    <row r="15" customFormat="false" ht="13.8" hidden="false" customHeight="false" outlineLevel="0" collapsed="false">
      <c r="B15" s="18"/>
      <c r="C15" s="19"/>
      <c r="D15" s="18"/>
      <c r="E15" s="20"/>
      <c r="F15" s="21"/>
      <c r="G15" s="20"/>
      <c r="H15" s="22"/>
      <c r="I15" s="18"/>
      <c r="J15" s="17"/>
      <c r="K15" s="18"/>
      <c r="L15" s="18"/>
      <c r="M15" s="18"/>
      <c r="N15" s="18"/>
      <c r="O15" s="18"/>
      <c r="P15" s="18"/>
      <c r="Q15" s="18"/>
      <c r="R15" s="18"/>
      <c r="S15" s="18"/>
      <c r="T15" s="18"/>
      <c r="U15" s="18"/>
      <c r="V15" s="18"/>
      <c r="W15" s="18"/>
      <c r="X15" s="18"/>
      <c r="Y15" s="18"/>
      <c r="Z15" s="18"/>
    </row>
    <row r="16" customFormat="false" ht="13.5" hidden="false" customHeight="true" outlineLevel="0" collapsed="false">
      <c r="B16" s="36" t="s">
        <v>37</v>
      </c>
      <c r="C16" s="36"/>
      <c r="D16" s="36"/>
      <c r="E16" s="36"/>
      <c r="F16" s="36"/>
      <c r="G16" s="36"/>
      <c r="H16" s="36"/>
      <c r="I16" s="36"/>
      <c r="J16" s="36"/>
      <c r="K16" s="18"/>
      <c r="Q16" s="18"/>
      <c r="R16" s="18"/>
      <c r="S16" s="18"/>
      <c r="T16" s="18"/>
      <c r="U16" s="18"/>
      <c r="V16" s="18"/>
      <c r="W16" s="18"/>
      <c r="X16" s="18"/>
      <c r="Y16" s="18"/>
      <c r="Z16" s="18"/>
    </row>
    <row r="17" customFormat="false" ht="13.5" hidden="false" customHeight="false" outlineLevel="0" collapsed="false">
      <c r="B17" s="37" t="s">
        <v>38</v>
      </c>
      <c r="C17" s="38" t="s">
        <v>39</v>
      </c>
      <c r="D17" s="39" t="s">
        <v>40</v>
      </c>
      <c r="E17" s="40"/>
      <c r="F17" s="41" t="s">
        <v>41</v>
      </c>
      <c r="G17" s="41"/>
      <c r="H17" s="42"/>
      <c r="I17" s="43" t="s">
        <v>42</v>
      </c>
      <c r="J17" s="43" t="s">
        <v>43</v>
      </c>
      <c r="K17" s="18"/>
      <c r="Q17" s="18"/>
      <c r="R17" s="18"/>
      <c r="S17" s="18"/>
      <c r="T17" s="18"/>
      <c r="U17" s="18"/>
      <c r="V17" s="18"/>
      <c r="W17" s="18"/>
      <c r="X17" s="18"/>
      <c r="Y17" s="18"/>
      <c r="Z17" s="18"/>
    </row>
    <row r="18" customFormat="false" ht="13.5" hidden="false" customHeight="false" outlineLevel="0" collapsed="false">
      <c r="A18" s="44" t="s">
        <v>44</v>
      </c>
      <c r="B18" s="45" t="str">
        <f aca="false">VLOOKUP(A18,'imp-questions'!A:H,4,FALSE())</f>
        <v>Create and Promote</v>
      </c>
      <c r="C18" s="46" t="n">
        <f aca="false">VLOOKUP(A18,'imp-questions'!A:H,5,FALSE())</f>
        <v>1</v>
      </c>
      <c r="D18" s="47" t="str">
        <f aca="false">VLOOKUP(A18,'imp-questions'!A:H,6,FALSE())</f>
        <v>Do you understand the enterprise-wide risk appetite for your applications ?</v>
      </c>
      <c r="E18" s="48" t="str">
        <f aca="false">CHAR(65+VLOOKUP(A18,'imp-questions'!A:H,8,FALSE()))</f>
        <v>Y</v>
      </c>
      <c r="F18" s="49"/>
      <c r="G18" s="50" t="n">
        <f aca="false">IFERROR(VLOOKUP(F18,AnsYTBL,2,FALSE()),0)</f>
        <v>0</v>
      </c>
      <c r="H18" s="51" t="n">
        <f aca="false">IFERROR(AVERAGE(G18,G25),0)</f>
        <v>0</v>
      </c>
      <c r="I18" s="52"/>
      <c r="J18" s="53" t="n">
        <f aca="false">SUM(H18,H20,H22)</f>
        <v>0</v>
      </c>
      <c r="K18" s="18"/>
      <c r="L18" s="54"/>
      <c r="M18" s="54"/>
      <c r="N18" s="54"/>
      <c r="O18" s="54"/>
      <c r="P18" s="54"/>
      <c r="Q18" s="18"/>
      <c r="R18" s="18"/>
      <c r="S18" s="18"/>
      <c r="T18" s="18"/>
      <c r="U18" s="18"/>
      <c r="V18" s="18"/>
      <c r="W18" s="18"/>
      <c r="X18" s="18"/>
      <c r="Y18" s="18"/>
      <c r="Z18" s="18"/>
    </row>
    <row r="19" customFormat="false" ht="58.5" hidden="false" customHeight="true" outlineLevel="0" collapsed="false">
      <c r="B19" s="45"/>
      <c r="C19" s="55"/>
      <c r="D19" s="56" t="str">
        <f aca="false">VLOOKUP(A18,'imp-questions'!A:H,7,FALSE())</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57"/>
      <c r="F19" s="58"/>
      <c r="G19" s="59"/>
      <c r="H19" s="60"/>
      <c r="I19" s="52"/>
      <c r="J19" s="53"/>
      <c r="K19" s="18"/>
      <c r="L19" s="54"/>
      <c r="M19" s="54"/>
      <c r="N19" s="54"/>
      <c r="O19" s="54"/>
      <c r="P19" s="54"/>
      <c r="Q19" s="18"/>
      <c r="R19" s="18"/>
      <c r="S19" s="18"/>
      <c r="T19" s="18"/>
      <c r="U19" s="18"/>
      <c r="V19" s="18"/>
      <c r="W19" s="18"/>
      <c r="X19" s="18"/>
      <c r="Y19" s="18"/>
      <c r="Z19" s="18"/>
    </row>
    <row r="20" customFormat="false" ht="13.8" hidden="false" customHeight="false" outlineLevel="0" collapsed="false">
      <c r="A20" s="44" t="s">
        <v>45</v>
      </c>
      <c r="B20" s="45"/>
      <c r="C20" s="46" t="n">
        <f aca="false">VLOOKUP(A20,'imp-questions'!A:H,5,FALSE())</f>
        <v>2</v>
      </c>
      <c r="D20" s="47" t="str">
        <f aca="false">VLOOKUP(A20,'imp-questions'!A:H,6,FALSE())</f>
        <v>Do you have a strategic plan for application security and use it to make decisions?</v>
      </c>
      <c r="E20" s="61" t="str">
        <f aca="false">CHAR(65+VLOOKUP(A20,'imp-questions'!A:H,8,FALSE()))</f>
        <v>V</v>
      </c>
      <c r="F20" s="62"/>
      <c r="G20" s="63" t="n">
        <f aca="false">IFERROR(VLOOKUP(F20,AnsVTBL,2,FALSE()),0)</f>
        <v>0</v>
      </c>
      <c r="H20" s="64" t="n">
        <f aca="false">IFERROR(AVERAGE(G20,G27),0)</f>
        <v>0</v>
      </c>
      <c r="I20" s="65"/>
      <c r="J20" s="66"/>
      <c r="K20" s="18"/>
      <c r="L20" s="54"/>
      <c r="M20" s="54"/>
      <c r="N20" s="54"/>
      <c r="O20" s="54"/>
      <c r="P20" s="54"/>
      <c r="Q20" s="18"/>
      <c r="R20" s="18"/>
      <c r="S20" s="18"/>
      <c r="T20" s="18"/>
      <c r="U20" s="18"/>
      <c r="V20" s="18"/>
      <c r="W20" s="18"/>
      <c r="X20" s="18"/>
      <c r="Y20" s="18"/>
      <c r="Z20" s="18"/>
    </row>
    <row r="21" customFormat="false" ht="72" hidden="false" customHeight="true" outlineLevel="0" collapsed="false">
      <c r="B21" s="45"/>
      <c r="C21" s="67"/>
      <c r="D21" s="56" t="str">
        <f aca="false">VLOOKUP(A20,'imp-questions'!A:H,7,FALSE())</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57"/>
      <c r="F21" s="68"/>
      <c r="G21" s="59"/>
      <c r="H21" s="60"/>
      <c r="I21" s="65"/>
      <c r="J21" s="66"/>
      <c r="K21" s="18"/>
      <c r="L21" s="54"/>
      <c r="M21" s="54"/>
      <c r="N21" s="54"/>
      <c r="O21" s="54"/>
      <c r="P21" s="54"/>
      <c r="Q21" s="18"/>
      <c r="R21" s="18"/>
      <c r="S21" s="18"/>
      <c r="T21" s="18"/>
      <c r="U21" s="18"/>
      <c r="V21" s="18"/>
      <c r="W21" s="18"/>
      <c r="X21" s="18"/>
      <c r="Y21" s="18"/>
      <c r="Z21" s="18"/>
    </row>
    <row r="22" customFormat="false" ht="13.8" hidden="false" customHeight="false" outlineLevel="0" collapsed="false">
      <c r="A22" s="44" t="s">
        <v>46</v>
      </c>
      <c r="B22" s="45"/>
      <c r="C22" s="46" t="n">
        <f aca="false">VLOOKUP(A22,'imp-questions'!A:H,5,FALSE())</f>
        <v>3</v>
      </c>
      <c r="D22" s="47" t="str">
        <f aca="false">VLOOKUP(A22,'imp-questions'!A:H,6,FALSE())</f>
        <v>Do you regularly review and update the Strategic Plan for Application Security?</v>
      </c>
      <c r="E22" s="61" t="str">
        <f aca="false">CHAR(65+VLOOKUP(A22,'imp-questions'!A:H,8,FALSE()))</f>
        <v>N</v>
      </c>
      <c r="F22" s="62"/>
      <c r="G22" s="63" t="n">
        <f aca="false">IFERROR(VLOOKUP(F22,AnsNTBL,2,FALSE()),0)</f>
        <v>0</v>
      </c>
      <c r="H22" s="64" t="n">
        <f aca="false">IFERROR(AVERAGE(G22,G29),0)</f>
        <v>0</v>
      </c>
      <c r="I22" s="65"/>
      <c r="J22" s="66"/>
      <c r="K22" s="18"/>
      <c r="L22" s="54"/>
      <c r="M22" s="54"/>
      <c r="N22" s="54"/>
      <c r="O22" s="54"/>
      <c r="P22" s="54"/>
      <c r="Q22" s="18"/>
      <c r="R22" s="18"/>
      <c r="S22" s="18"/>
      <c r="T22" s="18"/>
      <c r="U22" s="18"/>
      <c r="V22" s="18"/>
      <c r="W22" s="18"/>
      <c r="X22" s="18"/>
      <c r="Y22" s="18"/>
      <c r="Z22" s="18"/>
    </row>
    <row r="23" customFormat="false" ht="60" hidden="false" customHeight="true" outlineLevel="0" collapsed="false">
      <c r="B23" s="45"/>
      <c r="C23" s="67"/>
      <c r="D23" s="56" t="str">
        <f aca="false">VLOOKUP(A22,'imp-questions'!A:H,7,FALSE())</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57"/>
      <c r="F23" s="68"/>
      <c r="G23" s="59"/>
      <c r="H23" s="60"/>
      <c r="I23" s="65"/>
      <c r="J23" s="66"/>
      <c r="K23" s="18"/>
      <c r="L23" s="54"/>
      <c r="M23" s="54"/>
      <c r="N23" s="54"/>
      <c r="O23" s="54"/>
      <c r="P23" s="54"/>
      <c r="Q23" s="18"/>
      <c r="R23" s="18"/>
      <c r="S23" s="18"/>
      <c r="T23" s="18"/>
      <c r="U23" s="18"/>
      <c r="V23" s="18"/>
      <c r="W23" s="18"/>
      <c r="X23" s="18"/>
      <c r="Y23" s="18"/>
      <c r="Z23" s="18"/>
    </row>
    <row r="24" customFormat="false" ht="13.8" hidden="false" customHeight="false" outlineLevel="0" collapsed="false">
      <c r="B24" s="69"/>
      <c r="C24" s="70"/>
      <c r="D24" s="70"/>
      <c r="E24" s="70"/>
      <c r="F24" s="70"/>
      <c r="G24" s="70"/>
      <c r="H24" s="70"/>
      <c r="I24" s="71"/>
      <c r="J24" s="66"/>
      <c r="K24" s="18"/>
      <c r="L24" s="54"/>
      <c r="M24" s="54"/>
      <c r="N24" s="54"/>
      <c r="O24" s="54"/>
      <c r="P24" s="54"/>
      <c r="Q24" s="18"/>
      <c r="R24" s="18"/>
      <c r="S24" s="18"/>
      <c r="T24" s="18"/>
      <c r="U24" s="18"/>
      <c r="V24" s="18"/>
      <c r="W24" s="18"/>
      <c r="X24" s="18"/>
      <c r="Y24" s="18"/>
      <c r="Z24" s="18"/>
    </row>
    <row r="25" customFormat="false" ht="23.85" hidden="false" customHeight="false" outlineLevel="0" collapsed="false">
      <c r="A25" s="44" t="s">
        <v>47</v>
      </c>
      <c r="B25" s="45" t="str">
        <f aca="false">VLOOKUP(A25,'imp-questions'!A:H,4,FALSE())</f>
        <v>Measure and Improve</v>
      </c>
      <c r="C25" s="46" t="n">
        <f aca="false">VLOOKUP(A25,'imp-questions'!A:H,5,FALSE())</f>
        <v>1</v>
      </c>
      <c r="D25" s="47" t="str">
        <f aca="false">VLOOKUP(A25,'imp-questions'!A:H,6,FALSE())</f>
        <v>Do you use a set of metrics to measure the effectiveness and efficiency of the application security program across applications?</v>
      </c>
      <c r="E25" s="48" t="str">
        <f aca="false">CHAR(65+VLOOKUP(A25,'imp-questions'!A:H,8,FALSE()))</f>
        <v>K</v>
      </c>
      <c r="F25" s="49"/>
      <c r="G25" s="63" t="n">
        <f aca="false">IFERROR(VLOOKUP(F25,AnsKTBL,2,FALSE()),0)</f>
        <v>0</v>
      </c>
      <c r="H25" s="51"/>
      <c r="I25" s="52"/>
      <c r="J25" s="66"/>
      <c r="K25" s="18"/>
      <c r="L25" s="54"/>
      <c r="M25" s="54"/>
      <c r="N25" s="54"/>
      <c r="O25" s="54"/>
      <c r="P25" s="54"/>
      <c r="Q25" s="18"/>
      <c r="R25" s="18"/>
      <c r="S25" s="18"/>
      <c r="T25" s="18"/>
      <c r="U25" s="18"/>
      <c r="V25" s="18"/>
      <c r="W25" s="18"/>
      <c r="X25" s="18"/>
      <c r="Y25" s="18"/>
      <c r="Z25" s="18"/>
    </row>
    <row r="26" customFormat="false" ht="70.5" hidden="false" customHeight="true" outlineLevel="0" collapsed="false">
      <c r="B26" s="45"/>
      <c r="C26" s="55"/>
      <c r="D26" s="72" t="str">
        <f aca="false">VLOOKUP(A25,'imp-questions'!A:H,7,FALSE())</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73"/>
      <c r="F26" s="68"/>
      <c r="G26" s="59"/>
      <c r="H26" s="60"/>
      <c r="I26" s="52"/>
      <c r="J26" s="66"/>
      <c r="K26" s="18"/>
      <c r="L26" s="54"/>
      <c r="M26" s="54"/>
      <c r="N26" s="54"/>
      <c r="O26" s="54"/>
      <c r="P26" s="54"/>
      <c r="Q26" s="18"/>
      <c r="R26" s="18"/>
      <c r="S26" s="18"/>
      <c r="T26" s="18"/>
      <c r="U26" s="18"/>
      <c r="V26" s="18"/>
      <c r="W26" s="18"/>
      <c r="X26" s="18"/>
      <c r="Y26" s="18"/>
      <c r="Z26" s="18"/>
    </row>
    <row r="27" customFormat="false" ht="13.8" hidden="false" customHeight="false" outlineLevel="0" collapsed="false">
      <c r="A27" s="44" t="s">
        <v>48</v>
      </c>
      <c r="B27" s="45"/>
      <c r="C27" s="46" t="n">
        <f aca="false">VLOOKUP(A27,'imp-questions'!A:H,5,FALSE())</f>
        <v>2</v>
      </c>
      <c r="D27" s="47" t="str">
        <f aca="false">VLOOKUP(A27,'imp-questions'!A:H,6,FALSE())</f>
        <v>Did you define Key Perfomance Indicators (KPI) from available application security metrics?</v>
      </c>
      <c r="E27" s="48" t="str">
        <f aca="false">CHAR(65+VLOOKUP(A27,'imp-questions'!A:H,8,FALSE()))</f>
        <v>B</v>
      </c>
      <c r="F27" s="62"/>
      <c r="G27" s="63" t="n">
        <f aca="false">IFERROR(VLOOKUP(F27,AnsBTBL,2,FALSE()),0)</f>
        <v>0</v>
      </c>
      <c r="H27" s="64"/>
      <c r="I27" s="52"/>
      <c r="J27" s="66"/>
      <c r="K27" s="18"/>
      <c r="L27" s="54"/>
      <c r="M27" s="54"/>
      <c r="N27" s="54"/>
      <c r="O27" s="54"/>
      <c r="P27" s="54"/>
      <c r="Q27" s="18"/>
      <c r="R27" s="18"/>
      <c r="S27" s="18"/>
      <c r="T27" s="18"/>
      <c r="U27" s="18"/>
      <c r="V27" s="18"/>
      <c r="W27" s="18"/>
      <c r="X27" s="18"/>
      <c r="Y27" s="18"/>
      <c r="Z27" s="18"/>
    </row>
    <row r="28" customFormat="false" ht="60" hidden="false" customHeight="true" outlineLevel="0" collapsed="false">
      <c r="B28" s="45"/>
      <c r="C28" s="67"/>
      <c r="D28" s="56" t="str">
        <f aca="false">VLOOKUP(A27,'imp-questions'!A:H,7,FALSE())</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57"/>
      <c r="F28" s="68"/>
      <c r="G28" s="59"/>
      <c r="H28" s="60"/>
      <c r="I28" s="52"/>
      <c r="J28" s="66"/>
      <c r="K28" s="18"/>
      <c r="L28" s="54"/>
      <c r="M28" s="54"/>
      <c r="N28" s="54"/>
      <c r="O28" s="54"/>
      <c r="P28" s="54"/>
      <c r="Q28" s="18"/>
      <c r="R28" s="18"/>
      <c r="S28" s="18"/>
      <c r="T28" s="18"/>
      <c r="U28" s="18"/>
      <c r="V28" s="18"/>
      <c r="W28" s="18"/>
      <c r="X28" s="18"/>
      <c r="Y28" s="18"/>
      <c r="Z28" s="18"/>
    </row>
    <row r="29" customFormat="false" ht="13.8" hidden="false" customHeight="false" outlineLevel="0" collapsed="false">
      <c r="A29" s="44" t="s">
        <v>49</v>
      </c>
      <c r="B29" s="45"/>
      <c r="C29" s="46" t="n">
        <f aca="false">VLOOKUP(A29,'imp-questions'!A:H,5,FALSE())</f>
        <v>3</v>
      </c>
      <c r="D29" s="47" t="str">
        <f aca="false">VLOOKUP(A29,'imp-questions'!A:H,6,FALSE())</f>
        <v>Do you update the Application Security strategy and roadmap based on application security metrics and KPIs?</v>
      </c>
      <c r="E29" s="48" t="str">
        <f aca="false">CHAR(65+VLOOKUP(A29,'imp-questions'!A:H,8,FALSE()))</f>
        <v>N</v>
      </c>
      <c r="F29" s="62"/>
      <c r="G29" s="63" t="n">
        <f aca="false">IFERROR(VLOOKUP(F29,AnsNTBL,2,FALSE()),0)</f>
        <v>0</v>
      </c>
      <c r="H29" s="64"/>
      <c r="I29" s="52"/>
      <c r="J29" s="66"/>
      <c r="K29" s="18"/>
      <c r="L29" s="54"/>
      <c r="M29" s="54"/>
      <c r="N29" s="54"/>
      <c r="O29" s="54"/>
      <c r="P29" s="54"/>
      <c r="Q29" s="18"/>
      <c r="R29" s="18"/>
      <c r="S29" s="18"/>
      <c r="T29" s="18"/>
      <c r="U29" s="18"/>
      <c r="V29" s="18"/>
      <c r="W29" s="18"/>
      <c r="X29" s="18"/>
      <c r="Y29" s="18"/>
      <c r="Z29" s="18"/>
    </row>
    <row r="30" customFormat="false" ht="37.5" hidden="false" customHeight="true" outlineLevel="0" collapsed="false">
      <c r="B30" s="45"/>
      <c r="C30" s="67"/>
      <c r="D30" s="56" t="str">
        <f aca="false">VLOOKUP(A29,'imp-questions'!A:H,7,FALSE())</f>
        <v>You review KPIs at least yearly for their efficiency and effectiveness
KPIs and application security metrics trigger most of the changes to the application security strategy</v>
      </c>
      <c r="E30" s="57"/>
      <c r="F30" s="68"/>
      <c r="G30" s="59"/>
      <c r="H30" s="60"/>
      <c r="I30" s="52"/>
      <c r="J30" s="66"/>
      <c r="K30" s="18"/>
      <c r="L30" s="54"/>
      <c r="M30" s="54"/>
      <c r="N30" s="54"/>
      <c r="O30" s="54"/>
      <c r="P30" s="54"/>
      <c r="Q30" s="18"/>
      <c r="R30" s="18"/>
      <c r="S30" s="18"/>
      <c r="T30" s="18"/>
      <c r="U30" s="18"/>
      <c r="V30" s="18"/>
      <c r="W30" s="18"/>
      <c r="X30" s="18"/>
      <c r="Y30" s="18"/>
      <c r="Z30" s="18"/>
    </row>
    <row r="31" customFormat="false" ht="13.5" hidden="false" customHeight="true" outlineLevel="0" collapsed="false">
      <c r="B31" s="74" t="s">
        <v>50</v>
      </c>
      <c r="C31" s="74"/>
      <c r="D31" s="74"/>
      <c r="E31" s="75"/>
      <c r="F31" s="74" t="s">
        <v>41</v>
      </c>
      <c r="G31" s="74"/>
      <c r="H31" s="76"/>
      <c r="I31" s="43" t="s">
        <v>42</v>
      </c>
      <c r="J31" s="43" t="s">
        <v>43</v>
      </c>
      <c r="K31" s="18"/>
      <c r="L31" s="54"/>
      <c r="M31" s="54"/>
      <c r="N31" s="54"/>
      <c r="O31" s="54"/>
      <c r="P31" s="54"/>
      <c r="Q31" s="18"/>
      <c r="R31" s="18"/>
      <c r="S31" s="18"/>
      <c r="T31" s="18"/>
      <c r="U31" s="18"/>
      <c r="V31" s="18"/>
      <c r="W31" s="18"/>
      <c r="X31" s="18"/>
      <c r="Y31" s="18"/>
      <c r="Z31" s="18"/>
    </row>
    <row r="32" customFormat="false" ht="13.5" hidden="false" customHeight="false" outlineLevel="0" collapsed="false">
      <c r="A32" s="44" t="s">
        <v>51</v>
      </c>
      <c r="B32" s="45" t="str">
        <f aca="false">VLOOKUP(A32,'imp-questions'!A:H,4,FALSE())</f>
        <v>Policy &amp; Standards</v>
      </c>
      <c r="C32" s="46" t="n">
        <f aca="false">VLOOKUP(A32,'imp-questions'!A:H,5,FALSE())</f>
        <v>1</v>
      </c>
      <c r="D32" s="47" t="str">
        <f aca="false">VLOOKUP(A32,'imp-questions'!A:H,6,FALSE())</f>
        <v>Do you have and apply a common set of policies and standards throughout your organization?</v>
      </c>
      <c r="E32" s="48" t="str">
        <f aca="false">CHAR(65+VLOOKUP(A32,'imp-questions'!A:H,8,FALSE()))</f>
        <v>F</v>
      </c>
      <c r="F32" s="49"/>
      <c r="G32" s="63" t="n">
        <f aca="false">IFERROR(VLOOKUP(F32,AnsFTBL,2,FALSE()),0)</f>
        <v>0</v>
      </c>
      <c r="H32" s="51" t="n">
        <f aca="false">IFERROR(AVERAGE(G32,G39),0)</f>
        <v>0</v>
      </c>
      <c r="I32" s="52"/>
      <c r="J32" s="53" t="n">
        <f aca="false">SUM(H32,H34,H36)</f>
        <v>0</v>
      </c>
      <c r="K32" s="18"/>
      <c r="L32" s="54"/>
      <c r="M32" s="54"/>
      <c r="N32" s="54"/>
      <c r="O32" s="54"/>
      <c r="P32" s="54"/>
      <c r="Q32" s="18"/>
      <c r="R32" s="18"/>
      <c r="S32" s="18"/>
      <c r="T32" s="18"/>
      <c r="U32" s="18"/>
      <c r="V32" s="18"/>
      <c r="W32" s="18"/>
      <c r="X32" s="18"/>
      <c r="Y32" s="18"/>
      <c r="Z32" s="18"/>
    </row>
    <row r="33" customFormat="false" ht="36" hidden="false" customHeight="true" outlineLevel="0" collapsed="false">
      <c r="B33" s="45"/>
      <c r="C33" s="55"/>
      <c r="D33" s="72" t="str">
        <f aca="false">VLOOKUP(A32,'imp-questions'!A:H,7,FALSE())</f>
        <v>You have adapted existing standards appropriate for the organization’s industry to account for domain-specific considerations
Your standards are aligned with your policies and incorporate technology-specific implementation guidance</v>
      </c>
      <c r="E33" s="73"/>
      <c r="F33" s="68"/>
      <c r="G33" s="59"/>
      <c r="H33" s="60"/>
      <c r="I33" s="52"/>
      <c r="J33" s="53"/>
      <c r="K33" s="18"/>
      <c r="L33" s="54"/>
      <c r="M33" s="54"/>
      <c r="N33" s="54"/>
      <c r="O33" s="54"/>
      <c r="P33" s="54"/>
      <c r="Q33" s="18"/>
      <c r="R33" s="18"/>
      <c r="S33" s="18"/>
      <c r="T33" s="18"/>
      <c r="U33" s="18"/>
      <c r="V33" s="18"/>
      <c r="W33" s="18"/>
      <c r="X33" s="18"/>
      <c r="Y33" s="18"/>
      <c r="Z33" s="18"/>
    </row>
    <row r="34" customFormat="false" ht="13.8" hidden="false" customHeight="false" outlineLevel="0" collapsed="false">
      <c r="A34" s="44" t="s">
        <v>52</v>
      </c>
      <c r="B34" s="45"/>
      <c r="C34" s="46" t="n">
        <f aca="false">VLOOKUP(A34,'imp-questions'!A:H,5,FALSE())</f>
        <v>2</v>
      </c>
      <c r="D34" s="47" t="str">
        <f aca="false">VLOOKUP(A34,'imp-questions'!A:H,6,FALSE())</f>
        <v>Do you publish the organization's policies as test scripts or run-books for easy interpretation by development teams?</v>
      </c>
      <c r="E34" s="48" t="str">
        <f aca="false">CHAR(65+VLOOKUP(A34,'imp-questions'!A:H,8,FALSE()))</f>
        <v>A</v>
      </c>
      <c r="F34" s="49"/>
      <c r="G34" s="63" t="n">
        <f aca="false">IFERROR(VLOOKUP(F34,AnsATBL,2,FALSE()),0)</f>
        <v>0</v>
      </c>
      <c r="H34" s="64" t="n">
        <f aca="false">IFERROR(AVERAGE(G34,G41),0)</f>
        <v>0</v>
      </c>
      <c r="I34" s="65"/>
      <c r="J34" s="66"/>
      <c r="K34" s="18"/>
      <c r="L34" s="54"/>
      <c r="M34" s="54"/>
      <c r="N34" s="54"/>
      <c r="O34" s="54"/>
      <c r="P34" s="54"/>
      <c r="Q34" s="18"/>
      <c r="R34" s="18"/>
      <c r="S34" s="18"/>
      <c r="T34" s="18"/>
      <c r="U34" s="18"/>
      <c r="V34" s="18"/>
      <c r="W34" s="18"/>
      <c r="X34" s="18"/>
      <c r="Y34" s="18"/>
      <c r="Z34" s="18"/>
    </row>
    <row r="35" customFormat="false" ht="42.75" hidden="false" customHeight="true" outlineLevel="0" collapsed="false">
      <c r="B35" s="45"/>
      <c r="C35" s="55"/>
      <c r="D35" s="72" t="str">
        <f aca="false">VLOOKUP(A34,'imp-questions'!A:H,7,FALSE())</f>
        <v>You create verification checklists and test scripts where applicable, aligned with the policy's requirements and the implementation guidance in the associated standards
You create versions adapted to each development methodology and technology the organization uses</v>
      </c>
      <c r="E35" s="73"/>
      <c r="F35" s="68"/>
      <c r="G35" s="59"/>
      <c r="H35" s="60"/>
      <c r="I35" s="65"/>
      <c r="J35" s="66"/>
      <c r="K35" s="18"/>
      <c r="L35" s="54"/>
      <c r="M35" s="54"/>
      <c r="N35" s="54"/>
      <c r="O35" s="54"/>
      <c r="P35" s="54"/>
      <c r="Q35" s="18"/>
      <c r="R35" s="18"/>
      <c r="S35" s="18"/>
      <c r="T35" s="18"/>
      <c r="U35" s="18"/>
      <c r="V35" s="18"/>
      <c r="W35" s="18"/>
      <c r="X35" s="18"/>
      <c r="Y35" s="18"/>
      <c r="Z35" s="18"/>
    </row>
    <row r="36" customFormat="false" ht="23.85" hidden="false" customHeight="false" outlineLevel="0" collapsed="false">
      <c r="A36" s="44" t="s">
        <v>53</v>
      </c>
      <c r="B36" s="45"/>
      <c r="C36" s="46" t="n">
        <f aca="false">VLOOKUP(A36,'imp-questions'!A:H,5,FALSE())</f>
        <v>3</v>
      </c>
      <c r="D36" s="47" t="str">
        <f aca="false">VLOOKUP(A36,'imp-questions'!A:H,6,FALSE())</f>
        <v>Do you regularly report on policy and standard compliance, and use that information to guide compliance improvement efforts?</v>
      </c>
      <c r="E36" s="48" t="str">
        <f aca="false">CHAR(65+VLOOKUP(A36,'imp-questions'!A:H,8,FALSE()))</f>
        <v>E</v>
      </c>
      <c r="F36" s="49"/>
      <c r="G36" s="63" t="n">
        <f aca="false">IFERROR(VLOOKUP(F36,AnsETBL,2,FALSE()),0)</f>
        <v>0</v>
      </c>
      <c r="H36" s="64" t="n">
        <f aca="false">IFERROR(AVERAGE(G36,G43),0)</f>
        <v>0</v>
      </c>
      <c r="I36" s="65"/>
      <c r="J36" s="66"/>
      <c r="K36" s="18"/>
      <c r="L36" s="54"/>
      <c r="M36" s="54"/>
      <c r="N36" s="54"/>
      <c r="O36" s="54"/>
      <c r="P36" s="54"/>
      <c r="Q36" s="18"/>
      <c r="R36" s="18"/>
      <c r="S36" s="18"/>
      <c r="T36" s="18"/>
      <c r="U36" s="18"/>
      <c r="V36" s="18"/>
      <c r="W36" s="18"/>
      <c r="X36" s="18"/>
      <c r="Y36" s="18"/>
      <c r="Z36" s="18"/>
    </row>
    <row r="37" customFormat="false" ht="46.5" hidden="false" customHeight="true" outlineLevel="0" collapsed="false">
      <c r="B37" s="45"/>
      <c r="C37" s="55"/>
      <c r="D37" s="72" t="str">
        <f aca="false">VLOOKUP(A36,'imp-questions'!A:H,7,FALSE())</f>
        <v>You have procedures (automated, if possible) to regularly generate compliance reports
You deliver compliance reports to all relevant stakeholders
Stakeholders use the reported compliance status information to identify areas for improvement</v>
      </c>
      <c r="E37" s="73"/>
      <c r="F37" s="68"/>
      <c r="G37" s="59"/>
      <c r="H37" s="60"/>
      <c r="I37" s="65"/>
      <c r="J37" s="66"/>
      <c r="K37" s="18"/>
      <c r="L37" s="54"/>
      <c r="M37" s="54"/>
      <c r="N37" s="54"/>
      <c r="O37" s="54"/>
      <c r="P37" s="54"/>
      <c r="Q37" s="18"/>
      <c r="R37" s="18"/>
      <c r="S37" s="18"/>
      <c r="T37" s="18"/>
      <c r="U37" s="18"/>
      <c r="V37" s="18"/>
      <c r="W37" s="18"/>
      <c r="X37" s="18"/>
      <c r="Y37" s="18"/>
      <c r="Z37" s="18"/>
    </row>
    <row r="38" customFormat="false" ht="13.8" hidden="false" customHeight="false" outlineLevel="0" collapsed="false">
      <c r="B38" s="77"/>
      <c r="C38" s="78"/>
      <c r="D38" s="78"/>
      <c r="E38" s="78"/>
      <c r="F38" s="78"/>
      <c r="G38" s="78"/>
      <c r="H38" s="78"/>
      <c r="I38" s="79"/>
      <c r="J38" s="17"/>
      <c r="K38" s="18"/>
      <c r="L38" s="54"/>
      <c r="M38" s="54"/>
      <c r="N38" s="54"/>
      <c r="O38" s="54"/>
      <c r="P38" s="54"/>
      <c r="Q38" s="18"/>
      <c r="R38" s="18"/>
      <c r="S38" s="18"/>
      <c r="T38" s="18"/>
      <c r="U38" s="18"/>
      <c r="V38" s="18"/>
      <c r="W38" s="18"/>
      <c r="X38" s="18"/>
      <c r="Y38" s="18"/>
      <c r="Z38" s="18"/>
    </row>
    <row r="39" customFormat="false" ht="13.8" hidden="false" customHeight="false" outlineLevel="0" collapsed="false">
      <c r="A39" s="44" t="s">
        <v>54</v>
      </c>
      <c r="B39" s="45" t="str">
        <f aca="false">VLOOKUP(A39,'imp-questions'!A:H,4,FALSE())</f>
        <v>Compliance Management</v>
      </c>
      <c r="C39" s="46" t="n">
        <f aca="false">VLOOKUP(A39,'imp-questions'!A:H,5,FALSE())</f>
        <v>1</v>
      </c>
      <c r="D39" s="47" t="str">
        <f aca="false">VLOOKUP(A39,'imp-questions'!A:H,6,FALSE())</f>
        <v>Do you have a complete picture of your external compliance obligations?</v>
      </c>
      <c r="E39" s="48" t="str">
        <f aca="false">CHAR(65+VLOOKUP(A39,'imp-questions'!A:H,8,FALSE()))</f>
        <v>F</v>
      </c>
      <c r="F39" s="80"/>
      <c r="G39" s="63" t="n">
        <f aca="false">IFERROR(VLOOKUP(F39,AnsFTBL,2,FALSE()),0)</f>
        <v>0</v>
      </c>
      <c r="H39" s="81"/>
      <c r="I39" s="82"/>
      <c r="J39" s="66"/>
      <c r="K39" s="18"/>
      <c r="L39" s="54"/>
      <c r="M39" s="54"/>
      <c r="N39" s="54"/>
      <c r="O39" s="54"/>
      <c r="P39" s="54"/>
      <c r="Q39" s="18"/>
      <c r="R39" s="18"/>
      <c r="S39" s="18"/>
      <c r="T39" s="18"/>
      <c r="U39" s="18"/>
      <c r="V39" s="18"/>
      <c r="W39" s="18"/>
      <c r="X39" s="18"/>
      <c r="Y39" s="18"/>
      <c r="Z39" s="18"/>
    </row>
    <row r="40" customFormat="false" ht="36.75" hidden="false" customHeight="true" outlineLevel="0" collapsed="false">
      <c r="B40" s="45"/>
      <c r="C40" s="55"/>
      <c r="D40" s="72" t="str">
        <f aca="false">VLOOKUP(A39,'imp-questions'!A:H,7,FALSE())</f>
        <v>You have identified all sources of external compliance obligations
You have captured and reconciled compliance obligations from all sources</v>
      </c>
      <c r="E40" s="57"/>
      <c r="F40" s="83"/>
      <c r="G40" s="84"/>
      <c r="H40" s="85"/>
      <c r="I40" s="82"/>
      <c r="J40" s="66"/>
      <c r="K40" s="18"/>
      <c r="L40" s="54"/>
      <c r="M40" s="54"/>
      <c r="N40" s="54"/>
      <c r="O40" s="54"/>
      <c r="P40" s="54"/>
      <c r="Q40" s="18"/>
      <c r="R40" s="18"/>
      <c r="S40" s="18"/>
      <c r="T40" s="18"/>
      <c r="U40" s="18"/>
      <c r="V40" s="18"/>
      <c r="W40" s="18"/>
      <c r="X40" s="18"/>
      <c r="Y40" s="18"/>
      <c r="Z40" s="18"/>
    </row>
    <row r="41" customFormat="false" ht="23.85" hidden="false" customHeight="false" outlineLevel="0" collapsed="false">
      <c r="A41" s="44" t="s">
        <v>55</v>
      </c>
      <c r="B41" s="45"/>
      <c r="C41" s="46" t="n">
        <f aca="false">VLOOKUP(A41,'imp-questions'!A:H,5,FALSE())</f>
        <v>2</v>
      </c>
      <c r="D41" s="47" t="str">
        <f aca="false">VLOOKUP(A41,'imp-questions'!A:H,6,FALSE())</f>
        <v>Do you have a standard set of security requirements and verification procedures addressing the organization's external compliance obligations?</v>
      </c>
      <c r="E41" s="48" t="str">
        <f aca="false">CHAR(65+VLOOKUP(A41,'imp-questions'!A:H,8,FALSE()))</f>
        <v>D</v>
      </c>
      <c r="F41" s="80"/>
      <c r="G41" s="63" t="n">
        <f aca="false">IFERROR(VLOOKUP(F41,AnsDTBL,2,FALSE()),0)</f>
        <v>0</v>
      </c>
      <c r="H41" s="81"/>
      <c r="I41" s="86"/>
      <c r="J41" s="66"/>
      <c r="K41" s="18"/>
      <c r="L41" s="54"/>
      <c r="M41" s="54"/>
      <c r="N41" s="54"/>
      <c r="O41" s="54"/>
      <c r="P41" s="54"/>
      <c r="Q41" s="18"/>
      <c r="R41" s="18"/>
      <c r="S41" s="18"/>
      <c r="T41" s="18"/>
      <c r="U41" s="18"/>
      <c r="V41" s="18"/>
      <c r="W41" s="18"/>
      <c r="X41" s="18"/>
      <c r="Y41" s="18"/>
      <c r="Z41" s="18"/>
    </row>
    <row r="42" customFormat="false" ht="37.5" hidden="false" customHeight="true" outlineLevel="0" collapsed="false">
      <c r="B42" s="45"/>
      <c r="C42" s="55"/>
      <c r="D42" s="72" t="str">
        <f aca="false">VLOOKUP(A41,'imp-questions'!A:H,7,FALSE())</f>
        <v>You map each external compliance obligation to a well-defined set of application requirements
You define verification procedures, including automated tests, to verify compliance with compliance-related requirements</v>
      </c>
      <c r="E42" s="57"/>
      <c r="F42" s="83"/>
      <c r="G42" s="84"/>
      <c r="H42" s="85"/>
      <c r="I42" s="86"/>
      <c r="J42" s="66"/>
      <c r="K42" s="18"/>
      <c r="L42" s="54"/>
      <c r="M42" s="54"/>
      <c r="N42" s="54"/>
      <c r="O42" s="54"/>
      <c r="P42" s="54"/>
      <c r="Q42" s="18"/>
      <c r="R42" s="18"/>
      <c r="S42" s="18"/>
      <c r="T42" s="18"/>
      <c r="U42" s="18"/>
      <c r="V42" s="18"/>
      <c r="W42" s="18"/>
      <c r="X42" s="18"/>
      <c r="Y42" s="18"/>
      <c r="Z42" s="18"/>
    </row>
    <row r="43" customFormat="false" ht="23.85" hidden="false" customHeight="false" outlineLevel="0" collapsed="false">
      <c r="A43" s="44" t="s">
        <v>56</v>
      </c>
      <c r="B43" s="45"/>
      <c r="C43" s="46" t="n">
        <f aca="false">VLOOKUP(A43,'imp-questions'!A:H,5,FALSE())</f>
        <v>3</v>
      </c>
      <c r="D43" s="47" t="str">
        <f aca="false">VLOOKUP(A43,'imp-questions'!A:H,6,FALSE())</f>
        <v>Do you regularly report on adherence to external compliance obligations and use that information to guide efforts to close compliance gaps?</v>
      </c>
      <c r="E43" s="48" t="str">
        <f aca="false">CHAR(65+VLOOKUP(A43,'imp-questions'!A:H,8,FALSE()))</f>
        <v>E</v>
      </c>
      <c r="F43" s="80"/>
      <c r="G43" s="63" t="n">
        <f aca="false">IFERROR(VLOOKUP(F43,AnsETBL,2,FALSE()),0)</f>
        <v>0</v>
      </c>
      <c r="H43" s="81"/>
      <c r="I43" s="86"/>
      <c r="J43" s="66"/>
      <c r="K43" s="18"/>
      <c r="L43" s="54"/>
      <c r="M43" s="54"/>
      <c r="N43" s="54"/>
      <c r="O43" s="54"/>
      <c r="P43" s="54"/>
      <c r="Q43" s="18"/>
      <c r="R43" s="18"/>
      <c r="S43" s="18"/>
      <c r="T43" s="18"/>
      <c r="U43" s="18"/>
      <c r="V43" s="18"/>
      <c r="W43" s="18"/>
      <c r="X43" s="18"/>
      <c r="Y43" s="18"/>
      <c r="Z43" s="18"/>
    </row>
    <row r="44" customFormat="false" ht="45" hidden="false" customHeight="true" outlineLevel="0" collapsed="false">
      <c r="B44" s="45"/>
      <c r="C44" s="55"/>
      <c r="D44" s="56" t="str">
        <f aca="false">VLOOKUP(A43,'imp-questions'!A:H,7,FALSE())</f>
        <v>You have established, well-defined compliance metrics
You measure and report on applications' compliance metrics regularly
Stakeholders use the reported compliance status information to identify compliance gaps and prioritize gap remediation efforts</v>
      </c>
      <c r="E44" s="57"/>
      <c r="F44" s="83"/>
      <c r="G44" s="84"/>
      <c r="H44" s="85"/>
      <c r="I44" s="86"/>
      <c r="J44" s="66"/>
      <c r="K44" s="18"/>
      <c r="L44" s="54"/>
      <c r="M44" s="54"/>
      <c r="N44" s="54"/>
      <c r="O44" s="54"/>
      <c r="P44" s="54"/>
      <c r="Q44" s="18"/>
      <c r="R44" s="18"/>
      <c r="S44" s="18"/>
      <c r="T44" s="18"/>
      <c r="U44" s="18"/>
      <c r="V44" s="18"/>
      <c r="W44" s="18"/>
      <c r="X44" s="18"/>
      <c r="Y44" s="18"/>
      <c r="Z44" s="18"/>
    </row>
    <row r="45" customFormat="false" ht="13.5" hidden="false" customHeight="true" outlineLevel="0" collapsed="false">
      <c r="B45" s="74" t="s">
        <v>57</v>
      </c>
      <c r="C45" s="74"/>
      <c r="D45" s="74"/>
      <c r="E45" s="75"/>
      <c r="F45" s="74" t="s">
        <v>41</v>
      </c>
      <c r="G45" s="74"/>
      <c r="H45" s="76"/>
      <c r="I45" s="43" t="s">
        <v>42</v>
      </c>
      <c r="J45" s="43" t="s">
        <v>43</v>
      </c>
      <c r="K45" s="18"/>
      <c r="L45" s="54"/>
      <c r="M45" s="54"/>
      <c r="N45" s="54"/>
      <c r="O45" s="54"/>
      <c r="P45" s="54"/>
      <c r="Q45" s="18"/>
      <c r="R45" s="18"/>
      <c r="S45" s="18"/>
      <c r="T45" s="18"/>
      <c r="U45" s="18"/>
      <c r="V45" s="18"/>
      <c r="W45" s="18"/>
      <c r="X45" s="18"/>
      <c r="Y45" s="18"/>
      <c r="Z45" s="18"/>
    </row>
    <row r="46" customFormat="false" ht="13.5" hidden="false" customHeight="false" outlineLevel="0" collapsed="false">
      <c r="A46" s="12" t="s">
        <v>58</v>
      </c>
      <c r="B46" s="45" t="str">
        <f aca="false">VLOOKUP(A46,'imp-questions'!A:H,4,FALSE())</f>
        <v>Training and Awareness</v>
      </c>
      <c r="C46" s="46" t="n">
        <f aca="false">VLOOKUP(A46,'imp-questions'!A:H,5,FALSE())</f>
        <v>1</v>
      </c>
      <c r="D46" s="47" t="str">
        <f aca="false">VLOOKUP(A46,'imp-questions'!A:H,6,FALSE())</f>
        <v>Do you require employees involved with application development to take SDLC training?</v>
      </c>
      <c r="E46" s="48" t="str">
        <f aca="false">CHAR(65+VLOOKUP(A46,'imp-questions'!A:H,8,FALSE()))</f>
        <v>C</v>
      </c>
      <c r="F46" s="49"/>
      <c r="G46" s="63" t="n">
        <f aca="false">IFERROR(VLOOKUP(F46,AnsCTBL,2,FALSE()),0)</f>
        <v>0</v>
      </c>
      <c r="H46" s="51" t="n">
        <f aca="false">IFERROR(AVERAGE(G46,G53),0)</f>
        <v>0</v>
      </c>
      <c r="I46" s="87"/>
      <c r="J46" s="53" t="n">
        <f aca="false">SUM(H46,H48,H50)</f>
        <v>0</v>
      </c>
      <c r="K46" s="18"/>
      <c r="L46" s="54"/>
      <c r="M46" s="54"/>
      <c r="N46" s="54"/>
      <c r="O46" s="54"/>
      <c r="P46" s="54"/>
      <c r="Q46" s="18"/>
      <c r="R46" s="18"/>
      <c r="S46" s="18"/>
      <c r="T46" s="18"/>
      <c r="U46" s="18"/>
      <c r="V46" s="18"/>
      <c r="W46" s="18"/>
      <c r="X46" s="18"/>
      <c r="Y46" s="18"/>
      <c r="Z46" s="18"/>
    </row>
    <row r="47" customFormat="false" ht="84" hidden="false" customHeight="true" outlineLevel="0" collapsed="false">
      <c r="B47" s="45"/>
      <c r="C47" s="55"/>
      <c r="D47" s="72" t="str">
        <f aca="false">VLOOKUP(A46,'imp-questions'!A:H,7,FALSE())</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57"/>
      <c r="F47" s="68"/>
      <c r="G47" s="59"/>
      <c r="H47" s="60"/>
      <c r="I47" s="87"/>
      <c r="J47" s="53"/>
      <c r="K47" s="18"/>
      <c r="L47" s="54"/>
      <c r="M47" s="54"/>
      <c r="N47" s="54"/>
      <c r="O47" s="54"/>
      <c r="P47" s="54"/>
      <c r="Q47" s="18"/>
      <c r="R47" s="18"/>
      <c r="S47" s="18"/>
      <c r="T47" s="18"/>
      <c r="U47" s="18"/>
      <c r="V47" s="18"/>
      <c r="W47" s="18"/>
      <c r="X47" s="18"/>
      <c r="Y47" s="18"/>
      <c r="Z47" s="18"/>
    </row>
    <row r="48" customFormat="false" ht="13.8" hidden="false" customHeight="false" outlineLevel="0" collapsed="false">
      <c r="A48" s="12" t="s">
        <v>59</v>
      </c>
      <c r="B48" s="45"/>
      <c r="C48" s="46" t="n">
        <f aca="false">VLOOKUP(A48,'imp-questions'!A:H,5,FALSE())</f>
        <v>2</v>
      </c>
      <c r="D48" s="47" t="str">
        <f aca="false">VLOOKUP(A48,'imp-questions'!A:H,6,FALSE())</f>
        <v>Is training customized for individual roles such as developers, testers, or security champions?</v>
      </c>
      <c r="E48" s="61" t="str">
        <f aca="false">CHAR(65+VLOOKUP(A48,'imp-questions'!A:H,8,FALSE()))</f>
        <v>I</v>
      </c>
      <c r="F48" s="62"/>
      <c r="G48" s="63" t="n">
        <f aca="false">IFERROR(VLOOKUP(F48,AnsITBL,2,FALSE()),0)</f>
        <v>0</v>
      </c>
      <c r="H48" s="64" t="n">
        <f aca="false">IFERROR(AVERAGE(G48,G55),0)</f>
        <v>0</v>
      </c>
      <c r="I48" s="88"/>
      <c r="J48" s="17"/>
      <c r="K48" s="18"/>
      <c r="L48" s="54"/>
      <c r="M48" s="54"/>
      <c r="N48" s="54"/>
      <c r="O48" s="54"/>
      <c r="P48" s="54"/>
      <c r="Q48" s="18"/>
      <c r="R48" s="18"/>
      <c r="S48" s="18"/>
      <c r="T48" s="18"/>
      <c r="U48" s="18"/>
      <c r="V48" s="18"/>
      <c r="W48" s="18"/>
      <c r="X48" s="18"/>
      <c r="Y48" s="18"/>
      <c r="Z48" s="18"/>
    </row>
    <row r="49" customFormat="false" ht="72.75" hidden="false" customHeight="true" outlineLevel="0" collapsed="false">
      <c r="B49" s="45"/>
      <c r="C49" s="55"/>
      <c r="D49" s="72" t="str">
        <f aca="false">VLOOKUP(A48,'imp-questions'!A:H,7,FALSE())</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57"/>
      <c r="F49" s="68"/>
      <c r="G49" s="59"/>
      <c r="H49" s="60"/>
      <c r="I49" s="88"/>
      <c r="J49" s="17"/>
      <c r="K49" s="18"/>
      <c r="L49" s="54"/>
      <c r="M49" s="54"/>
      <c r="N49" s="54"/>
      <c r="O49" s="54"/>
      <c r="P49" s="54"/>
      <c r="Q49" s="18"/>
      <c r="R49" s="18"/>
      <c r="S49" s="18"/>
      <c r="T49" s="18"/>
      <c r="U49" s="18"/>
      <c r="V49" s="18"/>
      <c r="W49" s="18"/>
      <c r="X49" s="18"/>
      <c r="Y49" s="18"/>
      <c r="Z49" s="18"/>
    </row>
    <row r="50" customFormat="false" ht="13.8" hidden="false" customHeight="false" outlineLevel="0" collapsed="false">
      <c r="A50" s="12" t="s">
        <v>60</v>
      </c>
      <c r="B50" s="45"/>
      <c r="C50" s="46" t="n">
        <f aca="false">VLOOKUP(A50,'imp-questions'!A:H,5,FALSE())</f>
        <v>3</v>
      </c>
      <c r="D50" s="47" t="str">
        <f aca="false">VLOOKUP(A50,'imp-questions'!A:H,6,FALSE())</f>
        <v>Have you implemented a Learning Management System or equivalent to track employee training and certification processes?</v>
      </c>
      <c r="E50" s="61" t="str">
        <f aca="false">CHAR(65+VLOOKUP(A50,'imp-questions'!A:H,8,FALSE()))</f>
        <v>I</v>
      </c>
      <c r="F50" s="62"/>
      <c r="G50" s="63" t="n">
        <f aca="false">IFERROR(VLOOKUP(F50,AnsITBL,2,FALSE()),0)</f>
        <v>0</v>
      </c>
      <c r="H50" s="64" t="n">
        <f aca="false">IFERROR(AVERAGE(G50,G57),0)</f>
        <v>0</v>
      </c>
      <c r="I50" s="89"/>
      <c r="J50" s="17"/>
      <c r="K50" s="18"/>
      <c r="L50" s="54"/>
      <c r="M50" s="54"/>
      <c r="N50" s="54"/>
      <c r="O50" s="54"/>
      <c r="P50" s="54"/>
      <c r="Q50" s="18"/>
      <c r="R50" s="18"/>
      <c r="S50" s="18"/>
      <c r="T50" s="18"/>
      <c r="U50" s="18"/>
      <c r="V50" s="18"/>
      <c r="W50" s="18"/>
      <c r="X50" s="18"/>
      <c r="Y50" s="18"/>
      <c r="Z50" s="18"/>
    </row>
    <row r="51" customFormat="false" ht="46.5" hidden="false" customHeight="true" outlineLevel="0" collapsed="false">
      <c r="B51" s="45"/>
      <c r="C51" s="67"/>
      <c r="D51" s="56" t="str">
        <f aca="false">VLOOKUP(A50,'imp-questions'!A:H,7,FALSE())</f>
        <v>A Learning Management System (LMS) is used to track trainings and certifications
Training is based on internal standards, policies, and procedures
You use certification programs or attendance records to determine access to development systems and resources</v>
      </c>
      <c r="E51" s="57"/>
      <c r="F51" s="68"/>
      <c r="G51" s="59"/>
      <c r="H51" s="60"/>
      <c r="I51" s="89"/>
      <c r="J51" s="17"/>
      <c r="K51" s="18"/>
      <c r="L51" s="54"/>
      <c r="M51" s="54"/>
      <c r="N51" s="54"/>
      <c r="O51" s="54"/>
      <c r="P51" s="54"/>
      <c r="Q51" s="18"/>
      <c r="R51" s="18"/>
      <c r="S51" s="18"/>
      <c r="T51" s="18"/>
      <c r="U51" s="18"/>
      <c r="V51" s="18"/>
      <c r="W51" s="18"/>
      <c r="X51" s="18"/>
      <c r="Y51" s="18"/>
      <c r="Z51" s="18"/>
    </row>
    <row r="52" customFormat="false" ht="13.8" hidden="false" customHeight="false" outlineLevel="0" collapsed="false">
      <c r="B52" s="69"/>
      <c r="C52" s="70"/>
      <c r="D52" s="70"/>
      <c r="E52" s="70"/>
      <c r="F52" s="70"/>
      <c r="G52" s="70"/>
      <c r="H52" s="70"/>
      <c r="I52" s="71"/>
      <c r="J52" s="66"/>
      <c r="K52" s="18"/>
      <c r="L52" s="54"/>
      <c r="M52" s="54"/>
      <c r="N52" s="54"/>
      <c r="O52" s="54"/>
      <c r="P52" s="54"/>
      <c r="Q52" s="18"/>
      <c r="R52" s="18"/>
      <c r="S52" s="18"/>
      <c r="T52" s="18"/>
      <c r="U52" s="18"/>
      <c r="V52" s="18"/>
      <c r="W52" s="18"/>
      <c r="X52" s="18"/>
      <c r="Y52" s="18"/>
      <c r="Z52" s="18"/>
    </row>
    <row r="53" customFormat="false" ht="13.8" hidden="false" customHeight="false" outlineLevel="0" collapsed="false">
      <c r="A53" s="12" t="s">
        <v>61</v>
      </c>
      <c r="B53" s="45" t="str">
        <f aca="false">VLOOKUP(A53,'imp-questions'!A:H,4,FALSE())</f>
        <v>Organization and Culture</v>
      </c>
      <c r="C53" s="46" t="n">
        <f aca="false">VLOOKUP(A53,'imp-questions'!A:H,5,FALSE())</f>
        <v>1</v>
      </c>
      <c r="D53" s="47" t="str">
        <f aca="false">VLOOKUP(A53,'imp-questions'!A:H,6,FALSE())</f>
        <v>Have you identified a Security Champion for each development team?</v>
      </c>
      <c r="E53" s="48" t="str">
        <f aca="false">CHAR(65+VLOOKUP(A53,'imp-questions'!A:H,8,FALSE()))</f>
        <v>W</v>
      </c>
      <c r="F53" s="49"/>
      <c r="G53" s="63" t="n">
        <f aca="false">IFERROR(VLOOKUP(F53,AnsWTBL,2,FALSE()),0)</f>
        <v>0</v>
      </c>
      <c r="H53" s="64"/>
      <c r="I53" s="52"/>
      <c r="J53" s="66"/>
      <c r="K53" s="18"/>
      <c r="L53" s="54"/>
      <c r="M53" s="54"/>
      <c r="N53" s="54"/>
      <c r="O53" s="54"/>
      <c r="P53" s="54"/>
      <c r="Q53" s="18"/>
      <c r="R53" s="18"/>
      <c r="S53" s="18"/>
      <c r="T53" s="18"/>
      <c r="U53" s="18"/>
      <c r="V53" s="18"/>
      <c r="W53" s="18"/>
      <c r="X53" s="18"/>
      <c r="Y53" s="18"/>
      <c r="Z53" s="18"/>
    </row>
    <row r="54" customFormat="false" ht="69.75" hidden="false" customHeight="true" outlineLevel="0" collapsed="false">
      <c r="B54" s="45"/>
      <c r="C54" s="55"/>
      <c r="D54" s="72" t="str">
        <f aca="false">VLOOKUP(A53,'imp-questions'!A:H,7,FALSE())</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73"/>
      <c r="F54" s="68"/>
      <c r="G54" s="59"/>
      <c r="H54" s="60"/>
      <c r="I54" s="52"/>
      <c r="J54" s="66"/>
      <c r="K54" s="18"/>
      <c r="L54" s="54"/>
      <c r="M54" s="54"/>
      <c r="N54" s="54"/>
      <c r="O54" s="54"/>
      <c r="P54" s="54"/>
      <c r="Q54" s="18"/>
      <c r="R54" s="18"/>
      <c r="S54" s="18"/>
      <c r="T54" s="18"/>
      <c r="U54" s="18"/>
      <c r="V54" s="18"/>
      <c r="W54" s="18"/>
      <c r="X54" s="18"/>
      <c r="Y54" s="18"/>
      <c r="Z54" s="18"/>
    </row>
    <row r="55" customFormat="false" ht="13.8" hidden="false" customHeight="false" outlineLevel="0" collapsed="false">
      <c r="A55" s="12" t="s">
        <v>62</v>
      </c>
      <c r="B55" s="45"/>
      <c r="C55" s="46" t="n">
        <f aca="false">VLOOKUP(A55,'imp-questions'!A:H,5,FALSE())</f>
        <v>2</v>
      </c>
      <c r="D55" s="47" t="str">
        <f aca="false">VLOOKUP(A55,'imp-questions'!A:H,6,FALSE())</f>
        <v>Does the organization have a Secure Software Center of Excellence (SSCE)?</v>
      </c>
      <c r="E55" s="48" t="str">
        <f aca="false">CHAR(65+VLOOKUP(A55,'imp-questions'!A:H,8,FALSE()))</f>
        <v>L</v>
      </c>
      <c r="F55" s="62"/>
      <c r="G55" s="63" t="n">
        <f aca="false">IFERROR(VLOOKUP(F55,AnsLTBL,2,FALSE()),0)</f>
        <v>0</v>
      </c>
      <c r="H55" s="64"/>
      <c r="I55" s="65"/>
      <c r="J55" s="66"/>
      <c r="K55" s="18"/>
      <c r="L55" s="54"/>
      <c r="M55" s="54"/>
      <c r="N55" s="54"/>
      <c r="O55" s="54"/>
      <c r="P55" s="54"/>
      <c r="Q55" s="18"/>
      <c r="R55" s="18"/>
      <c r="S55" s="18"/>
      <c r="T55" s="18"/>
      <c r="U55" s="18"/>
      <c r="V55" s="18"/>
      <c r="W55" s="18"/>
      <c r="X55" s="18"/>
      <c r="Y55" s="18"/>
      <c r="Z55" s="18"/>
    </row>
    <row r="56" customFormat="false" ht="60" hidden="false" customHeight="true" outlineLevel="0" collapsed="false">
      <c r="B56" s="45"/>
      <c r="C56" s="55"/>
      <c r="D56" s="72" t="str">
        <f aca="false">VLOOKUP(A55,'imp-questions'!A:H,7,FALSE())</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57"/>
      <c r="F56" s="68"/>
      <c r="G56" s="59"/>
      <c r="H56" s="60"/>
      <c r="I56" s="65"/>
      <c r="J56" s="66"/>
      <c r="K56" s="18"/>
      <c r="L56" s="54"/>
      <c r="M56" s="54"/>
      <c r="N56" s="54"/>
      <c r="O56" s="54"/>
      <c r="P56" s="54"/>
      <c r="Q56" s="18"/>
      <c r="R56" s="18"/>
      <c r="S56" s="18"/>
      <c r="T56" s="18"/>
      <c r="U56" s="18"/>
      <c r="V56" s="18"/>
      <c r="W56" s="18"/>
      <c r="X56" s="18"/>
      <c r="Y56" s="18"/>
      <c r="Z56" s="18"/>
    </row>
    <row r="57" customFormat="false" ht="23.85" hidden="false" customHeight="false" outlineLevel="0" collapsed="false">
      <c r="A57" s="12" t="s">
        <v>63</v>
      </c>
      <c r="B57" s="45"/>
      <c r="C57" s="46" t="n">
        <f aca="false">VLOOKUP(A57,'imp-questions'!A:H,5,FALSE())</f>
        <v>3</v>
      </c>
      <c r="D57" s="47" t="str">
        <f aca="false">VLOOKUP(A57,'imp-questions'!A:H,6,FALSE())</f>
        <v>Is there a centralized portal where developers and application security professionals from different teams and business units are able to communicate and share information?</v>
      </c>
      <c r="E57" s="48" t="str">
        <f aca="false">CHAR(65+VLOOKUP(A57,'imp-questions'!A:H,8,FALSE()))</f>
        <v>L</v>
      </c>
      <c r="F57" s="62"/>
      <c r="G57" s="63" t="n">
        <f aca="false">IFERROR(VLOOKUP(F57,AnsLTBL,2,FALSE()),0)</f>
        <v>0</v>
      </c>
      <c r="H57" s="64"/>
      <c r="I57" s="65"/>
      <c r="J57" s="66"/>
      <c r="K57" s="18"/>
      <c r="L57" s="54"/>
      <c r="M57" s="54"/>
      <c r="N57" s="54"/>
      <c r="O57" s="54"/>
      <c r="P57" s="54"/>
      <c r="Q57" s="18"/>
      <c r="R57" s="18"/>
      <c r="S57" s="18"/>
      <c r="T57" s="18"/>
      <c r="U57" s="18"/>
      <c r="V57" s="18"/>
      <c r="W57" s="18"/>
      <c r="X57" s="18"/>
      <c r="Y57" s="18"/>
      <c r="Z57" s="18"/>
    </row>
    <row r="58" customFormat="false" ht="105.75" hidden="false" customHeight="true" outlineLevel="0" collapsed="false">
      <c r="B58" s="45"/>
      <c r="C58" s="67"/>
      <c r="D58" s="56" t="str">
        <f aca="false">VLOOKUP(A57,'imp-questions'!A:H,7,FALSE())</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57"/>
      <c r="F58" s="68"/>
      <c r="G58" s="59"/>
      <c r="H58" s="60"/>
      <c r="I58" s="65"/>
      <c r="J58" s="66"/>
      <c r="K58" s="18"/>
      <c r="L58" s="54"/>
      <c r="M58" s="54"/>
      <c r="N58" s="54"/>
      <c r="O58" s="54"/>
      <c r="P58" s="54"/>
      <c r="Q58" s="18"/>
      <c r="R58" s="18"/>
      <c r="S58" s="18"/>
      <c r="T58" s="18"/>
      <c r="U58" s="18"/>
      <c r="V58" s="18"/>
      <c r="W58" s="18"/>
      <c r="X58" s="18"/>
      <c r="Y58" s="18"/>
      <c r="Z58" s="18"/>
    </row>
    <row r="59" customFormat="false" ht="13.5" hidden="false" customHeight="true" outlineLevel="0" collapsed="false">
      <c r="B59" s="90" t="s">
        <v>64</v>
      </c>
      <c r="C59" s="90"/>
      <c r="D59" s="90"/>
      <c r="E59" s="90"/>
      <c r="F59" s="90"/>
      <c r="G59" s="90"/>
      <c r="H59" s="90"/>
      <c r="I59" s="90"/>
      <c r="J59" s="90"/>
      <c r="K59" s="18"/>
      <c r="L59" s="54"/>
      <c r="M59" s="54"/>
      <c r="N59" s="54"/>
      <c r="O59" s="54"/>
      <c r="P59" s="54"/>
      <c r="Q59" s="18"/>
      <c r="R59" s="18"/>
      <c r="S59" s="18"/>
      <c r="T59" s="18"/>
      <c r="U59" s="18"/>
      <c r="V59" s="18"/>
      <c r="W59" s="18"/>
      <c r="X59" s="18"/>
      <c r="Y59" s="18"/>
      <c r="Z59" s="18"/>
    </row>
    <row r="60" customFormat="false" ht="13.5" hidden="false" customHeight="true" outlineLevel="0" collapsed="false">
      <c r="B60" s="91" t="s">
        <v>65</v>
      </c>
      <c r="C60" s="91"/>
      <c r="D60" s="91"/>
      <c r="E60" s="92"/>
      <c r="F60" s="91" t="s">
        <v>41</v>
      </c>
      <c r="G60" s="91"/>
      <c r="H60" s="93"/>
      <c r="I60" s="94" t="s">
        <v>42</v>
      </c>
      <c r="J60" s="94" t="s">
        <v>43</v>
      </c>
      <c r="K60" s="18"/>
      <c r="L60" s="54"/>
      <c r="M60" s="54"/>
      <c r="N60" s="54"/>
      <c r="O60" s="54"/>
      <c r="P60" s="54"/>
      <c r="Q60" s="18"/>
      <c r="R60" s="18"/>
      <c r="S60" s="18"/>
      <c r="T60" s="18"/>
      <c r="U60" s="18"/>
      <c r="V60" s="18"/>
      <c r="W60" s="18"/>
      <c r="X60" s="18"/>
      <c r="Y60" s="18"/>
      <c r="Z60" s="18"/>
    </row>
    <row r="61" customFormat="false" ht="13.5" hidden="false" customHeight="false" outlineLevel="0" collapsed="false">
      <c r="A61" s="12" t="s">
        <v>66</v>
      </c>
      <c r="B61" s="95" t="str">
        <f aca="false">VLOOKUP(A61,'imp-questions'!A:H,4,FALSE())</f>
        <v>Application Risk Profile</v>
      </c>
      <c r="C61" s="96" t="n">
        <f aca="false">VLOOKUP(A61,'imp-questions'!A:H,5,FALSE())</f>
        <v>1</v>
      </c>
      <c r="D61" s="47" t="str">
        <f aca="false">VLOOKUP(A61,'imp-questions'!A:H,6,FALSE())</f>
        <v>Do you classify applications according to business risk based on a simple and predefined set of questions?</v>
      </c>
      <c r="E61" s="48" t="str">
        <f aca="false">CHAR(65+VLOOKUP(A61,'imp-questions'!A:H,8,FALSE()))</f>
        <v>C</v>
      </c>
      <c r="F61" s="97"/>
      <c r="G61" s="63" t="n">
        <f aca="false">IFERROR(VLOOKUP(F61,AnsCTBL,2,FALSE()),0)</f>
        <v>0</v>
      </c>
      <c r="H61" s="51" t="n">
        <f aca="false">IFERROR(AVERAGE(G61,G68),0)</f>
        <v>0</v>
      </c>
      <c r="I61" s="87"/>
      <c r="J61" s="98" t="n">
        <f aca="false">SUM(H61,H63,H65)</f>
        <v>0</v>
      </c>
      <c r="K61" s="18"/>
      <c r="L61" s="54"/>
      <c r="M61" s="54"/>
      <c r="N61" s="54"/>
      <c r="O61" s="54"/>
      <c r="P61" s="54"/>
      <c r="Q61" s="18"/>
      <c r="R61" s="18"/>
      <c r="S61" s="18"/>
      <c r="T61" s="18"/>
      <c r="U61" s="18"/>
      <c r="V61" s="18"/>
      <c r="W61" s="18"/>
      <c r="X61" s="18"/>
      <c r="Y61" s="18"/>
      <c r="Z61" s="18"/>
    </row>
    <row r="62" customFormat="false" ht="46.55" hidden="false" customHeight="false" outlineLevel="0" collapsed="false">
      <c r="B62" s="95"/>
      <c r="C62" s="55"/>
      <c r="D62" s="72" t="str">
        <f aca="false">VLOOKUP(A61,'imp-questions'!A:H,7,FALSE())</f>
        <v>An agreed-upon risk classification exists
The application team understands the risk classification
The risk classification covers critical aspects of business risks the organization is facing
The organization has an inventory for the applications in scope</v>
      </c>
      <c r="E62" s="57"/>
      <c r="F62" s="99"/>
      <c r="G62" s="59"/>
      <c r="H62" s="60"/>
      <c r="I62" s="87"/>
      <c r="J62" s="98"/>
      <c r="K62" s="18"/>
      <c r="L62" s="54"/>
      <c r="M62" s="54"/>
      <c r="N62" s="54"/>
      <c r="O62" s="54"/>
      <c r="P62" s="54"/>
      <c r="Q62" s="18"/>
      <c r="R62" s="18"/>
      <c r="S62" s="18"/>
      <c r="T62" s="18"/>
      <c r="U62" s="18"/>
      <c r="V62" s="18"/>
      <c r="W62" s="18"/>
      <c r="X62" s="18"/>
      <c r="Y62" s="18"/>
      <c r="Z62" s="18"/>
    </row>
    <row r="63" customFormat="false" ht="13.8" hidden="false" customHeight="false" outlineLevel="0" collapsed="false">
      <c r="A63" s="12" t="s">
        <v>67</v>
      </c>
      <c r="B63" s="95"/>
      <c r="C63" s="96" t="n">
        <f aca="false">VLOOKUP(A63,'imp-questions'!A:H,5,FALSE())</f>
        <v>2</v>
      </c>
      <c r="D63" s="47" t="str">
        <f aca="false">VLOOKUP(A63,'imp-questions'!A:H,6,FALSE())</f>
        <v>Do you use centralized and quantified application risk profiles to evaluate business risk?</v>
      </c>
      <c r="E63" s="48" t="str">
        <f aca="false">CHAR(65+VLOOKUP(A63,'imp-questions'!A:H,8,FALSE()))</f>
        <v>F</v>
      </c>
      <c r="F63" s="97"/>
      <c r="G63" s="63" t="n">
        <f aca="false">IFERROR(VLOOKUP(F63,AnsFTBL,2,FALSE()),0)</f>
        <v>0</v>
      </c>
      <c r="H63" s="51" t="n">
        <f aca="false">IFERROR(AVERAGE(G63,G70),0)</f>
        <v>0</v>
      </c>
      <c r="I63" s="88"/>
      <c r="J63" s="17"/>
      <c r="K63" s="18"/>
      <c r="L63" s="54"/>
      <c r="M63" s="54"/>
      <c r="N63" s="54"/>
      <c r="O63" s="54"/>
      <c r="P63" s="54"/>
      <c r="Q63" s="18"/>
      <c r="R63" s="18"/>
      <c r="S63" s="18"/>
      <c r="T63" s="18"/>
      <c r="U63" s="18"/>
      <c r="V63" s="18"/>
      <c r="W63" s="18"/>
      <c r="X63" s="18"/>
      <c r="Y63" s="18"/>
      <c r="Z63" s="18"/>
    </row>
    <row r="64" customFormat="false" ht="46.55" hidden="false" customHeight="false" outlineLevel="0" collapsed="false">
      <c r="B64" s="95"/>
      <c r="C64" s="55"/>
      <c r="D64" s="72" t="str">
        <f aca="false">VLOOKUP(A63,'imp-questions'!A:H,7,FALSE())</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57"/>
      <c r="F64" s="83"/>
      <c r="G64" s="84"/>
      <c r="H64" s="60"/>
      <c r="I64" s="88"/>
      <c r="J64" s="17"/>
      <c r="K64" s="18"/>
      <c r="L64" s="54"/>
      <c r="M64" s="54"/>
      <c r="N64" s="54"/>
      <c r="O64" s="54"/>
      <c r="P64" s="54"/>
      <c r="Q64" s="18"/>
      <c r="R64" s="18"/>
      <c r="S64" s="18"/>
      <c r="T64" s="18"/>
      <c r="U64" s="18"/>
      <c r="V64" s="18"/>
      <c r="W64" s="18"/>
      <c r="X64" s="18"/>
      <c r="Y64" s="18"/>
      <c r="Z64" s="18"/>
    </row>
    <row r="65" customFormat="false" ht="13.8" hidden="false" customHeight="false" outlineLevel="0" collapsed="false">
      <c r="A65" s="12" t="s">
        <v>68</v>
      </c>
      <c r="B65" s="95"/>
      <c r="C65" s="96" t="n">
        <f aca="false">VLOOKUP(A65,'imp-questions'!A:H,5,FALSE())</f>
        <v>3</v>
      </c>
      <c r="D65" s="47" t="str">
        <f aca="false">VLOOKUP(A65,'imp-questions'!A:H,6,FALSE())</f>
        <v>Do you regularly review and update the risk profiles for your applications?</v>
      </c>
      <c r="E65" s="48" t="str">
        <f aca="false">CHAR(65+VLOOKUP(A65,'imp-questions'!A:H,8,FALSE()))</f>
        <v>G</v>
      </c>
      <c r="F65" s="97"/>
      <c r="G65" s="100" t="n">
        <f aca="false">IFERROR(VLOOKUP(F65,AnsGTBL,2,FALSE()),0)</f>
        <v>0</v>
      </c>
      <c r="H65" s="51" t="n">
        <f aca="false">IFERROR(AVERAGE(G65,G72),0)</f>
        <v>0</v>
      </c>
      <c r="I65" s="89"/>
      <c r="J65" s="17"/>
      <c r="K65" s="18"/>
      <c r="L65" s="54"/>
      <c r="M65" s="54"/>
      <c r="N65" s="54"/>
      <c r="O65" s="54"/>
      <c r="P65" s="54"/>
      <c r="Q65" s="18"/>
      <c r="R65" s="18"/>
      <c r="S65" s="18"/>
      <c r="T65" s="18"/>
      <c r="U65" s="18"/>
      <c r="V65" s="18"/>
      <c r="W65" s="18"/>
      <c r="X65" s="18"/>
      <c r="Y65" s="18"/>
      <c r="Z65" s="18"/>
    </row>
    <row r="66" customFormat="false" ht="23.85" hidden="false" customHeight="false" outlineLevel="0" collapsed="false">
      <c r="B66" s="95"/>
      <c r="C66" s="67"/>
      <c r="D66" s="56" t="str">
        <f aca="false">VLOOKUP(A65,'imp-questions'!A:H,7,FALSE())</f>
        <v>The organizational risk standard considers historical feedback to improve the evaluation method
Significant changes in the application or business context trigger a review of the relevant risk profiles</v>
      </c>
      <c r="E66" s="57"/>
      <c r="F66" s="83"/>
      <c r="G66" s="84"/>
      <c r="H66" s="60"/>
      <c r="I66" s="89"/>
      <c r="J66" s="17"/>
      <c r="K66" s="18"/>
      <c r="L66" s="54"/>
      <c r="M66" s="54"/>
      <c r="N66" s="54"/>
      <c r="O66" s="54"/>
      <c r="P66" s="54"/>
      <c r="Q66" s="18"/>
      <c r="R66" s="18"/>
      <c r="S66" s="18"/>
      <c r="T66" s="18"/>
      <c r="U66" s="18"/>
      <c r="V66" s="18"/>
      <c r="W66" s="18"/>
      <c r="X66" s="18"/>
      <c r="Y66" s="18"/>
      <c r="Z66" s="18"/>
    </row>
    <row r="67" customFormat="false" ht="13.8" hidden="false" customHeight="false" outlineLevel="0" collapsed="false">
      <c r="B67" s="69"/>
      <c r="C67" s="70"/>
      <c r="D67" s="70"/>
      <c r="E67" s="70"/>
      <c r="F67" s="70"/>
      <c r="G67" s="70"/>
      <c r="H67" s="70"/>
      <c r="I67" s="71"/>
      <c r="J67" s="66"/>
      <c r="K67" s="18"/>
      <c r="L67" s="54"/>
      <c r="M67" s="54"/>
      <c r="N67" s="54"/>
      <c r="O67" s="54"/>
      <c r="P67" s="54"/>
      <c r="Q67" s="18"/>
      <c r="R67" s="18"/>
      <c r="S67" s="18"/>
      <c r="T67" s="18"/>
      <c r="U67" s="18"/>
      <c r="V67" s="18"/>
      <c r="W67" s="18"/>
      <c r="X67" s="18"/>
      <c r="Y67" s="18"/>
      <c r="Z67" s="18"/>
    </row>
    <row r="68" customFormat="false" ht="13.8" hidden="false" customHeight="false" outlineLevel="0" collapsed="false">
      <c r="A68" s="12" t="s">
        <v>69</v>
      </c>
      <c r="B68" s="95" t="str">
        <f aca="false">VLOOKUP(A68,'imp-questions'!A:H,4,FALSE())</f>
        <v>Threat Modeling</v>
      </c>
      <c r="C68" s="96" t="n">
        <f aca="false">VLOOKUP(A68,'imp-questions'!A:H,5,FALSE())</f>
        <v>1</v>
      </c>
      <c r="D68" s="47" t="str">
        <f aca="false">VLOOKUP(A68,'imp-questions'!A:H,6,FALSE())</f>
        <v>Do you identify and manage architectural design flaws with threat modeling?</v>
      </c>
      <c r="E68" s="48" t="str">
        <f aca="false">CHAR(65+VLOOKUP(A68,'imp-questions'!A:H,8,FALSE()))</f>
        <v>C</v>
      </c>
      <c r="F68" s="97"/>
      <c r="G68" s="63" t="n">
        <f aca="false">IFERROR(VLOOKUP(F68,AnsCTBL,2,FALSE()),0)</f>
        <v>0</v>
      </c>
      <c r="H68" s="64"/>
      <c r="I68" s="87"/>
      <c r="J68" s="66"/>
      <c r="K68" s="18"/>
      <c r="L68" s="54"/>
      <c r="M68" s="54"/>
      <c r="N68" s="54"/>
      <c r="O68" s="54"/>
      <c r="P68" s="54"/>
      <c r="Q68" s="18"/>
      <c r="R68" s="18"/>
      <c r="S68" s="18"/>
      <c r="T68" s="18"/>
      <c r="U68" s="18"/>
      <c r="V68" s="18"/>
      <c r="W68" s="18"/>
      <c r="X68" s="18"/>
      <c r="Y68" s="18"/>
      <c r="Z68" s="18"/>
    </row>
    <row r="69" customFormat="false" ht="35.2" hidden="false" customHeight="false" outlineLevel="0" collapsed="false">
      <c r="B69" s="95"/>
      <c r="C69" s="55"/>
      <c r="D69" s="72" t="str">
        <f aca="false">VLOOKUP(A68,'imp-questions'!A:H,7,FALSE())</f>
        <v>You perform threat modeling for high-risk applications
You use simple threat checklists, such as STRIDE
You persist the outcome of a threat model for later use</v>
      </c>
      <c r="E69" s="57"/>
      <c r="F69" s="83"/>
      <c r="G69" s="84"/>
      <c r="H69" s="85"/>
      <c r="I69" s="87"/>
      <c r="J69" s="66"/>
      <c r="K69" s="18"/>
      <c r="L69" s="54"/>
      <c r="M69" s="54"/>
      <c r="N69" s="54"/>
      <c r="O69" s="54"/>
      <c r="P69" s="54"/>
      <c r="Q69" s="18"/>
      <c r="R69" s="18"/>
      <c r="S69" s="18"/>
      <c r="T69" s="18"/>
      <c r="U69" s="18"/>
      <c r="V69" s="18"/>
      <c r="W69" s="18"/>
      <c r="X69" s="18"/>
      <c r="Y69" s="18"/>
      <c r="Z69" s="18"/>
    </row>
    <row r="70" customFormat="false" ht="13.8" hidden="false" customHeight="false" outlineLevel="0" collapsed="false">
      <c r="A70" s="12" t="s">
        <v>70</v>
      </c>
      <c r="B70" s="95"/>
      <c r="C70" s="96" t="n">
        <f aca="false">VLOOKUP(A70,'imp-questions'!A:H,5,FALSE())</f>
        <v>2</v>
      </c>
      <c r="D70" s="47" t="str">
        <f aca="false">VLOOKUP(A70,'imp-questions'!A:H,6,FALSE())</f>
        <v>Do you use a standard methodology, aligned on your application risk levels?</v>
      </c>
      <c r="E70" s="48" t="str">
        <f aca="false">CHAR(65+VLOOKUP(A70,'imp-questions'!A:H,8,FALSE()))</f>
        <v>F</v>
      </c>
      <c r="F70" s="97"/>
      <c r="G70" s="63" t="n">
        <f aca="false">IFERROR(VLOOKUP(F70,AnsFTBL,2,FALSE()),0)</f>
        <v>0</v>
      </c>
      <c r="H70" s="64"/>
      <c r="I70" s="87"/>
      <c r="J70" s="66"/>
      <c r="K70" s="18"/>
      <c r="L70" s="54"/>
      <c r="M70" s="54"/>
      <c r="N70" s="54"/>
      <c r="O70" s="54"/>
      <c r="P70" s="54"/>
      <c r="Q70" s="18"/>
      <c r="R70" s="18"/>
      <c r="S70" s="18"/>
      <c r="T70" s="18"/>
      <c r="U70" s="18"/>
      <c r="V70" s="18"/>
      <c r="W70" s="18"/>
      <c r="X70" s="18"/>
      <c r="Y70" s="18"/>
      <c r="Z70" s="18"/>
    </row>
    <row r="71" customFormat="false" ht="57.95" hidden="false" customHeight="false" outlineLevel="0" collapsed="false">
      <c r="B71" s="95"/>
      <c r="C71" s="55"/>
      <c r="D71" s="72" t="str">
        <f aca="false">VLOOKUP(A70,'imp-questions'!A:H,7,FALSE())</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57"/>
      <c r="F71" s="83"/>
      <c r="G71" s="84"/>
      <c r="H71" s="85"/>
      <c r="I71" s="87"/>
      <c r="J71" s="66"/>
      <c r="K71" s="18"/>
      <c r="L71" s="54"/>
      <c r="M71" s="54"/>
      <c r="N71" s="54"/>
      <c r="O71" s="54"/>
      <c r="P71" s="54"/>
      <c r="Q71" s="18"/>
      <c r="R71" s="18"/>
      <c r="S71" s="18"/>
      <c r="T71" s="18"/>
      <c r="U71" s="18"/>
      <c r="V71" s="18"/>
      <c r="W71" s="18"/>
      <c r="X71" s="18"/>
      <c r="Y71" s="18"/>
      <c r="Z71" s="18"/>
    </row>
    <row r="72" customFormat="false" ht="13.8" hidden="false" customHeight="false" outlineLevel="0" collapsed="false">
      <c r="A72" s="12" t="s">
        <v>71</v>
      </c>
      <c r="B72" s="95"/>
      <c r="C72" s="96" t="n">
        <f aca="false">VLOOKUP(A72,'imp-questions'!A:H,5,FALSE())</f>
        <v>3</v>
      </c>
      <c r="D72" s="47" t="str">
        <f aca="false">VLOOKUP(A72,'imp-questions'!A:H,6,FALSE())</f>
        <v>Do you regularly review and update the threat modeling methodology for your applications?</v>
      </c>
      <c r="E72" s="48" t="str">
        <f aca="false">CHAR(65+VLOOKUP(A72,'imp-questions'!A:H,8,FALSE()))</f>
        <v>N</v>
      </c>
      <c r="F72" s="80"/>
      <c r="G72" s="63" t="n">
        <f aca="false">IFERROR(VLOOKUP(F72,AnsNTBL,2,FALSE()),0)</f>
        <v>0</v>
      </c>
      <c r="H72" s="64"/>
      <c r="I72" s="87"/>
      <c r="J72" s="66"/>
      <c r="K72" s="18"/>
      <c r="L72" s="54"/>
      <c r="M72" s="54"/>
      <c r="N72" s="54"/>
      <c r="O72" s="54"/>
      <c r="P72" s="54"/>
      <c r="Q72" s="18"/>
      <c r="R72" s="18"/>
      <c r="S72" s="18"/>
      <c r="T72" s="18"/>
      <c r="U72" s="18"/>
      <c r="V72" s="18"/>
      <c r="W72" s="18"/>
      <c r="X72" s="18"/>
      <c r="Y72" s="18"/>
      <c r="Z72" s="18"/>
    </row>
    <row r="73" customFormat="false" ht="35.2" hidden="false" customHeight="false" outlineLevel="0" collapsed="false">
      <c r="B73" s="95"/>
      <c r="C73" s="67"/>
      <c r="D73" s="56" t="str">
        <f aca="false">VLOOKUP(A72,'imp-questions'!A:H,7,FALSE())</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57"/>
      <c r="F73" s="83"/>
      <c r="G73" s="84"/>
      <c r="H73" s="85"/>
      <c r="I73" s="87"/>
      <c r="J73" s="66"/>
      <c r="K73" s="18"/>
      <c r="L73" s="54"/>
      <c r="M73" s="54"/>
      <c r="N73" s="54"/>
      <c r="O73" s="54"/>
      <c r="P73" s="54"/>
      <c r="Q73" s="18"/>
      <c r="R73" s="18"/>
      <c r="S73" s="18"/>
      <c r="T73" s="18"/>
      <c r="U73" s="18"/>
      <c r="V73" s="18"/>
      <c r="W73" s="18"/>
      <c r="X73" s="18"/>
      <c r="Y73" s="18"/>
      <c r="Z73" s="18"/>
    </row>
    <row r="74" customFormat="false" ht="13.5" hidden="false" customHeight="true" outlineLevel="0" collapsed="false">
      <c r="B74" s="101" t="s">
        <v>72</v>
      </c>
      <c r="C74" s="101"/>
      <c r="D74" s="101"/>
      <c r="E74" s="102"/>
      <c r="F74" s="101" t="s">
        <v>41</v>
      </c>
      <c r="G74" s="101"/>
      <c r="H74" s="103"/>
      <c r="I74" s="94" t="s">
        <v>42</v>
      </c>
      <c r="J74" s="94" t="s">
        <v>43</v>
      </c>
      <c r="K74" s="18"/>
      <c r="L74" s="54"/>
      <c r="M74" s="54"/>
      <c r="N74" s="54"/>
      <c r="O74" s="54"/>
      <c r="P74" s="54"/>
      <c r="Q74" s="18"/>
      <c r="R74" s="18"/>
      <c r="S74" s="18"/>
      <c r="T74" s="18"/>
      <c r="U74" s="18"/>
      <c r="V74" s="18"/>
      <c r="W74" s="18"/>
      <c r="X74" s="18"/>
      <c r="Y74" s="18"/>
      <c r="Z74" s="18"/>
    </row>
    <row r="75" customFormat="false" ht="13.5" hidden="false" customHeight="true" outlineLevel="0" collapsed="false">
      <c r="A75" s="12" t="s">
        <v>73</v>
      </c>
      <c r="B75" s="95" t="str">
        <f aca="false">VLOOKUP(A75,'imp-questions'!A:H,4,FALSE())</f>
        <v>Software Requirements</v>
      </c>
      <c r="C75" s="96" t="n">
        <f aca="false">VLOOKUP(A75,'imp-questions'!A:H,5,FALSE())</f>
        <v>1</v>
      </c>
      <c r="D75" s="47" t="str">
        <f aca="false">VLOOKUP(A75,'imp-questions'!A:H,6,FALSE())</f>
        <v>Do project teams specify security requirements during development?</v>
      </c>
      <c r="E75" s="48" t="str">
        <f aca="false">CHAR(65+VLOOKUP(A75,'imp-questions'!A:H,8,FALSE()))</f>
        <v>F</v>
      </c>
      <c r="F75" s="97"/>
      <c r="G75" s="63" t="n">
        <f aca="false">IFERROR(VLOOKUP(F75,AnsFTBL,2,FALSE()),0)</f>
        <v>0</v>
      </c>
      <c r="H75" s="51" t="n">
        <f aca="false">IFERROR(AVERAGE(G75,G82),0)</f>
        <v>0</v>
      </c>
      <c r="I75" s="87"/>
      <c r="J75" s="98" t="n">
        <f aca="false">SUM(H75,H77,H79)</f>
        <v>0</v>
      </c>
      <c r="K75" s="18"/>
      <c r="L75" s="54"/>
      <c r="M75" s="54"/>
      <c r="N75" s="54"/>
      <c r="O75" s="54"/>
      <c r="P75" s="54"/>
      <c r="Q75" s="18"/>
      <c r="R75" s="18"/>
      <c r="S75" s="18"/>
      <c r="T75" s="18"/>
      <c r="U75" s="18"/>
      <c r="V75" s="18"/>
      <c r="W75" s="18"/>
      <c r="X75" s="18"/>
      <c r="Y75" s="18"/>
      <c r="Z75" s="18"/>
    </row>
    <row r="76" customFormat="false" ht="35.2" hidden="false" customHeight="false" outlineLevel="0" collapsed="false">
      <c r="B76" s="95"/>
      <c r="C76" s="55"/>
      <c r="D76" s="72" t="str">
        <f aca="false">VLOOKUP(A75,'imp-questions'!A:H,7,FALSE())</f>
        <v>Teams derive security requirements from functional requirements and customer or organization concerns
Security requirements are specific, measurable, and reasonable
Security requirements are in line with the organizational baseline</v>
      </c>
      <c r="E76" s="57"/>
      <c r="F76" s="83"/>
      <c r="G76" s="84"/>
      <c r="H76" s="60"/>
      <c r="I76" s="87"/>
      <c r="J76" s="98"/>
      <c r="K76" s="18"/>
      <c r="L76" s="54"/>
      <c r="M76" s="54"/>
      <c r="N76" s="54"/>
      <c r="O76" s="54"/>
      <c r="P76" s="54"/>
      <c r="Q76" s="18"/>
      <c r="R76" s="18"/>
      <c r="S76" s="18"/>
      <c r="T76" s="18"/>
      <c r="U76" s="18"/>
      <c r="V76" s="18"/>
      <c r="W76" s="18"/>
      <c r="X76" s="18"/>
      <c r="Y76" s="18"/>
      <c r="Z76" s="18"/>
    </row>
    <row r="77" customFormat="false" ht="13.8" hidden="false" customHeight="false" outlineLevel="0" collapsed="false">
      <c r="A77" s="12" t="s">
        <v>74</v>
      </c>
      <c r="B77" s="95"/>
      <c r="C77" s="96" t="n">
        <f aca="false">VLOOKUP(A77,'imp-questions'!A:H,5,FALSE())</f>
        <v>2</v>
      </c>
      <c r="D77" s="47" t="str">
        <f aca="false">VLOOKUP(A77,'imp-questions'!A:H,6,FALSE())</f>
        <v>Do you define, structure, and include prioritization in the artifacts of the security requirements gathering process?</v>
      </c>
      <c r="E77" s="48" t="str">
        <f aca="false">CHAR(65+VLOOKUP(A77,'imp-questions'!A:H,8,FALSE()))</f>
        <v>H</v>
      </c>
      <c r="F77" s="104"/>
      <c r="G77" s="63" t="n">
        <f aca="false">IFERROR(VLOOKUP(F77,AnsHTBL,2,FALSE()),0)</f>
        <v>0</v>
      </c>
      <c r="H77" s="51" t="n">
        <f aca="false">IFERROR(AVERAGE(G77,G84),0)</f>
        <v>0</v>
      </c>
      <c r="I77" s="88"/>
      <c r="J77" s="17"/>
      <c r="K77" s="18"/>
      <c r="L77" s="54"/>
      <c r="M77" s="54"/>
      <c r="N77" s="54"/>
      <c r="O77" s="54"/>
      <c r="P77" s="54"/>
      <c r="Q77" s="18"/>
      <c r="R77" s="18"/>
      <c r="S77" s="18"/>
      <c r="T77" s="18"/>
      <c r="U77" s="18"/>
      <c r="V77" s="18"/>
      <c r="W77" s="18"/>
      <c r="X77" s="18"/>
      <c r="Y77" s="18"/>
      <c r="Z77" s="18"/>
    </row>
    <row r="78" customFormat="false" ht="46.55" hidden="false" customHeight="false" outlineLevel="0" collapsed="false">
      <c r="B78" s="95"/>
      <c r="C78" s="55"/>
      <c r="D78" s="72" t="str">
        <f aca="false">VLOOKUP(A77,'imp-questions'!A:H,7,FALSE())</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57"/>
      <c r="F78" s="83"/>
      <c r="G78" s="84"/>
      <c r="H78" s="60"/>
      <c r="I78" s="88"/>
      <c r="J78" s="17"/>
      <c r="K78" s="18"/>
      <c r="L78" s="54"/>
      <c r="M78" s="54"/>
      <c r="N78" s="54"/>
      <c r="O78" s="54"/>
      <c r="P78" s="54"/>
      <c r="Q78" s="18"/>
      <c r="R78" s="18"/>
      <c r="S78" s="18"/>
      <c r="T78" s="18"/>
      <c r="U78" s="18"/>
      <c r="V78" s="18"/>
      <c r="W78" s="18"/>
      <c r="X78" s="18"/>
      <c r="Y78" s="18"/>
      <c r="Z78" s="18"/>
    </row>
    <row r="79" customFormat="false" ht="13.8" hidden="false" customHeight="false" outlineLevel="0" collapsed="false">
      <c r="A79" s="12" t="s">
        <v>75</v>
      </c>
      <c r="B79" s="95"/>
      <c r="C79" s="96" t="n">
        <f aca="false">VLOOKUP(A79,'imp-questions'!A:H,5,FALSE())</f>
        <v>3</v>
      </c>
      <c r="D79" s="47" t="str">
        <f aca="false">VLOOKUP(A79,'imp-questions'!A:H,6,FALSE())</f>
        <v>Do you use a standard requirements framework to streamline the elicitation of security requirements?</v>
      </c>
      <c r="E79" s="48" t="str">
        <f aca="false">CHAR(65+VLOOKUP(A79,'imp-questions'!A:H,8,FALSE()))</f>
        <v>F</v>
      </c>
      <c r="F79" s="97"/>
      <c r="G79" s="63" t="n">
        <f aca="false">IFERROR(VLOOKUP(F79,AnsFTBL,2,FALSE()),0)</f>
        <v>0</v>
      </c>
      <c r="H79" s="51" t="n">
        <f aca="false">IFERROR(AVERAGE(G79,G86),0)</f>
        <v>0</v>
      </c>
      <c r="I79" s="89"/>
      <c r="J79" s="17"/>
      <c r="K79" s="18"/>
      <c r="L79" s="54"/>
      <c r="M79" s="54"/>
      <c r="N79" s="54"/>
      <c r="O79" s="54"/>
      <c r="P79" s="54"/>
      <c r="Q79" s="18"/>
      <c r="R79" s="18"/>
      <c r="S79" s="18"/>
      <c r="T79" s="18"/>
      <c r="U79" s="18"/>
      <c r="V79" s="18"/>
      <c r="W79" s="18"/>
      <c r="X79" s="18"/>
      <c r="Y79" s="18"/>
      <c r="Z79" s="18"/>
    </row>
    <row r="80" customFormat="false" ht="46.55" hidden="false" customHeight="false" outlineLevel="0" collapsed="false">
      <c r="B80" s="95"/>
      <c r="C80" s="67"/>
      <c r="D80" s="56" t="str">
        <f aca="false">VLOOKUP(A79,'imp-questions'!A:H,7,FALSE())</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57"/>
      <c r="F80" s="83"/>
      <c r="G80" s="84"/>
      <c r="H80" s="60"/>
      <c r="I80" s="89"/>
      <c r="J80" s="17"/>
      <c r="K80" s="18"/>
      <c r="L80" s="54"/>
      <c r="M80" s="54"/>
      <c r="N80" s="54"/>
      <c r="O80" s="54"/>
      <c r="P80" s="54"/>
      <c r="Q80" s="18"/>
      <c r="R80" s="18"/>
      <c r="S80" s="18"/>
      <c r="T80" s="18"/>
      <c r="U80" s="18"/>
      <c r="V80" s="18"/>
      <c r="W80" s="18"/>
      <c r="X80" s="18"/>
      <c r="Y80" s="18"/>
      <c r="Z80" s="18"/>
    </row>
    <row r="81" customFormat="false" ht="13.8" hidden="false" customHeight="false" outlineLevel="0" collapsed="false">
      <c r="B81" s="105"/>
      <c r="C81" s="70"/>
      <c r="D81" s="70"/>
      <c r="E81" s="70"/>
      <c r="F81" s="70"/>
      <c r="G81" s="70"/>
      <c r="H81" s="70"/>
      <c r="I81" s="106"/>
      <c r="J81" s="66"/>
      <c r="K81" s="18"/>
      <c r="L81" s="54"/>
      <c r="M81" s="54"/>
      <c r="N81" s="54"/>
      <c r="O81" s="54"/>
      <c r="P81" s="54"/>
      <c r="Q81" s="18"/>
      <c r="R81" s="18"/>
      <c r="S81" s="18"/>
      <c r="T81" s="18"/>
      <c r="U81" s="18"/>
      <c r="V81" s="18"/>
      <c r="W81" s="18"/>
      <c r="X81" s="18"/>
      <c r="Y81" s="18"/>
      <c r="Z81" s="18"/>
    </row>
    <row r="82" customFormat="false" ht="13.8" hidden="false" customHeight="false" outlineLevel="0" collapsed="false">
      <c r="A82" s="12" t="s">
        <v>76</v>
      </c>
      <c r="B82" s="95" t="str">
        <f aca="false">VLOOKUP(A82,'imp-questions'!A:H,4,FALSE())</f>
        <v>Supplier Security</v>
      </c>
      <c r="C82" s="96" t="n">
        <f aca="false">VLOOKUP(A82,'imp-questions'!A:H,5,FALSE())</f>
        <v>1</v>
      </c>
      <c r="D82" s="47" t="str">
        <f aca="false">VLOOKUP(A82,'imp-questions'!A:H,6,FALSE())</f>
        <v>Do stakeholders review vendor collaborations for security requirements and methodology?</v>
      </c>
      <c r="E82" s="48" t="str">
        <f aca="false">CHAR(65+VLOOKUP(A82,'imp-questions'!A:H,8,FALSE()))</f>
        <v>H</v>
      </c>
      <c r="F82" s="104"/>
      <c r="G82" s="63" t="n">
        <f aca="false">IFERROR(VLOOKUP(F82,AnsHTBL,2,FALSE()),0)</f>
        <v>0</v>
      </c>
      <c r="H82" s="64"/>
      <c r="I82" s="86"/>
      <c r="J82" s="66"/>
      <c r="K82" s="18"/>
      <c r="L82" s="54"/>
      <c r="M82" s="54"/>
      <c r="N82" s="54"/>
      <c r="O82" s="54"/>
      <c r="P82" s="54"/>
      <c r="Q82" s="18"/>
      <c r="R82" s="18"/>
      <c r="S82" s="18"/>
      <c r="T82" s="18"/>
      <c r="U82" s="18"/>
      <c r="V82" s="18"/>
      <c r="W82" s="18"/>
      <c r="X82" s="18"/>
      <c r="Y82" s="18"/>
      <c r="Z82" s="18"/>
    </row>
    <row r="83" customFormat="false" ht="31.5" hidden="false" customHeight="true" outlineLevel="0" collapsed="false">
      <c r="B83" s="95"/>
      <c r="C83" s="55"/>
      <c r="D83" s="72" t="str">
        <f aca="false">VLOOKUP(A82,'imp-questions'!A:H,7,FALSE())</f>
        <v>You consider including specific security requirements, activities, and processes when creating third-party agreements
A vendor questionnaire is available and used to assess the strengths and weaknesses of your suppliers</v>
      </c>
      <c r="E83" s="57"/>
      <c r="F83" s="83"/>
      <c r="G83" s="84"/>
      <c r="H83" s="85"/>
      <c r="I83" s="86"/>
      <c r="J83" s="66"/>
      <c r="K83" s="18"/>
      <c r="L83" s="54"/>
      <c r="M83" s="54"/>
      <c r="N83" s="54"/>
      <c r="O83" s="54"/>
      <c r="P83" s="54"/>
      <c r="Q83" s="18"/>
      <c r="R83" s="18"/>
      <c r="S83" s="18"/>
      <c r="T83" s="18"/>
      <c r="U83" s="18"/>
      <c r="V83" s="18"/>
      <c r="W83" s="18"/>
      <c r="X83" s="18"/>
      <c r="Y83" s="18"/>
      <c r="Z83" s="18"/>
    </row>
    <row r="84" customFormat="false" ht="13.8" hidden="false" customHeight="false" outlineLevel="0" collapsed="false">
      <c r="A84" s="12" t="s">
        <v>77</v>
      </c>
      <c r="B84" s="95"/>
      <c r="C84" s="96" t="n">
        <f aca="false">VLOOKUP(A84,'imp-questions'!A:H,5,FALSE())</f>
        <v>2</v>
      </c>
      <c r="D84" s="47" t="str">
        <f aca="false">VLOOKUP(A84,'imp-questions'!A:H,6,FALSE())</f>
        <v>Do vendors meet the security responsibilities and quality measures of service level agreements defined by the organization?</v>
      </c>
      <c r="E84" s="48" t="str">
        <f aca="false">CHAR(65+VLOOKUP(A84,'imp-questions'!A:H,8,FALSE()))</f>
        <v>H</v>
      </c>
      <c r="F84" s="104"/>
      <c r="G84" s="63" t="n">
        <f aca="false">IFERROR(VLOOKUP(F84,AnsHTBL,2,FALSE()),0)</f>
        <v>0</v>
      </c>
      <c r="H84" s="64"/>
      <c r="I84" s="86"/>
      <c r="J84" s="66"/>
      <c r="K84" s="18"/>
      <c r="L84" s="54"/>
      <c r="M84" s="54"/>
      <c r="N84" s="54"/>
      <c r="O84" s="54"/>
      <c r="P84" s="54"/>
      <c r="Q84" s="18"/>
      <c r="R84" s="18"/>
      <c r="S84" s="18"/>
      <c r="T84" s="18"/>
      <c r="U84" s="18"/>
      <c r="V84" s="18"/>
      <c r="W84" s="18"/>
      <c r="X84" s="18"/>
      <c r="Y84" s="18"/>
      <c r="Z84" s="18"/>
    </row>
    <row r="85" customFormat="false" ht="73.5" hidden="false" customHeight="true" outlineLevel="0" collapsed="false">
      <c r="B85" s="95"/>
      <c r="C85" s="55"/>
      <c r="D85" s="72" t="str">
        <f aca="false">VLOOKUP(A84,'imp-questions'!A:H,7,FALSE())</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57"/>
      <c r="F85" s="83"/>
      <c r="G85" s="84"/>
      <c r="H85" s="85"/>
      <c r="I85" s="86"/>
      <c r="J85" s="66"/>
      <c r="K85" s="18"/>
      <c r="L85" s="54"/>
      <c r="M85" s="54"/>
      <c r="N85" s="54"/>
      <c r="O85" s="54"/>
      <c r="P85" s="54"/>
      <c r="Q85" s="18"/>
      <c r="R85" s="18"/>
      <c r="S85" s="18"/>
      <c r="T85" s="18"/>
      <c r="U85" s="18"/>
      <c r="V85" s="18"/>
      <c r="W85" s="18"/>
      <c r="X85" s="18"/>
      <c r="Y85" s="18"/>
      <c r="Z85" s="18"/>
    </row>
    <row r="86" customFormat="false" ht="23.85" hidden="false" customHeight="false" outlineLevel="0" collapsed="false">
      <c r="A86" s="12" t="s">
        <v>78</v>
      </c>
      <c r="B86" s="95"/>
      <c r="C86" s="96" t="n">
        <f aca="false">VLOOKUP(A86,'imp-questions'!A:H,5,FALSE())</f>
        <v>3</v>
      </c>
      <c r="D86" s="47" t="str">
        <f aca="false">VLOOKUP(A86,'imp-questions'!A:H,6,FALSE())</f>
        <v>Are vendors aligned with standard security controls and software development tools and processes that the organization utilizes?</v>
      </c>
      <c r="E86" s="48" t="str">
        <f aca="false">CHAR(65+VLOOKUP(A86,'imp-questions'!A:H,8,FALSE()))</f>
        <v>H</v>
      </c>
      <c r="F86" s="104"/>
      <c r="G86" s="63" t="n">
        <f aca="false">IFERROR(VLOOKUP(F86,AnsHTBL,2,FALSE()),0)</f>
        <v>0</v>
      </c>
      <c r="H86" s="64"/>
      <c r="I86" s="86"/>
      <c r="J86" s="66"/>
      <c r="K86" s="18"/>
      <c r="L86" s="54"/>
      <c r="M86" s="54"/>
      <c r="N86" s="54"/>
      <c r="O86" s="54"/>
      <c r="P86" s="54"/>
      <c r="Q86" s="18"/>
      <c r="R86" s="18"/>
      <c r="S86" s="18"/>
      <c r="T86" s="18"/>
      <c r="U86" s="18"/>
      <c r="V86" s="18"/>
      <c r="W86" s="18"/>
      <c r="X86" s="18"/>
      <c r="Y86" s="18"/>
      <c r="Z86" s="18"/>
    </row>
    <row r="87" customFormat="false" ht="72" hidden="false" customHeight="true" outlineLevel="0" collapsed="false">
      <c r="B87" s="95"/>
      <c r="C87" s="67"/>
      <c r="D87" s="56" t="str">
        <f aca="false">VLOOKUP(A86,'imp-questions'!A:H,7,FALSE())</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57"/>
      <c r="F87" s="83"/>
      <c r="G87" s="84"/>
      <c r="H87" s="85"/>
      <c r="I87" s="86"/>
      <c r="J87" s="66"/>
      <c r="K87" s="18"/>
      <c r="L87" s="54"/>
      <c r="M87" s="54"/>
      <c r="N87" s="54"/>
      <c r="O87" s="54"/>
      <c r="P87" s="54"/>
      <c r="Q87" s="18"/>
      <c r="R87" s="18"/>
      <c r="S87" s="18"/>
      <c r="T87" s="18"/>
      <c r="U87" s="18"/>
      <c r="V87" s="18"/>
      <c r="W87" s="18"/>
      <c r="X87" s="18"/>
      <c r="Y87" s="18"/>
      <c r="Z87" s="18"/>
    </row>
    <row r="88" customFormat="false" ht="13.5" hidden="false" customHeight="true" outlineLevel="0" collapsed="false">
      <c r="B88" s="101" t="s">
        <v>79</v>
      </c>
      <c r="C88" s="101"/>
      <c r="D88" s="101"/>
      <c r="E88" s="102"/>
      <c r="F88" s="101" t="s">
        <v>41</v>
      </c>
      <c r="G88" s="101"/>
      <c r="H88" s="103"/>
      <c r="I88" s="94" t="s">
        <v>42</v>
      </c>
      <c r="J88" s="94" t="s">
        <v>43</v>
      </c>
      <c r="K88" s="18"/>
      <c r="L88" s="54"/>
      <c r="M88" s="54"/>
      <c r="N88" s="54"/>
      <c r="O88" s="54"/>
      <c r="P88" s="54"/>
      <c r="Q88" s="18"/>
      <c r="R88" s="18"/>
      <c r="S88" s="18"/>
      <c r="T88" s="18"/>
      <c r="U88" s="18"/>
      <c r="V88" s="18"/>
      <c r="W88" s="18"/>
      <c r="X88" s="18"/>
      <c r="Y88" s="18"/>
      <c r="Z88" s="18"/>
    </row>
    <row r="89" customFormat="false" ht="13.5" hidden="false" customHeight="true" outlineLevel="0" collapsed="false">
      <c r="A89" s="12" t="s">
        <v>80</v>
      </c>
      <c r="B89" s="95" t="str">
        <f aca="false">VLOOKUP(A89,'imp-questions'!A:H,4,FALSE())</f>
        <v>Architecture Design</v>
      </c>
      <c r="C89" s="96" t="n">
        <f aca="false">VLOOKUP(A89,'imp-questions'!A:H,5,FALSE())</f>
        <v>1</v>
      </c>
      <c r="D89" s="47" t="str">
        <f aca="false">VLOOKUP(A89,'imp-questions'!A:H,6,FALSE())</f>
        <v>Do teams use security principles during design?</v>
      </c>
      <c r="E89" s="48" t="str">
        <f aca="false">CHAR(65+VLOOKUP(A89,'imp-questions'!A:H,8,FALSE()))</f>
        <v>F</v>
      </c>
      <c r="F89" s="97"/>
      <c r="G89" s="63" t="n">
        <f aca="false">IFERROR(VLOOKUP(F89,AnsFTBL,2,FALSE()),0)</f>
        <v>0</v>
      </c>
      <c r="H89" s="51" t="n">
        <f aca="false">IFERROR(AVERAGE(G89,G96),0)</f>
        <v>0</v>
      </c>
      <c r="I89" s="87"/>
      <c r="J89" s="98" t="n">
        <f aca="false">SUM(H89,H91,H93)</f>
        <v>0</v>
      </c>
      <c r="K89" s="18"/>
      <c r="L89" s="54"/>
      <c r="M89" s="54"/>
      <c r="N89" s="54"/>
      <c r="O89" s="54"/>
      <c r="P89" s="54"/>
      <c r="Q89" s="18"/>
      <c r="R89" s="18"/>
      <c r="S89" s="18"/>
      <c r="T89" s="18"/>
      <c r="U89" s="18"/>
      <c r="V89" s="18"/>
      <c r="W89" s="18"/>
      <c r="X89" s="18"/>
      <c r="Y89" s="18"/>
      <c r="Z89" s="18"/>
    </row>
    <row r="90" customFormat="false" ht="35.2" hidden="false" customHeight="false" outlineLevel="0" collapsed="false">
      <c r="B90" s="95"/>
      <c r="C90" s="55"/>
      <c r="D90" s="72" t="str">
        <f aca="false">VLOOKUP(A89,'imp-questions'!A:H,7,FALSE())</f>
        <v>You have an agreed upon checklist of security principles
You store your checklist in an accessible location
Relevant stakeholders understand security principles</v>
      </c>
      <c r="E90" s="57"/>
      <c r="F90" s="83"/>
      <c r="G90" s="84"/>
      <c r="H90" s="60"/>
      <c r="I90" s="87"/>
      <c r="J90" s="98"/>
      <c r="K90" s="18"/>
      <c r="L90" s="54"/>
      <c r="M90" s="54"/>
      <c r="N90" s="54"/>
      <c r="O90" s="54"/>
      <c r="P90" s="54"/>
      <c r="Q90" s="18"/>
      <c r="R90" s="18"/>
      <c r="S90" s="18"/>
      <c r="T90" s="18"/>
      <c r="U90" s="18"/>
      <c r="V90" s="18"/>
      <c r="W90" s="18"/>
      <c r="X90" s="18"/>
      <c r="Y90" s="18"/>
      <c r="Z90" s="18"/>
    </row>
    <row r="91" customFormat="false" ht="13.8" hidden="false" customHeight="false" outlineLevel="0" collapsed="false">
      <c r="A91" s="12" t="s">
        <v>81</v>
      </c>
      <c r="B91" s="95"/>
      <c r="C91" s="96" t="n">
        <f aca="false">VLOOKUP(A91,'imp-questions'!A:H,5,FALSE())</f>
        <v>2</v>
      </c>
      <c r="D91" s="47" t="str">
        <f aca="false">VLOOKUP(A91,'imp-questions'!A:H,6,FALSE())</f>
        <v>Do you use shared security services during design?</v>
      </c>
      <c r="E91" s="48" t="str">
        <f aca="false">CHAR(65+VLOOKUP(A91,'imp-questions'!A:H,8,FALSE()))</f>
        <v>F</v>
      </c>
      <c r="F91" s="97"/>
      <c r="G91" s="63" t="n">
        <f aca="false">IFERROR(VLOOKUP(F91,AnsFTBL,2,FALSE()),0)</f>
        <v>0</v>
      </c>
      <c r="H91" s="51" t="n">
        <f aca="false">IFERROR(AVERAGE(G91,G98),0)</f>
        <v>0</v>
      </c>
      <c r="I91" s="88"/>
      <c r="J91" s="17"/>
      <c r="K91" s="18"/>
      <c r="L91" s="54"/>
      <c r="M91" s="54"/>
      <c r="N91" s="54"/>
      <c r="O91" s="54"/>
      <c r="P91" s="54"/>
      <c r="Q91" s="18"/>
      <c r="R91" s="18"/>
      <c r="S91" s="18"/>
      <c r="T91" s="18"/>
      <c r="U91" s="18"/>
      <c r="V91" s="18"/>
      <c r="W91" s="18"/>
      <c r="X91" s="18"/>
      <c r="Y91" s="18"/>
      <c r="Z91" s="18"/>
    </row>
    <row r="92" customFormat="false" ht="35.2" hidden="false" customHeight="false" outlineLevel="0" collapsed="false">
      <c r="B92" s="95"/>
      <c r="C92" s="55"/>
      <c r="D92" s="72" t="str">
        <f aca="false">VLOOKUP(A91,'imp-questions'!A:H,7,FALSE())</f>
        <v>You have a documented list of reusable security services, available to relevant stakeholders
You have reviewed the baseline security posture for each selected service
Your designers are trained to integrate each selected service following available guidance</v>
      </c>
      <c r="E92" s="57"/>
      <c r="F92" s="83"/>
      <c r="G92" s="84"/>
      <c r="H92" s="60"/>
      <c r="I92" s="88"/>
      <c r="J92" s="17"/>
      <c r="K92" s="18"/>
      <c r="L92" s="54"/>
      <c r="M92" s="54"/>
      <c r="N92" s="54"/>
      <c r="O92" s="54"/>
      <c r="P92" s="54"/>
      <c r="Q92" s="18"/>
      <c r="R92" s="18"/>
      <c r="S92" s="18"/>
      <c r="T92" s="18"/>
      <c r="U92" s="18"/>
      <c r="V92" s="18"/>
      <c r="W92" s="18"/>
      <c r="X92" s="18"/>
      <c r="Y92" s="18"/>
      <c r="Z92" s="18"/>
    </row>
    <row r="93" customFormat="false" ht="13.8" hidden="false" customHeight="false" outlineLevel="0" collapsed="false">
      <c r="A93" s="12" t="s">
        <v>82</v>
      </c>
      <c r="B93" s="95"/>
      <c r="C93" s="96" t="n">
        <f aca="false">VLOOKUP(A93,'imp-questions'!A:H,5,FALSE())</f>
        <v>3</v>
      </c>
      <c r="D93" s="47" t="str">
        <f aca="false">VLOOKUP(A93,'imp-questions'!A:H,6,FALSE())</f>
        <v>Do you base your design on available reference architectures?</v>
      </c>
      <c r="E93" s="48" t="str">
        <f aca="false">CHAR(65+VLOOKUP(A93,'imp-questions'!A:H,8,FALSE()))</f>
        <v>F</v>
      </c>
      <c r="F93" s="97"/>
      <c r="G93" s="63" t="n">
        <f aca="false">IFERROR(VLOOKUP(F93,AnsFTBL,2,FALSE()),0)</f>
        <v>0</v>
      </c>
      <c r="H93" s="51" t="n">
        <f aca="false">IFERROR(AVERAGE(G93,G100),0)</f>
        <v>0</v>
      </c>
      <c r="I93" s="89"/>
      <c r="J93" s="17"/>
      <c r="K93" s="18"/>
      <c r="L93" s="54"/>
      <c r="M93" s="54"/>
      <c r="N93" s="54"/>
      <c r="O93" s="54"/>
      <c r="P93" s="54"/>
      <c r="Q93" s="18"/>
      <c r="R93" s="18"/>
      <c r="S93" s="18"/>
      <c r="T93" s="18"/>
      <c r="U93" s="18"/>
      <c r="V93" s="18"/>
      <c r="W93" s="18"/>
      <c r="X93" s="18"/>
      <c r="Y93" s="18"/>
      <c r="Z93" s="18"/>
    </row>
    <row r="94" customFormat="false" ht="35.2" hidden="false" customHeight="false" outlineLevel="0" collapsed="false">
      <c r="B94" s="95"/>
      <c r="C94" s="67"/>
      <c r="D94" s="56" t="str">
        <f aca="false">VLOOKUP(A93,'imp-questions'!A:H,7,FALSE())</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57"/>
      <c r="F94" s="83"/>
      <c r="G94" s="84"/>
      <c r="H94" s="60"/>
      <c r="I94" s="89"/>
      <c r="J94" s="17"/>
      <c r="K94" s="18"/>
      <c r="L94" s="54"/>
      <c r="M94" s="54"/>
      <c r="N94" s="54"/>
      <c r="O94" s="54"/>
      <c r="P94" s="54"/>
      <c r="Q94" s="18"/>
      <c r="R94" s="18"/>
      <c r="S94" s="18"/>
      <c r="T94" s="18"/>
      <c r="U94" s="18"/>
      <c r="V94" s="18"/>
      <c r="W94" s="18"/>
      <c r="X94" s="18"/>
      <c r="Y94" s="18"/>
      <c r="Z94" s="18"/>
    </row>
    <row r="95" customFormat="false" ht="13.8" hidden="false" customHeight="false" outlineLevel="0" collapsed="false">
      <c r="B95" s="105"/>
      <c r="C95" s="70"/>
      <c r="D95" s="70"/>
      <c r="E95" s="70"/>
      <c r="F95" s="70"/>
      <c r="G95" s="70"/>
      <c r="H95" s="70"/>
      <c r="I95" s="106"/>
      <c r="J95" s="66"/>
      <c r="K95" s="18"/>
      <c r="L95" s="54"/>
      <c r="M95" s="54"/>
      <c r="N95" s="54"/>
      <c r="O95" s="54"/>
      <c r="P95" s="54"/>
      <c r="Q95" s="18"/>
      <c r="R95" s="18"/>
      <c r="S95" s="18"/>
      <c r="T95" s="18"/>
      <c r="U95" s="18"/>
      <c r="V95" s="18"/>
      <c r="W95" s="18"/>
      <c r="X95" s="18"/>
      <c r="Y95" s="18"/>
      <c r="Z95" s="18"/>
    </row>
    <row r="96" customFormat="false" ht="13.8" hidden="false" customHeight="false" outlineLevel="0" collapsed="false">
      <c r="A96" s="12" t="s">
        <v>83</v>
      </c>
      <c r="B96" s="95" t="str">
        <f aca="false">VLOOKUP(A96,'imp-questions'!A:H,4,FALSE())</f>
        <v>Technology Management</v>
      </c>
      <c r="C96" s="96" t="n">
        <f aca="false">VLOOKUP(A96,'imp-questions'!A:H,5,FALSE())</f>
        <v>1</v>
      </c>
      <c r="D96" s="47" t="str">
        <f aca="false">VLOOKUP(A96,'imp-questions'!A:H,6,FALSE())</f>
        <v>Do you evaluate the security quality of important technologies used for development?</v>
      </c>
      <c r="E96" s="48" t="str">
        <f aca="false">CHAR(65+VLOOKUP(A96,'imp-questions'!A:H,8,FALSE()))</f>
        <v>F</v>
      </c>
      <c r="F96" s="97"/>
      <c r="G96" s="63" t="n">
        <f aca="false">IFERROR(VLOOKUP(F96,AnsFTBL,2,FALSE()),0)</f>
        <v>0</v>
      </c>
      <c r="H96" s="64"/>
      <c r="I96" s="86"/>
      <c r="J96" s="66"/>
      <c r="K96" s="18"/>
      <c r="L96" s="54"/>
      <c r="M96" s="54"/>
      <c r="N96" s="54"/>
      <c r="O96" s="54"/>
      <c r="P96" s="54"/>
      <c r="Q96" s="18"/>
      <c r="R96" s="18"/>
      <c r="S96" s="18"/>
      <c r="T96" s="18"/>
      <c r="U96" s="18"/>
      <c r="V96" s="18"/>
      <c r="W96" s="18"/>
      <c r="X96" s="18"/>
      <c r="Y96" s="18"/>
      <c r="Z96" s="18"/>
    </row>
    <row r="97" customFormat="false" ht="35.2" hidden="false" customHeight="false" outlineLevel="0" collapsed="false">
      <c r="B97" s="95"/>
      <c r="C97" s="55"/>
      <c r="D97" s="72" t="str">
        <f aca="false">VLOOKUP(A96,'imp-questions'!A:H,7,FALSE())</f>
        <v>You have a list of the most important technologies used in or in support of each application
You identify and track technological risks
You ensure the risks to these technologies are in line with the organizational baseline</v>
      </c>
      <c r="E97" s="57"/>
      <c r="F97" s="83"/>
      <c r="G97" s="84"/>
      <c r="H97" s="85"/>
      <c r="I97" s="86"/>
      <c r="J97" s="66"/>
      <c r="K97" s="18"/>
      <c r="L97" s="54"/>
      <c r="M97" s="54"/>
      <c r="N97" s="54"/>
      <c r="O97" s="54"/>
      <c r="P97" s="54"/>
      <c r="Q97" s="18"/>
      <c r="R97" s="18"/>
      <c r="S97" s="18"/>
      <c r="T97" s="18"/>
      <c r="U97" s="18"/>
      <c r="V97" s="18"/>
      <c r="W97" s="18"/>
      <c r="X97" s="18"/>
      <c r="Y97" s="18"/>
      <c r="Z97" s="18"/>
    </row>
    <row r="98" customFormat="false" ht="13.8" hidden="false" customHeight="false" outlineLevel="0" collapsed="false">
      <c r="A98" s="12" t="s">
        <v>84</v>
      </c>
      <c r="B98" s="95"/>
      <c r="C98" s="96" t="n">
        <f aca="false">VLOOKUP(A98,'imp-questions'!A:H,5,FALSE())</f>
        <v>2</v>
      </c>
      <c r="D98" s="47" t="str">
        <f aca="false">VLOOKUP(A98,'imp-questions'!A:H,6,FALSE())</f>
        <v>Do you have a list of recommended technologies for the organization?</v>
      </c>
      <c r="E98" s="48" t="str">
        <f aca="false">CHAR(65+VLOOKUP(A98,'imp-questions'!A:H,8,FALSE()))</f>
        <v>U</v>
      </c>
      <c r="F98" s="104"/>
      <c r="G98" s="63" t="n">
        <f aca="false">IFERROR(VLOOKUP(F98,AnsUTBL,2,FALSE()),0)</f>
        <v>0</v>
      </c>
      <c r="H98" s="64"/>
      <c r="I98" s="86"/>
      <c r="J98" s="66"/>
      <c r="K98" s="18"/>
      <c r="L98" s="54"/>
      <c r="M98" s="54"/>
      <c r="N98" s="54"/>
      <c r="O98" s="54"/>
      <c r="P98" s="54"/>
      <c r="Q98" s="18"/>
      <c r="R98" s="18"/>
      <c r="S98" s="18"/>
      <c r="T98" s="18"/>
      <c r="U98" s="18"/>
      <c r="V98" s="18"/>
      <c r="W98" s="18"/>
      <c r="X98" s="18"/>
      <c r="Y98" s="18"/>
      <c r="Z98" s="18"/>
    </row>
    <row r="99" customFormat="false" ht="46.55" hidden="false" customHeight="false" outlineLevel="0" collapsed="false">
      <c r="B99" s="95"/>
      <c r="C99" s="55"/>
      <c r="D99" s="72" t="str">
        <f aca="false">VLOOKUP(A98,'imp-questions'!A:H,7,FALSE())</f>
        <v>The list is based on technologies used in the software portfolio
Lead architects and developers review and approve the list
You share the list across the organization
You review and update the list at least yearly</v>
      </c>
      <c r="E99" s="57"/>
      <c r="F99" s="83"/>
      <c r="G99" s="84"/>
      <c r="H99" s="85"/>
      <c r="I99" s="86"/>
      <c r="J99" s="66"/>
      <c r="K99" s="18"/>
      <c r="L99" s="54"/>
      <c r="M99" s="54"/>
      <c r="N99" s="54"/>
      <c r="O99" s="54"/>
      <c r="P99" s="54"/>
      <c r="Q99" s="18"/>
      <c r="R99" s="18"/>
      <c r="S99" s="18"/>
      <c r="T99" s="18"/>
      <c r="U99" s="18"/>
      <c r="V99" s="18"/>
      <c r="W99" s="18"/>
      <c r="X99" s="18"/>
      <c r="Y99" s="18"/>
      <c r="Z99" s="18"/>
    </row>
    <row r="100" customFormat="false" ht="13.8" hidden="false" customHeight="false" outlineLevel="0" collapsed="false">
      <c r="A100" s="12" t="s">
        <v>85</v>
      </c>
      <c r="B100" s="95"/>
      <c r="C100" s="96" t="n">
        <f aca="false">VLOOKUP(A100,'imp-questions'!A:H,5,FALSE())</f>
        <v>3</v>
      </c>
      <c r="D100" s="47" t="str">
        <f aca="false">VLOOKUP(A100,'imp-questions'!A:H,6,FALSE())</f>
        <v>Do you enforce the use of recommended technologies within the organization?</v>
      </c>
      <c r="E100" s="48" t="str">
        <f aca="false">CHAR(65+VLOOKUP(A100,'imp-questions'!A:H,8,FALSE()))</f>
        <v>F</v>
      </c>
      <c r="F100" s="97"/>
      <c r="G100" s="63" t="n">
        <f aca="false">IFERROR(VLOOKUP(F100,AnsFTBL,2,FALSE()),0)</f>
        <v>0</v>
      </c>
      <c r="H100" s="64"/>
      <c r="I100" s="86"/>
      <c r="J100" s="66"/>
      <c r="K100" s="18"/>
      <c r="L100" s="54"/>
      <c r="M100" s="54"/>
      <c r="N100" s="54"/>
      <c r="O100" s="54"/>
      <c r="P100" s="54"/>
      <c r="Q100" s="18"/>
      <c r="R100" s="18"/>
      <c r="S100" s="18"/>
      <c r="T100" s="18"/>
      <c r="U100" s="18"/>
      <c r="V100" s="18"/>
      <c r="W100" s="18"/>
      <c r="X100" s="18"/>
      <c r="Y100" s="18"/>
      <c r="Z100" s="18"/>
    </row>
    <row r="101" customFormat="false" ht="35.2" hidden="false" customHeight="false" outlineLevel="0" collapsed="false">
      <c r="B101" s="95"/>
      <c r="C101" s="67"/>
      <c r="D101" s="56" t="str">
        <f aca="false">VLOOKUP(A100,'imp-questions'!A:H,7,FALSE())</f>
        <v>You monitor applications regularly for the correct use of the recommended technologies
You solve violations against the list accoranding to organizational policies
You take action if the number of violations falls outside the yearly objectives</v>
      </c>
      <c r="E101" s="57"/>
      <c r="F101" s="83"/>
      <c r="G101" s="84"/>
      <c r="H101" s="85"/>
      <c r="I101" s="86"/>
      <c r="J101" s="66"/>
      <c r="K101" s="18"/>
      <c r="L101" s="54"/>
      <c r="M101" s="54"/>
      <c r="N101" s="54"/>
      <c r="O101" s="54"/>
      <c r="P101" s="54"/>
      <c r="Q101" s="18"/>
      <c r="R101" s="18"/>
      <c r="S101" s="18"/>
      <c r="T101" s="18"/>
      <c r="U101" s="18"/>
      <c r="V101" s="18"/>
      <c r="W101" s="18"/>
      <c r="X101" s="18"/>
      <c r="Y101" s="18"/>
      <c r="Z101" s="18"/>
    </row>
    <row r="102" customFormat="false" ht="13.5" hidden="false" customHeight="true" outlineLevel="0" collapsed="false">
      <c r="B102" s="107" t="s">
        <v>86</v>
      </c>
      <c r="C102" s="107"/>
      <c r="D102" s="107"/>
      <c r="E102" s="107"/>
      <c r="F102" s="107"/>
      <c r="G102" s="107"/>
      <c r="H102" s="107"/>
      <c r="I102" s="107"/>
      <c r="J102" s="107"/>
      <c r="K102" s="18"/>
      <c r="L102" s="54"/>
      <c r="M102" s="54"/>
      <c r="N102" s="54"/>
      <c r="O102" s="54"/>
      <c r="P102" s="54"/>
      <c r="Q102" s="18"/>
      <c r="R102" s="18"/>
      <c r="S102" s="18"/>
      <c r="T102" s="18"/>
      <c r="U102" s="18"/>
      <c r="V102" s="18"/>
      <c r="W102" s="18"/>
      <c r="X102" s="18"/>
      <c r="Y102" s="18"/>
      <c r="Z102" s="18"/>
    </row>
    <row r="103" customFormat="false" ht="13.5" hidden="false" customHeight="true" outlineLevel="0" collapsed="false">
      <c r="B103" s="108" t="s">
        <v>87</v>
      </c>
      <c r="C103" s="108"/>
      <c r="D103" s="108"/>
      <c r="E103" s="109"/>
      <c r="F103" s="108" t="s">
        <v>41</v>
      </c>
      <c r="G103" s="108"/>
      <c r="H103" s="110"/>
      <c r="I103" s="111" t="s">
        <v>42</v>
      </c>
      <c r="J103" s="111" t="s">
        <v>43</v>
      </c>
      <c r="K103" s="18"/>
      <c r="L103" s="54"/>
      <c r="M103" s="54"/>
      <c r="N103" s="54"/>
      <c r="O103" s="54"/>
      <c r="P103" s="54"/>
      <c r="Q103" s="18"/>
      <c r="R103" s="18"/>
      <c r="S103" s="18"/>
      <c r="T103" s="18"/>
      <c r="U103" s="18"/>
      <c r="V103" s="18"/>
      <c r="W103" s="18"/>
      <c r="X103" s="18"/>
      <c r="Y103" s="18"/>
      <c r="Z103" s="18"/>
    </row>
    <row r="104" customFormat="false" ht="13.5" hidden="false" customHeight="false" outlineLevel="0" collapsed="false">
      <c r="A104" s="12" t="s">
        <v>88</v>
      </c>
      <c r="B104" s="112" t="str">
        <f aca="false">VLOOKUP(A104,'imp-questions'!A:H,4,FALSE())</f>
        <v>Build Process</v>
      </c>
      <c r="C104" s="113" t="n">
        <f aca="false">VLOOKUP(A104,'imp-questions'!A:H,5,FALSE())</f>
        <v>1</v>
      </c>
      <c r="D104" s="47" t="str">
        <f aca="false">VLOOKUP(A104,'imp-questions'!A:H,6,FALSE())</f>
        <v>Is your full build process formally described?</v>
      </c>
      <c r="E104" s="48" t="str">
        <f aca="false">CHAR(65+VLOOKUP(A104,'imp-questions'!A:H,8,FALSE()))</f>
        <v>F</v>
      </c>
      <c r="F104" s="97"/>
      <c r="G104" s="63" t="n">
        <f aca="false">IFERROR(VLOOKUP(F104,AnsFTBL,2,FALSE()),0)</f>
        <v>0</v>
      </c>
      <c r="H104" s="51" t="n">
        <f aca="false">IFERROR(AVERAGE(G104,G111),0)</f>
        <v>0</v>
      </c>
      <c r="I104" s="87"/>
      <c r="J104" s="114" t="n">
        <f aca="false">SUM(H104,H106,H108)</f>
        <v>0</v>
      </c>
      <c r="K104" s="18"/>
      <c r="L104" s="54"/>
      <c r="M104" s="54"/>
      <c r="N104" s="54"/>
      <c r="O104" s="54"/>
      <c r="P104" s="54"/>
      <c r="Q104" s="18"/>
      <c r="R104" s="18"/>
      <c r="S104" s="18"/>
      <c r="T104" s="18"/>
      <c r="U104" s="18"/>
      <c r="V104" s="18"/>
      <c r="W104" s="18"/>
      <c r="X104" s="18"/>
      <c r="Y104" s="18"/>
      <c r="Z104" s="18"/>
    </row>
    <row r="105" customFormat="false" ht="57.95" hidden="false" customHeight="false" outlineLevel="0" collapsed="false">
      <c r="B105" s="112"/>
      <c r="C105" s="55"/>
      <c r="D105" s="72" t="str">
        <f aca="false">VLOOKUP(A104,'imp-questions'!A:H,7,FALSE())</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57"/>
      <c r="F105" s="83"/>
      <c r="G105" s="84"/>
      <c r="H105" s="60"/>
      <c r="I105" s="87"/>
      <c r="J105" s="114"/>
      <c r="K105" s="18"/>
      <c r="L105" s="54"/>
      <c r="M105" s="54"/>
      <c r="N105" s="54"/>
      <c r="O105" s="54"/>
      <c r="P105" s="54"/>
      <c r="Q105" s="18"/>
      <c r="R105" s="18"/>
      <c r="S105" s="18"/>
      <c r="T105" s="18"/>
      <c r="U105" s="18"/>
      <c r="V105" s="18"/>
      <c r="W105" s="18"/>
      <c r="X105" s="18"/>
      <c r="Y105" s="18"/>
      <c r="Z105" s="18"/>
    </row>
    <row r="106" customFormat="false" ht="13.8" hidden="false" customHeight="false" outlineLevel="0" collapsed="false">
      <c r="A106" s="12" t="s">
        <v>89</v>
      </c>
      <c r="B106" s="112"/>
      <c r="C106" s="113" t="n">
        <f aca="false">VLOOKUP(A106,'imp-questions'!A:H,5,FALSE())</f>
        <v>2</v>
      </c>
      <c r="D106" s="47" t="str">
        <f aca="false">VLOOKUP(A106,'imp-questions'!A:H,6,FALSE())</f>
        <v>Is the build process fully automated?</v>
      </c>
      <c r="E106" s="48" t="str">
        <f aca="false">CHAR(65+VLOOKUP(A106,'imp-questions'!A:H,8,FALSE()))</f>
        <v>F</v>
      </c>
      <c r="F106" s="97"/>
      <c r="G106" s="63" t="n">
        <f aca="false">IFERROR(VLOOKUP(F106,AnsFTBL,2,FALSE()),0)</f>
        <v>0</v>
      </c>
      <c r="H106" s="51" t="n">
        <f aca="false">IFERROR(AVERAGE(G106,G113),0)</f>
        <v>0</v>
      </c>
      <c r="I106" s="88"/>
      <c r="J106" s="17"/>
      <c r="K106" s="18"/>
      <c r="L106" s="54"/>
      <c r="M106" s="54"/>
      <c r="N106" s="54"/>
      <c r="O106" s="54"/>
      <c r="P106" s="54"/>
      <c r="Q106" s="18"/>
      <c r="R106" s="18"/>
      <c r="S106" s="18"/>
      <c r="T106" s="18"/>
      <c r="U106" s="18"/>
      <c r="V106" s="18"/>
      <c r="W106" s="18"/>
      <c r="X106" s="18"/>
      <c r="Y106" s="18"/>
      <c r="Z106" s="18"/>
    </row>
    <row r="107" customFormat="false" ht="35.2" hidden="false" customHeight="false" outlineLevel="0" collapsed="false">
      <c r="B107" s="112"/>
      <c r="C107" s="55"/>
      <c r="D107" s="72" t="str">
        <f aca="false">VLOOKUP(A106,'imp-questions'!A:H,7,FALSE())</f>
        <v>The build process itself doesn't require any human interaction
Your build tools are hardened as per best practice and vendor guidance
You encrypt the secrets required by the build tools and control access based on the principle of least privilege</v>
      </c>
      <c r="E107" s="57"/>
      <c r="F107" s="83"/>
      <c r="G107" s="84"/>
      <c r="H107" s="60"/>
      <c r="I107" s="88"/>
      <c r="J107" s="17"/>
      <c r="K107" s="18"/>
      <c r="L107" s="54"/>
      <c r="M107" s="54"/>
      <c r="N107" s="54"/>
      <c r="O107" s="54"/>
      <c r="P107" s="54"/>
      <c r="Q107" s="18"/>
      <c r="R107" s="18"/>
      <c r="S107" s="18"/>
      <c r="T107" s="18"/>
      <c r="U107" s="18"/>
      <c r="V107" s="18"/>
      <c r="W107" s="18"/>
      <c r="X107" s="18"/>
      <c r="Y107" s="18"/>
      <c r="Z107" s="18"/>
    </row>
    <row r="108" customFormat="false" ht="13.8" hidden="false" customHeight="false" outlineLevel="0" collapsed="false">
      <c r="A108" s="12" t="s">
        <v>90</v>
      </c>
      <c r="B108" s="112"/>
      <c r="C108" s="113" t="n">
        <f aca="false">VLOOKUP(A108,'imp-questions'!A:H,5,FALSE())</f>
        <v>3</v>
      </c>
      <c r="D108" s="47" t="str">
        <f aca="false">VLOOKUP(A108,'imp-questions'!A:H,6,FALSE())</f>
        <v>Do you enforce automated security checks in your build processes?</v>
      </c>
      <c r="E108" s="48" t="str">
        <f aca="false">CHAR(65+VLOOKUP(A108,'imp-questions'!A:H,8,FALSE()))</f>
        <v>F</v>
      </c>
      <c r="F108" s="97"/>
      <c r="G108" s="63" t="n">
        <f aca="false">IFERROR(VLOOKUP(F108,AnsFTBL,2,FALSE()),0)</f>
        <v>0</v>
      </c>
      <c r="H108" s="51" t="n">
        <f aca="false">IFERROR(AVERAGE(G108,G115),0)</f>
        <v>0</v>
      </c>
      <c r="I108" s="89"/>
      <c r="J108" s="17"/>
      <c r="K108" s="18"/>
      <c r="L108" s="54"/>
      <c r="M108" s="54"/>
      <c r="N108" s="54"/>
      <c r="O108" s="54"/>
      <c r="P108" s="54"/>
      <c r="Q108" s="18"/>
      <c r="R108" s="18"/>
      <c r="S108" s="18"/>
      <c r="T108" s="18"/>
      <c r="U108" s="18"/>
      <c r="V108" s="18"/>
      <c r="W108" s="18"/>
      <c r="X108" s="18"/>
      <c r="Y108" s="18"/>
      <c r="Z108" s="18"/>
    </row>
    <row r="109" customFormat="false" ht="46.55" hidden="false" customHeight="false" outlineLevel="0" collapsed="false">
      <c r="B109" s="112"/>
      <c r="C109" s="67"/>
      <c r="D109" s="56" t="str">
        <f aca="false">VLOOKUP(A108,'imp-questions'!A:H,7,FALSE())</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57"/>
      <c r="F109" s="83"/>
      <c r="G109" s="84"/>
      <c r="H109" s="60"/>
      <c r="I109" s="89"/>
      <c r="J109" s="17"/>
      <c r="K109" s="18"/>
      <c r="L109" s="54"/>
      <c r="M109" s="54"/>
      <c r="N109" s="54"/>
      <c r="O109" s="54"/>
      <c r="P109" s="54"/>
      <c r="Q109" s="18"/>
      <c r="R109" s="18"/>
      <c r="S109" s="18"/>
      <c r="T109" s="18"/>
      <c r="U109" s="18"/>
      <c r="V109" s="18"/>
      <c r="W109" s="18"/>
      <c r="X109" s="18"/>
      <c r="Y109" s="18"/>
      <c r="Z109" s="18"/>
    </row>
    <row r="110" customFormat="false" ht="13.8" hidden="false" customHeight="false" outlineLevel="0" collapsed="false">
      <c r="B110" s="69"/>
      <c r="C110" s="70"/>
      <c r="D110" s="70"/>
      <c r="E110" s="70"/>
      <c r="F110" s="70"/>
      <c r="G110" s="70"/>
      <c r="H110" s="70"/>
      <c r="I110" s="71"/>
      <c r="J110" s="66"/>
      <c r="K110" s="18"/>
      <c r="L110" s="54"/>
      <c r="M110" s="54"/>
      <c r="N110" s="54"/>
      <c r="O110" s="54"/>
      <c r="P110" s="54"/>
      <c r="Q110" s="18"/>
      <c r="R110" s="18"/>
      <c r="S110" s="18"/>
      <c r="T110" s="18"/>
      <c r="U110" s="18"/>
      <c r="V110" s="18"/>
      <c r="W110" s="18"/>
      <c r="X110" s="18"/>
      <c r="Y110" s="18"/>
      <c r="Z110" s="18"/>
    </row>
    <row r="111" customFormat="false" ht="13.8" hidden="false" customHeight="false" outlineLevel="0" collapsed="false">
      <c r="A111" s="12" t="s">
        <v>91</v>
      </c>
      <c r="B111" s="112" t="str">
        <f aca="false">VLOOKUP(A111,'imp-questions'!A:H,4,FALSE())</f>
        <v>Software Dependencies</v>
      </c>
      <c r="C111" s="113" t="n">
        <f aca="false">VLOOKUP(A111,'imp-questions'!A:H,5,FALSE())</f>
        <v>1</v>
      </c>
      <c r="D111" s="47" t="str">
        <f aca="false">VLOOKUP(A111,'imp-questions'!A:H,6,FALSE())</f>
        <v>Do you have solid knowledge about dependencies you're relying on?</v>
      </c>
      <c r="E111" s="48" t="str">
        <f aca="false">CHAR(65+VLOOKUP(A111,'imp-questions'!A:H,8,FALSE()))</f>
        <v>F</v>
      </c>
      <c r="F111" s="97"/>
      <c r="G111" s="63" t="n">
        <f aca="false">IFERROR(VLOOKUP(F111,AnsFTBL,2,FALSE()),0)</f>
        <v>0</v>
      </c>
      <c r="H111" s="64"/>
      <c r="I111" s="87"/>
      <c r="J111" s="66"/>
      <c r="K111" s="18"/>
      <c r="L111" s="54"/>
      <c r="M111" s="54"/>
      <c r="N111" s="54"/>
      <c r="O111" s="54"/>
      <c r="P111" s="54"/>
      <c r="Q111" s="18"/>
      <c r="R111" s="18"/>
      <c r="S111" s="18"/>
      <c r="T111" s="18"/>
      <c r="U111" s="18"/>
      <c r="V111" s="18"/>
      <c r="W111" s="18"/>
      <c r="X111" s="18"/>
      <c r="Y111" s="18"/>
      <c r="Z111" s="18"/>
    </row>
    <row r="112" customFormat="false" ht="35.2" hidden="false" customHeight="false" outlineLevel="0" collapsed="false">
      <c r="B112" s="112"/>
      <c r="C112" s="55"/>
      <c r="D112" s="72" t="str">
        <f aca="false">VLOOKUP(A111,'imp-questions'!A:H,7,FALSE())</f>
        <v>You have a current bill of materials (BOM) for every application
You can quickly find out which applications are affected by a particular CVE
You have analyzed, addressed, and documented findings from dependencies at least once in the last three months</v>
      </c>
      <c r="E112" s="57"/>
      <c r="F112" s="83"/>
      <c r="G112" s="84"/>
      <c r="H112" s="85"/>
      <c r="I112" s="87"/>
      <c r="J112" s="66"/>
      <c r="K112" s="18"/>
      <c r="L112" s="54"/>
      <c r="M112" s="54"/>
      <c r="N112" s="54"/>
      <c r="O112" s="54"/>
      <c r="P112" s="54"/>
      <c r="Q112" s="18"/>
      <c r="R112" s="18"/>
      <c r="S112" s="18"/>
      <c r="T112" s="18"/>
      <c r="U112" s="18"/>
      <c r="V112" s="18"/>
      <c r="W112" s="18"/>
      <c r="X112" s="18"/>
      <c r="Y112" s="18"/>
      <c r="Z112" s="18"/>
    </row>
    <row r="113" customFormat="false" ht="13.8" hidden="false" customHeight="false" outlineLevel="0" collapsed="false">
      <c r="A113" s="12" t="s">
        <v>92</v>
      </c>
      <c r="B113" s="112"/>
      <c r="C113" s="113" t="n">
        <f aca="false">VLOOKUP(A113,'imp-questions'!A:H,5,FALSE())</f>
        <v>2</v>
      </c>
      <c r="D113" s="47" t="str">
        <f aca="false">VLOOKUP(A113,'imp-questions'!A:H,6,FALSE())</f>
        <v>Do you handle 3rd party dependency risk by a formal process?</v>
      </c>
      <c r="E113" s="48" t="str">
        <f aca="false">CHAR(65+VLOOKUP(A113,'imp-questions'!A:H,8,FALSE()))</f>
        <v>F</v>
      </c>
      <c r="F113" s="97"/>
      <c r="G113" s="63" t="n">
        <f aca="false">IFERROR(VLOOKUP(F113,AnsFTBL,2,FALSE()),0)</f>
        <v>0</v>
      </c>
      <c r="H113" s="64"/>
      <c r="I113" s="87"/>
      <c r="J113" s="66"/>
      <c r="K113" s="18"/>
      <c r="L113" s="54"/>
      <c r="M113" s="54"/>
      <c r="N113" s="54"/>
      <c r="O113" s="54"/>
      <c r="P113" s="54"/>
      <c r="Q113" s="18"/>
      <c r="R113" s="18"/>
      <c r="S113" s="18"/>
      <c r="T113" s="18"/>
      <c r="U113" s="18"/>
      <c r="V113" s="18"/>
      <c r="W113" s="18"/>
      <c r="X113" s="18"/>
      <c r="Y113" s="18"/>
      <c r="Z113" s="18"/>
    </row>
    <row r="114" customFormat="false" ht="57.95" hidden="false" customHeight="false" outlineLevel="0" collapsed="false">
      <c r="B114" s="112"/>
      <c r="C114" s="55"/>
      <c r="D114" s="72" t="str">
        <f aca="false">VLOOKUP(A113,'imp-questions'!A:H,7,FALSE())</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57"/>
      <c r="F114" s="83"/>
      <c r="G114" s="84"/>
      <c r="H114" s="85"/>
      <c r="I114" s="87"/>
      <c r="J114" s="66"/>
      <c r="K114" s="18"/>
      <c r="L114" s="54"/>
      <c r="M114" s="54"/>
      <c r="N114" s="54"/>
      <c r="O114" s="54"/>
      <c r="P114" s="54"/>
      <c r="Q114" s="18"/>
      <c r="R114" s="18"/>
      <c r="S114" s="18"/>
      <c r="T114" s="18"/>
      <c r="U114" s="18"/>
      <c r="V114" s="18"/>
      <c r="W114" s="18"/>
      <c r="X114" s="18"/>
      <c r="Y114" s="18"/>
      <c r="Z114" s="18"/>
    </row>
    <row r="115" customFormat="false" ht="13.8" hidden="false" customHeight="false" outlineLevel="0" collapsed="false">
      <c r="A115" s="12" t="s">
        <v>93</v>
      </c>
      <c r="B115" s="112"/>
      <c r="C115" s="113" t="n">
        <f aca="false">VLOOKUP(A115,'imp-questions'!A:H,5,FALSE())</f>
        <v>3</v>
      </c>
      <c r="D115" s="47" t="str">
        <f aca="false">VLOOKUP(A115,'imp-questions'!A:H,6,FALSE())</f>
        <v>Do you prevent build of software if it's affected by vulnerabilities in dependencies?</v>
      </c>
      <c r="E115" s="48" t="str">
        <f aca="false">CHAR(65+VLOOKUP(A115,'imp-questions'!A:H,8,FALSE()))</f>
        <v>F</v>
      </c>
      <c r="F115" s="97"/>
      <c r="G115" s="63" t="n">
        <f aca="false">IFERROR(VLOOKUP(F115,AnsFTBL,2,FALSE()),0)</f>
        <v>0</v>
      </c>
      <c r="H115" s="64"/>
      <c r="I115" s="87"/>
      <c r="J115" s="66"/>
      <c r="K115" s="18"/>
      <c r="L115" s="54"/>
      <c r="M115" s="54"/>
      <c r="N115" s="54"/>
      <c r="O115" s="54"/>
      <c r="P115" s="54"/>
      <c r="Q115" s="18"/>
      <c r="R115" s="18"/>
      <c r="S115" s="18"/>
      <c r="T115" s="18"/>
      <c r="U115" s="18"/>
      <c r="V115" s="18"/>
      <c r="W115" s="18"/>
      <c r="X115" s="18"/>
      <c r="Y115" s="18"/>
      <c r="Z115" s="18"/>
    </row>
    <row r="116" customFormat="false" ht="57.95" hidden="false" customHeight="false" outlineLevel="0" collapsed="false">
      <c r="B116" s="112"/>
      <c r="C116" s="67"/>
      <c r="D116" s="56" t="str">
        <f aca="false">VLOOKUP(A115,'imp-questions'!A:H,7,FALSE())</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57"/>
      <c r="F116" s="83"/>
      <c r="G116" s="84"/>
      <c r="H116" s="85"/>
      <c r="I116" s="87"/>
      <c r="J116" s="66"/>
      <c r="K116" s="18"/>
      <c r="L116" s="54"/>
      <c r="M116" s="54"/>
      <c r="N116" s="54"/>
      <c r="O116" s="54"/>
      <c r="P116" s="54"/>
      <c r="Q116" s="18"/>
      <c r="R116" s="18"/>
      <c r="S116" s="18"/>
      <c r="T116" s="18"/>
      <c r="U116" s="18"/>
      <c r="V116" s="18"/>
      <c r="W116" s="18"/>
      <c r="X116" s="18"/>
      <c r="Y116" s="18"/>
      <c r="Z116" s="18"/>
    </row>
    <row r="117" customFormat="false" ht="13.5" hidden="false" customHeight="true" outlineLevel="0" collapsed="false">
      <c r="B117" s="115" t="s">
        <v>94</v>
      </c>
      <c r="C117" s="115"/>
      <c r="D117" s="115"/>
      <c r="E117" s="116"/>
      <c r="F117" s="115" t="s">
        <v>41</v>
      </c>
      <c r="G117" s="117"/>
      <c r="H117" s="118"/>
      <c r="I117" s="111" t="s">
        <v>42</v>
      </c>
      <c r="J117" s="111" t="s">
        <v>43</v>
      </c>
      <c r="K117" s="18"/>
      <c r="L117" s="54"/>
      <c r="M117" s="54"/>
      <c r="N117" s="54"/>
      <c r="O117" s="54"/>
      <c r="P117" s="54"/>
      <c r="Q117" s="18"/>
      <c r="R117" s="18"/>
      <c r="S117" s="18"/>
      <c r="T117" s="18"/>
      <c r="U117" s="18"/>
      <c r="V117" s="18"/>
      <c r="W117" s="18"/>
      <c r="X117" s="18"/>
      <c r="Y117" s="18"/>
      <c r="Z117" s="18"/>
    </row>
    <row r="118" customFormat="false" ht="13.5" hidden="false" customHeight="true" outlineLevel="0" collapsed="false">
      <c r="A118" s="12" t="s">
        <v>95</v>
      </c>
      <c r="B118" s="112" t="str">
        <f aca="false">VLOOKUP(A118,'imp-questions'!A:H,4,FALSE())</f>
        <v>Deployment Process</v>
      </c>
      <c r="C118" s="113" t="n">
        <f aca="false">VLOOKUP(A118,'imp-questions'!A:H,5,FALSE())</f>
        <v>1</v>
      </c>
      <c r="D118" s="47" t="str">
        <f aca="false">VLOOKUP(A118,'imp-questions'!A:H,6,FALSE())</f>
        <v>Do you use repeatable deployment processes?</v>
      </c>
      <c r="E118" s="48" t="str">
        <f aca="false">CHAR(65+VLOOKUP(A118,'imp-questions'!A:H,8,FALSE()))</f>
        <v>F</v>
      </c>
      <c r="F118" s="97"/>
      <c r="G118" s="63" t="n">
        <f aca="false">IFERROR(VLOOKUP(F118,AnsFTBL,2,FALSE()),0)</f>
        <v>0</v>
      </c>
      <c r="H118" s="51" t="n">
        <f aca="false">IFERROR(AVERAGE(G118,G125),0)</f>
        <v>0</v>
      </c>
      <c r="I118" s="87"/>
      <c r="J118" s="114" t="n">
        <f aca="false">SUM(H118,H120,H122)</f>
        <v>0</v>
      </c>
      <c r="K118" s="18"/>
      <c r="L118" s="54"/>
      <c r="M118" s="54"/>
      <c r="N118" s="54"/>
      <c r="O118" s="54"/>
      <c r="P118" s="54"/>
      <c r="Q118" s="18"/>
      <c r="R118" s="18"/>
      <c r="S118" s="18"/>
      <c r="T118" s="18"/>
      <c r="U118" s="18"/>
      <c r="V118" s="18"/>
      <c r="W118" s="18"/>
      <c r="X118" s="18"/>
      <c r="Y118" s="18"/>
      <c r="Z118" s="18"/>
    </row>
    <row r="119" customFormat="false" ht="57.95" hidden="false" customHeight="false" outlineLevel="0" collapsed="false">
      <c r="B119" s="112"/>
      <c r="C119" s="55"/>
      <c r="D119" s="72" t="str">
        <f aca="false">VLOOKUP(A118,'imp-questions'!A:H,7,FALSE())</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57"/>
      <c r="F119" s="83"/>
      <c r="G119" s="84"/>
      <c r="H119" s="60"/>
      <c r="I119" s="87"/>
      <c r="J119" s="114"/>
      <c r="K119" s="18"/>
      <c r="L119" s="54"/>
      <c r="M119" s="54"/>
      <c r="N119" s="54"/>
      <c r="O119" s="54"/>
      <c r="P119" s="54"/>
      <c r="Q119" s="18"/>
      <c r="R119" s="18"/>
      <c r="S119" s="18"/>
      <c r="T119" s="18"/>
      <c r="U119" s="18"/>
      <c r="V119" s="18"/>
      <c r="W119" s="18"/>
      <c r="X119" s="18"/>
      <c r="Y119" s="18"/>
      <c r="Z119" s="18"/>
    </row>
    <row r="120" customFormat="false" ht="13.8" hidden="false" customHeight="false" outlineLevel="0" collapsed="false">
      <c r="A120" s="12" t="s">
        <v>96</v>
      </c>
      <c r="B120" s="112"/>
      <c r="C120" s="113" t="n">
        <f aca="false">VLOOKUP(A120,'imp-questions'!A:H,5,FALSE())</f>
        <v>2</v>
      </c>
      <c r="D120" s="47" t="str">
        <f aca="false">VLOOKUP(A120,'imp-questions'!A:H,6,FALSE())</f>
        <v>Are deployment processes automated and employing security checks?</v>
      </c>
      <c r="E120" s="48" t="str">
        <f aca="false">CHAR(65+VLOOKUP(A120,'imp-questions'!A:H,8,FALSE()))</f>
        <v>F</v>
      </c>
      <c r="F120" s="97"/>
      <c r="G120" s="63" t="n">
        <f aca="false">IFERROR(VLOOKUP(F120,AnsFTBL,2,FALSE()),0)</f>
        <v>0</v>
      </c>
      <c r="H120" s="51" t="n">
        <f aca="false">IFERROR(AVERAGE(G120,G127),0)</f>
        <v>0</v>
      </c>
      <c r="I120" s="88"/>
      <c r="J120" s="17"/>
      <c r="K120" s="18"/>
      <c r="L120" s="54"/>
      <c r="M120" s="54"/>
      <c r="N120" s="54"/>
      <c r="O120" s="54"/>
      <c r="P120" s="54"/>
      <c r="Q120" s="18"/>
      <c r="R120" s="18"/>
      <c r="S120" s="18"/>
      <c r="T120" s="18"/>
      <c r="U120" s="18"/>
      <c r="V120" s="18"/>
      <c r="W120" s="18"/>
      <c r="X120" s="18"/>
      <c r="Y120" s="18"/>
      <c r="Z120" s="18"/>
    </row>
    <row r="121" customFormat="false" ht="46.55" hidden="false" customHeight="false" outlineLevel="0" collapsed="false">
      <c r="B121" s="112"/>
      <c r="C121" s="55"/>
      <c r="D121" s="72" t="str">
        <f aca="false">VLOOKUP(A120,'imp-questions'!A:H,7,FALSE())</f>
        <v>Deployment processes are automated on all stages
Deployment includes automated security testing procedures
You alert responsible staff to identified vulnerabilities
You have logs available for your past deployments for a defined period of time</v>
      </c>
      <c r="E121" s="57"/>
      <c r="F121" s="83"/>
      <c r="G121" s="84"/>
      <c r="H121" s="60"/>
      <c r="I121" s="88"/>
      <c r="J121" s="17"/>
      <c r="K121" s="18"/>
      <c r="L121" s="54"/>
      <c r="M121" s="54"/>
      <c r="N121" s="54"/>
      <c r="O121" s="54"/>
      <c r="P121" s="54"/>
      <c r="Q121" s="18"/>
      <c r="R121" s="18"/>
      <c r="S121" s="18"/>
      <c r="T121" s="18"/>
      <c r="U121" s="18"/>
      <c r="V121" s="18"/>
      <c r="W121" s="18"/>
      <c r="X121" s="18"/>
      <c r="Y121" s="18"/>
      <c r="Z121" s="18"/>
    </row>
    <row r="122" customFormat="false" ht="13.8" hidden="false" customHeight="false" outlineLevel="0" collapsed="false">
      <c r="A122" s="12" t="s">
        <v>97</v>
      </c>
      <c r="B122" s="112"/>
      <c r="C122" s="113" t="n">
        <f aca="false">VLOOKUP(A122,'imp-questions'!A:H,5,FALSE())</f>
        <v>3</v>
      </c>
      <c r="D122" s="47" t="str">
        <f aca="false">VLOOKUP(A122,'imp-questions'!A:H,6,FALSE())</f>
        <v>Do you consistently validate the integrity of deployed artifacts?</v>
      </c>
      <c r="E122" s="48" t="str">
        <f aca="false">CHAR(65+VLOOKUP(A122,'imp-questions'!A:H,8,FALSE()))</f>
        <v>F</v>
      </c>
      <c r="F122" s="97"/>
      <c r="G122" s="63" t="n">
        <f aca="false">IFERROR(VLOOKUP(F122,AnsFTBL,2,FALSE()),0)</f>
        <v>0</v>
      </c>
      <c r="H122" s="51" t="n">
        <f aca="false">IFERROR(AVERAGE(G122,G129),0)</f>
        <v>0</v>
      </c>
      <c r="I122" s="89"/>
      <c r="J122" s="17"/>
      <c r="K122" s="18"/>
      <c r="L122" s="54"/>
      <c r="M122" s="54"/>
      <c r="N122" s="54"/>
      <c r="O122" s="54"/>
      <c r="P122" s="54"/>
      <c r="Q122" s="18"/>
      <c r="R122" s="18"/>
      <c r="S122" s="18"/>
      <c r="T122" s="18"/>
      <c r="U122" s="18"/>
      <c r="V122" s="18"/>
      <c r="W122" s="18"/>
      <c r="X122" s="18"/>
      <c r="Y122" s="18"/>
      <c r="Z122" s="18"/>
    </row>
    <row r="123" customFormat="false" ht="35.2" hidden="false" customHeight="false" outlineLevel="0" collapsed="false">
      <c r="B123" s="112"/>
      <c r="C123" s="67"/>
      <c r="D123" s="56" t="str">
        <f aca="false">VLOOKUP(A122,'imp-questions'!A:H,7,FALSE())</f>
        <v>You prevent or roll back deployment if you detect an integrity breach
The verification is done against signatures created during the build time
If checking of signatures is not possible (e.g. externally build software), you introduce compensating measures</v>
      </c>
      <c r="E123" s="57"/>
      <c r="F123" s="83"/>
      <c r="G123" s="84"/>
      <c r="H123" s="60"/>
      <c r="I123" s="89"/>
      <c r="J123" s="17"/>
      <c r="K123" s="18"/>
      <c r="L123" s="54"/>
      <c r="M123" s="54"/>
      <c r="N123" s="54"/>
      <c r="O123" s="54"/>
      <c r="P123" s="54"/>
      <c r="Q123" s="18"/>
      <c r="R123" s="18"/>
      <c r="S123" s="18"/>
      <c r="T123" s="18"/>
      <c r="U123" s="18"/>
      <c r="V123" s="18"/>
      <c r="W123" s="18"/>
      <c r="X123" s="18"/>
      <c r="Y123" s="18"/>
      <c r="Z123" s="18"/>
    </row>
    <row r="124" customFormat="false" ht="13.8" hidden="false" customHeight="false" outlineLevel="0" collapsed="false">
      <c r="B124" s="69"/>
      <c r="C124" s="70"/>
      <c r="D124" s="70"/>
      <c r="E124" s="70"/>
      <c r="F124" s="70"/>
      <c r="G124" s="70"/>
      <c r="H124" s="70"/>
      <c r="I124" s="71"/>
      <c r="J124" s="66"/>
      <c r="K124" s="18"/>
      <c r="L124" s="54"/>
      <c r="M124" s="54"/>
      <c r="N124" s="54"/>
      <c r="O124" s="54"/>
      <c r="P124" s="54"/>
      <c r="Q124" s="18"/>
      <c r="R124" s="18"/>
      <c r="S124" s="18"/>
      <c r="T124" s="18"/>
      <c r="U124" s="18"/>
      <c r="V124" s="18"/>
      <c r="W124" s="18"/>
      <c r="X124" s="18"/>
      <c r="Y124" s="18"/>
      <c r="Z124" s="18"/>
    </row>
    <row r="125" customFormat="false" ht="13.8" hidden="false" customHeight="false" outlineLevel="0" collapsed="false">
      <c r="A125" s="12" t="s">
        <v>98</v>
      </c>
      <c r="B125" s="112" t="str">
        <f aca="false">VLOOKUP(A125,'imp-questions'!A:H,4,FALSE())</f>
        <v>Secret Management</v>
      </c>
      <c r="C125" s="113" t="n">
        <f aca="false">VLOOKUP(A125,'imp-questions'!A:H,5,FALSE())</f>
        <v>1</v>
      </c>
      <c r="D125" s="47" t="str">
        <f aca="false">VLOOKUP(A125,'imp-questions'!A:H,6,FALSE())</f>
        <v>Do you limit access to application secrets according to the least privilege principle?</v>
      </c>
      <c r="E125" s="48" t="str">
        <f aca="false">CHAR(65+VLOOKUP(A125,'imp-questions'!A:H,8,FALSE()))</f>
        <v>F</v>
      </c>
      <c r="F125" s="97"/>
      <c r="G125" s="63" t="n">
        <f aca="false">IFERROR(VLOOKUP(F125,AnsFTBL,2,FALSE()),0)</f>
        <v>0</v>
      </c>
      <c r="H125" s="64"/>
      <c r="I125" s="87"/>
      <c r="J125" s="66"/>
      <c r="K125" s="18"/>
      <c r="L125" s="54"/>
      <c r="M125" s="54"/>
      <c r="N125" s="54"/>
      <c r="O125" s="54"/>
      <c r="P125" s="54"/>
      <c r="Q125" s="18"/>
      <c r="R125" s="18"/>
      <c r="S125" s="18"/>
      <c r="T125" s="18"/>
      <c r="U125" s="18"/>
      <c r="V125" s="18"/>
      <c r="W125" s="18"/>
      <c r="X125" s="18"/>
      <c r="Y125" s="18"/>
      <c r="Z125" s="18"/>
    </row>
    <row r="126" customFormat="false" ht="35.2" hidden="false" customHeight="false" outlineLevel="0" collapsed="false">
      <c r="B126" s="112"/>
      <c r="C126" s="55"/>
      <c r="D126" s="72" t="str">
        <f aca="false">VLOOKUP(A125,'imp-questions'!A:H,7,FALSE())</f>
        <v>You store production secrets protected in a secured location
Developers do not have access to production secrets
Production secrets are not available in non-production environments</v>
      </c>
      <c r="E126" s="57"/>
      <c r="F126" s="83"/>
      <c r="G126" s="84"/>
      <c r="H126" s="85"/>
      <c r="I126" s="87"/>
      <c r="J126" s="66"/>
      <c r="K126" s="18"/>
      <c r="L126" s="54"/>
      <c r="M126" s="54"/>
      <c r="N126" s="54"/>
      <c r="O126" s="54"/>
      <c r="P126" s="54"/>
      <c r="Q126" s="18"/>
      <c r="R126" s="18"/>
      <c r="S126" s="18"/>
      <c r="T126" s="18"/>
      <c r="U126" s="18"/>
      <c r="V126" s="18"/>
      <c r="W126" s="18"/>
      <c r="X126" s="18"/>
      <c r="Y126" s="18"/>
      <c r="Z126" s="18"/>
    </row>
    <row r="127" customFormat="false" ht="13.8" hidden="false" customHeight="false" outlineLevel="0" collapsed="false">
      <c r="A127" s="12" t="s">
        <v>99</v>
      </c>
      <c r="B127" s="112"/>
      <c r="C127" s="113" t="n">
        <f aca="false">VLOOKUP(A127,'imp-questions'!A:H,5,FALSE())</f>
        <v>2</v>
      </c>
      <c r="D127" s="47" t="str">
        <f aca="false">VLOOKUP(A127,'imp-questions'!A:H,6,FALSE())</f>
        <v>Do you inject production secrets into configuration files during deployment?</v>
      </c>
      <c r="E127" s="48" t="str">
        <f aca="false">CHAR(65+VLOOKUP(A127,'imp-questions'!A:H,8,FALSE()))</f>
        <v>F</v>
      </c>
      <c r="F127" s="97"/>
      <c r="G127" s="63" t="n">
        <f aca="false">IFERROR(VLOOKUP(F127,AnsFTBL,2,FALSE()),0)</f>
        <v>0</v>
      </c>
      <c r="H127" s="64"/>
      <c r="I127" s="87"/>
      <c r="J127" s="66"/>
      <c r="K127" s="18"/>
      <c r="L127" s="54"/>
      <c r="M127" s="54"/>
      <c r="N127" s="54"/>
      <c r="O127" s="54"/>
      <c r="P127" s="54"/>
      <c r="Q127" s="18"/>
      <c r="R127" s="18"/>
      <c r="S127" s="18"/>
      <c r="T127" s="18"/>
      <c r="U127" s="18"/>
      <c r="V127" s="18"/>
      <c r="W127" s="18"/>
      <c r="X127" s="18"/>
      <c r="Y127" s="18"/>
      <c r="Z127" s="18"/>
    </row>
    <row r="128" customFormat="false" ht="35.2" hidden="false" customHeight="false" outlineLevel="0" collapsed="false">
      <c r="B128" s="112"/>
      <c r="C128" s="55"/>
      <c r="D128" s="72" t="str">
        <f aca="false">VLOOKUP(A127,'imp-questions'!A:H,7,FALSE())</f>
        <v>Source code files no longer contain active application secrets
Under normal circumstances, no humans access secrets during deployment procedures
You log and alert to any abnormal access to secrets</v>
      </c>
      <c r="E128" s="57"/>
      <c r="F128" s="83"/>
      <c r="G128" s="84"/>
      <c r="H128" s="85"/>
      <c r="I128" s="87"/>
      <c r="J128" s="66"/>
      <c r="K128" s="18"/>
      <c r="L128" s="54"/>
      <c r="M128" s="54"/>
      <c r="N128" s="54"/>
      <c r="O128" s="54"/>
      <c r="P128" s="54"/>
      <c r="Q128" s="18"/>
      <c r="R128" s="18"/>
      <c r="S128" s="18"/>
      <c r="T128" s="18"/>
      <c r="U128" s="18"/>
      <c r="V128" s="18"/>
      <c r="W128" s="18"/>
      <c r="X128" s="18"/>
      <c r="Y128" s="18"/>
      <c r="Z128" s="18"/>
    </row>
    <row r="129" customFormat="false" ht="13.8" hidden="false" customHeight="false" outlineLevel="0" collapsed="false">
      <c r="A129" s="12" t="s">
        <v>100</v>
      </c>
      <c r="B129" s="112"/>
      <c r="C129" s="113" t="n">
        <f aca="false">VLOOKUP(A129,'imp-questions'!A:H,5,FALSE())</f>
        <v>3</v>
      </c>
      <c r="D129" s="47" t="str">
        <f aca="false">VLOOKUP(A129,'imp-questions'!A:H,6,FALSE())</f>
        <v>Do you practice proper lifecycle management for application secrets?</v>
      </c>
      <c r="E129" s="48" t="str">
        <f aca="false">CHAR(65+VLOOKUP(A129,'imp-questions'!A:H,8,FALSE()))</f>
        <v>F</v>
      </c>
      <c r="F129" s="97"/>
      <c r="G129" s="63" t="n">
        <f aca="false">IFERROR(VLOOKUP(F129,AnsFTBL,2,FALSE()),0)</f>
        <v>0</v>
      </c>
      <c r="H129" s="64"/>
      <c r="I129" s="87"/>
      <c r="J129" s="66"/>
      <c r="K129" s="18"/>
      <c r="L129" s="54"/>
      <c r="M129" s="54"/>
      <c r="N129" s="54"/>
      <c r="O129" s="54"/>
      <c r="P129" s="54"/>
      <c r="Q129" s="18"/>
      <c r="R129" s="18"/>
      <c r="S129" s="18"/>
      <c r="T129" s="18"/>
      <c r="U129" s="18"/>
      <c r="V129" s="18"/>
      <c r="W129" s="18"/>
      <c r="X129" s="18"/>
      <c r="Y129" s="18"/>
      <c r="Z129" s="18"/>
    </row>
    <row r="130" customFormat="false" ht="35.2" hidden="false" customHeight="false" outlineLevel="0" collapsed="false">
      <c r="B130" s="112"/>
      <c r="C130" s="67"/>
      <c r="D130" s="56" t="str">
        <f aca="false">VLOOKUP(A129,'imp-questions'!A:H,7,FALSE())</f>
        <v>You generate and synchronize secrets using a vetted solution
Secrets are different between different application instances
Secrets are regularly updated</v>
      </c>
      <c r="E130" s="57"/>
      <c r="F130" s="83"/>
      <c r="G130" s="84"/>
      <c r="H130" s="85"/>
      <c r="I130" s="87"/>
      <c r="J130" s="66"/>
      <c r="K130" s="18"/>
      <c r="L130" s="54"/>
      <c r="M130" s="54"/>
      <c r="N130" s="54"/>
      <c r="O130" s="54"/>
      <c r="P130" s="54"/>
      <c r="Q130" s="18"/>
      <c r="R130" s="18"/>
      <c r="S130" s="18"/>
      <c r="T130" s="18"/>
      <c r="U130" s="18"/>
      <c r="V130" s="18"/>
      <c r="W130" s="18"/>
      <c r="X130" s="18"/>
      <c r="Y130" s="18"/>
      <c r="Z130" s="18"/>
    </row>
    <row r="131" customFormat="false" ht="13.5" hidden="false" customHeight="true" outlineLevel="0" collapsed="false">
      <c r="B131" s="115" t="s">
        <v>101</v>
      </c>
      <c r="C131" s="115"/>
      <c r="D131" s="115"/>
      <c r="E131" s="116"/>
      <c r="F131" s="115" t="s">
        <v>41</v>
      </c>
      <c r="G131" s="117"/>
      <c r="H131" s="118"/>
      <c r="I131" s="111" t="s">
        <v>42</v>
      </c>
      <c r="J131" s="111" t="s">
        <v>43</v>
      </c>
      <c r="K131" s="18"/>
      <c r="L131" s="54"/>
      <c r="M131" s="54"/>
      <c r="N131" s="54"/>
      <c r="O131" s="54"/>
      <c r="P131" s="54"/>
      <c r="Q131" s="18"/>
      <c r="R131" s="18"/>
      <c r="S131" s="18"/>
      <c r="T131" s="18"/>
      <c r="U131" s="18"/>
      <c r="V131" s="18"/>
      <c r="W131" s="18"/>
      <c r="X131" s="18"/>
      <c r="Y131" s="18"/>
      <c r="Z131" s="18"/>
    </row>
    <row r="132" customFormat="false" ht="13.5" hidden="false" customHeight="true" outlineLevel="0" collapsed="false">
      <c r="A132" s="12" t="s">
        <v>102</v>
      </c>
      <c r="B132" s="112" t="str">
        <f aca="false">VLOOKUP(A132,'imp-questions'!A:H,4,FALSE())</f>
        <v>Defect Tracking</v>
      </c>
      <c r="C132" s="113" t="n">
        <f aca="false">VLOOKUP(A132,'imp-questions'!A:H,5,FALSE())</f>
        <v>1</v>
      </c>
      <c r="D132" s="47" t="str">
        <f aca="false">VLOOKUP(A132,'imp-questions'!A:H,6,FALSE())</f>
        <v>Do you track all known security defects in accessible locations?</v>
      </c>
      <c r="E132" s="48" t="str">
        <f aca="false">CHAR(65+VLOOKUP(A132,'imp-questions'!A:H,8,FALSE()))</f>
        <v>F</v>
      </c>
      <c r="F132" s="97"/>
      <c r="G132" s="63" t="n">
        <f aca="false">IFERROR(VLOOKUP(F132,AnsFTBL,2,FALSE()),0)</f>
        <v>0</v>
      </c>
      <c r="H132" s="51" t="n">
        <f aca="false">IFERROR(AVERAGE(G132,G139),0)</f>
        <v>0</v>
      </c>
      <c r="I132" s="87"/>
      <c r="J132" s="114" t="n">
        <f aca="false">SUM(H132,H134,H136)</f>
        <v>0</v>
      </c>
      <c r="K132" s="18"/>
      <c r="L132" s="54"/>
      <c r="M132" s="54"/>
      <c r="N132" s="54"/>
      <c r="O132" s="54"/>
      <c r="P132" s="54"/>
      <c r="Q132" s="18"/>
      <c r="R132" s="18"/>
      <c r="S132" s="18"/>
      <c r="T132" s="18"/>
      <c r="U132" s="18"/>
      <c r="V132" s="18"/>
      <c r="W132" s="18"/>
      <c r="X132" s="18"/>
      <c r="Y132" s="18"/>
      <c r="Z132" s="18"/>
    </row>
    <row r="133" customFormat="false" ht="46.55" hidden="false" customHeight="false" outlineLevel="0" collapsed="false">
      <c r="B133" s="112"/>
      <c r="C133" s="55"/>
      <c r="D133" s="72" t="str">
        <f aca="false">VLOOKUP(A132,'imp-questions'!A:H,7,FALSE())</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57"/>
      <c r="F133" s="83"/>
      <c r="G133" s="84"/>
      <c r="H133" s="60"/>
      <c r="I133" s="87"/>
      <c r="J133" s="114"/>
      <c r="K133" s="18"/>
      <c r="L133" s="54"/>
      <c r="M133" s="54"/>
      <c r="N133" s="54"/>
      <c r="O133" s="54"/>
      <c r="P133" s="54"/>
      <c r="Q133" s="18"/>
      <c r="R133" s="18"/>
      <c r="S133" s="18"/>
      <c r="T133" s="18"/>
      <c r="U133" s="18"/>
      <c r="V133" s="18"/>
      <c r="W133" s="18"/>
      <c r="X133" s="18"/>
      <c r="Y133" s="18"/>
      <c r="Z133" s="18"/>
    </row>
    <row r="134" customFormat="false" ht="13.8" hidden="false" customHeight="false" outlineLevel="0" collapsed="false">
      <c r="A134" s="12" t="s">
        <v>103</v>
      </c>
      <c r="B134" s="112"/>
      <c r="C134" s="113" t="n">
        <f aca="false">VLOOKUP(A134,'imp-questions'!A:H,5,FALSE())</f>
        <v>2</v>
      </c>
      <c r="D134" s="47" t="str">
        <f aca="false">VLOOKUP(A134,'imp-questions'!A:H,6,FALSE())</f>
        <v>Do you keep an overview of the state of security defects across the organization?</v>
      </c>
      <c r="E134" s="48" t="str">
        <f aca="false">CHAR(65+VLOOKUP(A134,'imp-questions'!A:H,8,FALSE()))</f>
        <v>F</v>
      </c>
      <c r="F134" s="97"/>
      <c r="G134" s="63" t="n">
        <f aca="false">IFERROR(VLOOKUP(F134,AnsFTBL,2,FALSE()),0)</f>
        <v>0</v>
      </c>
      <c r="H134" s="51" t="n">
        <f aca="false">IFERROR(AVERAGE(G134,G141),0)</f>
        <v>0</v>
      </c>
      <c r="I134" s="88"/>
      <c r="J134" s="17"/>
      <c r="K134" s="18"/>
      <c r="L134" s="54"/>
      <c r="M134" s="54"/>
      <c r="N134" s="54"/>
      <c r="O134" s="54"/>
      <c r="P134" s="54"/>
      <c r="Q134" s="18"/>
      <c r="R134" s="18"/>
      <c r="S134" s="18"/>
      <c r="T134" s="18"/>
      <c r="U134" s="18"/>
      <c r="V134" s="18"/>
      <c r="W134" s="18"/>
      <c r="X134" s="18"/>
      <c r="Y134" s="18"/>
      <c r="Z134" s="18"/>
    </row>
    <row r="135" customFormat="false" ht="35.2" hidden="false" customHeight="false" outlineLevel="0" collapsed="false">
      <c r="B135" s="112"/>
      <c r="C135" s="55"/>
      <c r="D135" s="72" t="str">
        <f aca="false">VLOOKUP(A134,'imp-questions'!A:H,7,FALSE())</f>
        <v>A single severity scheme is applied to all defects across the organization
The scheme includes SLAs for fixing particular severity classes
You regularly report compliance to SLAs</v>
      </c>
      <c r="E135" s="57"/>
      <c r="F135" s="83"/>
      <c r="G135" s="84"/>
      <c r="H135" s="60"/>
      <c r="I135" s="88"/>
      <c r="J135" s="17"/>
      <c r="K135" s="18"/>
      <c r="L135" s="54"/>
      <c r="M135" s="54"/>
      <c r="N135" s="54"/>
      <c r="O135" s="54"/>
      <c r="P135" s="54"/>
      <c r="Q135" s="18"/>
      <c r="R135" s="18"/>
      <c r="S135" s="18"/>
      <c r="T135" s="18"/>
      <c r="U135" s="18"/>
      <c r="V135" s="18"/>
      <c r="W135" s="18"/>
      <c r="X135" s="18"/>
      <c r="Y135" s="18"/>
      <c r="Z135" s="18"/>
    </row>
    <row r="136" customFormat="false" ht="13.8" hidden="false" customHeight="false" outlineLevel="0" collapsed="false">
      <c r="A136" s="12" t="s">
        <v>104</v>
      </c>
      <c r="B136" s="112"/>
      <c r="C136" s="113" t="n">
        <f aca="false">VLOOKUP(A136,'imp-questions'!A:H,5,FALSE())</f>
        <v>3</v>
      </c>
      <c r="D136" s="47" t="str">
        <f aca="false">VLOOKUP(A136,'imp-questions'!A:H,6,FALSE())</f>
        <v>Do you enforce SLAs for fixing security defects?</v>
      </c>
      <c r="E136" s="48" t="str">
        <f aca="false">CHAR(65+VLOOKUP(A136,'imp-questions'!A:H,8,FALSE()))</f>
        <v>F</v>
      </c>
      <c r="F136" s="97"/>
      <c r="G136" s="63" t="n">
        <f aca="false">IFERROR(VLOOKUP(F136,AnsFTBL,2,FALSE()),0)</f>
        <v>0</v>
      </c>
      <c r="H136" s="51" t="n">
        <f aca="false">IFERROR(AVERAGE(G136,G143),0)</f>
        <v>0</v>
      </c>
      <c r="I136" s="89"/>
      <c r="J136" s="17"/>
      <c r="K136" s="18"/>
      <c r="L136" s="54"/>
      <c r="M136" s="54"/>
      <c r="N136" s="54"/>
      <c r="O136" s="54"/>
      <c r="P136" s="54"/>
      <c r="Q136" s="18"/>
      <c r="R136" s="18"/>
      <c r="S136" s="18"/>
      <c r="T136" s="18"/>
      <c r="U136" s="18"/>
      <c r="V136" s="18"/>
      <c r="W136" s="18"/>
      <c r="X136" s="18"/>
      <c r="Y136" s="18"/>
      <c r="Z136" s="18"/>
    </row>
    <row r="137" customFormat="false" ht="23.85" hidden="false" customHeight="false" outlineLevel="0" collapsed="false">
      <c r="B137" s="112"/>
      <c r="C137" s="67"/>
      <c r="D137" s="56" t="str">
        <f aca="false">VLOOKUP(A136,'imp-questions'!A:H,7,FALSE())</f>
        <v>You automatically alert of SLA breaches and transfer respective defects to the risk management process
You integrate relevant tooling (e.g. monitoring, build, deployment) with the defect management system</v>
      </c>
      <c r="E137" s="57"/>
      <c r="F137" s="83"/>
      <c r="G137" s="84"/>
      <c r="H137" s="60"/>
      <c r="I137" s="89"/>
      <c r="J137" s="17"/>
      <c r="K137" s="18"/>
      <c r="L137" s="54"/>
      <c r="M137" s="54"/>
      <c r="N137" s="54"/>
      <c r="O137" s="54"/>
      <c r="P137" s="54"/>
      <c r="Q137" s="18"/>
      <c r="R137" s="18"/>
      <c r="S137" s="18"/>
      <c r="T137" s="18"/>
      <c r="U137" s="18"/>
      <c r="V137" s="18"/>
      <c r="W137" s="18"/>
      <c r="X137" s="18"/>
      <c r="Y137" s="18"/>
      <c r="Z137" s="18"/>
    </row>
    <row r="138" customFormat="false" ht="13.8" hidden="false" customHeight="false" outlineLevel="0" collapsed="false">
      <c r="B138" s="69"/>
      <c r="C138" s="70"/>
      <c r="D138" s="70"/>
      <c r="E138" s="70"/>
      <c r="F138" s="70"/>
      <c r="G138" s="70"/>
      <c r="H138" s="70"/>
      <c r="I138" s="71"/>
      <c r="J138" s="66"/>
      <c r="K138" s="18"/>
      <c r="L138" s="54"/>
      <c r="M138" s="54"/>
      <c r="N138" s="54"/>
      <c r="O138" s="54"/>
      <c r="P138" s="54"/>
      <c r="Q138" s="18"/>
      <c r="R138" s="18"/>
      <c r="S138" s="18"/>
      <c r="T138" s="18"/>
      <c r="U138" s="18"/>
      <c r="V138" s="18"/>
      <c r="W138" s="18"/>
      <c r="X138" s="18"/>
      <c r="Y138" s="18"/>
      <c r="Z138" s="18"/>
    </row>
    <row r="139" customFormat="false" ht="13.8" hidden="false" customHeight="false" outlineLevel="0" collapsed="false">
      <c r="A139" s="12" t="s">
        <v>105</v>
      </c>
      <c r="B139" s="112" t="str">
        <f aca="false">VLOOKUP(A139,'imp-questions'!A:H,4,FALSE())</f>
        <v>Metrics and Feedback</v>
      </c>
      <c r="C139" s="113" t="n">
        <f aca="false">VLOOKUP(A139,'imp-questions'!A:H,5,FALSE())</f>
        <v>1</v>
      </c>
      <c r="D139" s="47" t="str">
        <f aca="false">VLOOKUP(A139,'imp-questions'!A:H,6,FALSE())</f>
        <v>Do you use basic metrics about recorded security defects to carry out quick win improvement activities?</v>
      </c>
      <c r="E139" s="48" t="str">
        <f aca="false">CHAR(65+VLOOKUP(A139,'imp-questions'!A:H,8,FALSE()))</f>
        <v>F</v>
      </c>
      <c r="F139" s="97"/>
      <c r="G139" s="63" t="n">
        <f aca="false">IFERROR(VLOOKUP(F139,AnsFTBL,2,FALSE()),0)</f>
        <v>0</v>
      </c>
      <c r="H139" s="64"/>
      <c r="I139" s="87"/>
      <c r="J139" s="66"/>
      <c r="K139" s="18"/>
      <c r="L139" s="54"/>
      <c r="M139" s="54"/>
      <c r="N139" s="54"/>
      <c r="O139" s="54"/>
      <c r="P139" s="54"/>
      <c r="Q139" s="18"/>
      <c r="R139" s="18"/>
      <c r="S139" s="18"/>
      <c r="T139" s="18"/>
      <c r="U139" s="18"/>
      <c r="V139" s="18"/>
      <c r="W139" s="18"/>
      <c r="X139" s="18"/>
      <c r="Y139" s="18"/>
      <c r="Z139" s="18"/>
    </row>
    <row r="140" customFormat="false" ht="35.2" hidden="false" customHeight="false" outlineLevel="0" collapsed="false">
      <c r="B140" s="112"/>
      <c r="C140" s="55"/>
      <c r="D140" s="72" t="str">
        <f aca="false">VLOOKUP(A139,'imp-questions'!A:H,7,FALSE())</f>
        <v>You analyzed your recorded metrics at least once in the last year
At least basic information about this initiative is recorded and available
You have identified and carried out at least one quick win activity based on the data</v>
      </c>
      <c r="E140" s="57"/>
      <c r="F140" s="83"/>
      <c r="G140" s="84"/>
      <c r="H140" s="85"/>
      <c r="I140" s="87"/>
      <c r="J140" s="66"/>
      <c r="K140" s="18"/>
      <c r="L140" s="54"/>
      <c r="M140" s="54"/>
      <c r="N140" s="54"/>
      <c r="O140" s="54"/>
      <c r="P140" s="54"/>
      <c r="Q140" s="18"/>
      <c r="R140" s="18"/>
      <c r="S140" s="18"/>
      <c r="T140" s="18"/>
      <c r="U140" s="18"/>
      <c r="V140" s="18"/>
      <c r="W140" s="18"/>
      <c r="X140" s="18"/>
      <c r="Y140" s="18"/>
      <c r="Z140" s="18"/>
    </row>
    <row r="141" customFormat="false" ht="13.8" hidden="false" customHeight="false" outlineLevel="0" collapsed="false">
      <c r="A141" s="12" t="s">
        <v>106</v>
      </c>
      <c r="B141" s="112"/>
      <c r="C141" s="113" t="n">
        <f aca="false">VLOOKUP(A141,'imp-questions'!A:H,5,FALSE())</f>
        <v>2</v>
      </c>
      <c r="D141" s="47" t="str">
        <f aca="false">VLOOKUP(A141,'imp-questions'!A:H,6,FALSE())</f>
        <v>Do you improve your security assurance program upon standardized metrics?</v>
      </c>
      <c r="E141" s="48" t="str">
        <f aca="false">CHAR(65+VLOOKUP(A141,'imp-questions'!A:H,8,FALSE()))</f>
        <v>F</v>
      </c>
      <c r="F141" s="97"/>
      <c r="G141" s="63" t="n">
        <f aca="false">IFERROR(VLOOKUP(F141,AnsFTBL,2,FALSE()),0)</f>
        <v>0</v>
      </c>
      <c r="H141" s="64"/>
      <c r="I141" s="87"/>
      <c r="J141" s="66"/>
      <c r="K141" s="18"/>
      <c r="L141" s="54"/>
      <c r="M141" s="54"/>
      <c r="N141" s="54"/>
      <c r="O141" s="54"/>
      <c r="P141" s="54"/>
      <c r="Q141" s="18"/>
      <c r="R141" s="18"/>
      <c r="S141" s="18"/>
      <c r="T141" s="18"/>
      <c r="U141" s="18"/>
      <c r="V141" s="18"/>
      <c r="W141" s="18"/>
      <c r="X141" s="18"/>
      <c r="Y141" s="18"/>
      <c r="Z141" s="18"/>
    </row>
    <row r="142" customFormat="false" ht="35.2" hidden="false" customHeight="false" outlineLevel="0" collapsed="false">
      <c r="B142" s="112"/>
      <c r="C142" s="55"/>
      <c r="D142" s="72" t="str">
        <f aca="false">VLOOKUP(A141,'imp-questions'!A:H,7,FALSE())</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57"/>
      <c r="F142" s="83"/>
      <c r="G142" s="84"/>
      <c r="H142" s="85"/>
      <c r="I142" s="87"/>
      <c r="J142" s="66"/>
      <c r="K142" s="18"/>
      <c r="L142" s="54"/>
      <c r="M142" s="54"/>
      <c r="N142" s="54"/>
      <c r="O142" s="54"/>
      <c r="P142" s="54"/>
      <c r="Q142" s="18"/>
      <c r="R142" s="18"/>
      <c r="S142" s="18"/>
      <c r="T142" s="18"/>
      <c r="U142" s="18"/>
      <c r="V142" s="18"/>
      <c r="W142" s="18"/>
      <c r="X142" s="18"/>
      <c r="Y142" s="18"/>
      <c r="Z142" s="18"/>
    </row>
    <row r="143" customFormat="false" ht="13.8" hidden="false" customHeight="false" outlineLevel="0" collapsed="false">
      <c r="A143" s="12" t="s">
        <v>107</v>
      </c>
      <c r="B143" s="112"/>
      <c r="C143" s="113" t="n">
        <f aca="false">VLOOKUP(A143,'imp-questions'!A:H,5,FALSE())</f>
        <v>3</v>
      </c>
      <c r="D143" s="47" t="str">
        <f aca="false">VLOOKUP(A143,'imp-questions'!A:H,6,FALSE())</f>
        <v>Do you regularly evaluate the effectiveness of your security metrics so that its input helps drive your security strategy?</v>
      </c>
      <c r="E143" s="48" t="str">
        <f aca="false">CHAR(65+VLOOKUP(A143,'imp-questions'!A:H,8,FALSE()))</f>
        <v>F</v>
      </c>
      <c r="F143" s="97"/>
      <c r="G143" s="63" t="n">
        <f aca="false">IFERROR(VLOOKUP(F143,AnsFTBL,2,FALSE()),0)</f>
        <v>0</v>
      </c>
      <c r="H143" s="64"/>
      <c r="I143" s="87"/>
      <c r="J143" s="66"/>
      <c r="K143" s="18"/>
      <c r="L143" s="54"/>
      <c r="M143" s="54"/>
      <c r="N143" s="54"/>
      <c r="O143" s="54"/>
      <c r="P143" s="54"/>
      <c r="Q143" s="18"/>
      <c r="R143" s="18"/>
      <c r="S143" s="18"/>
      <c r="T143" s="18"/>
      <c r="U143" s="18"/>
      <c r="V143" s="18"/>
      <c r="W143" s="18"/>
      <c r="X143" s="18"/>
      <c r="Y143" s="18"/>
      <c r="Z143" s="18"/>
    </row>
    <row r="144" customFormat="false" ht="46.55" hidden="false" customHeight="false" outlineLevel="0" collapsed="false">
      <c r="B144" s="112"/>
      <c r="C144" s="67"/>
      <c r="D144" s="56" t="str">
        <f aca="false">VLOOKUP(A143,'imp-questions'!A:H,7,FALSE())</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57"/>
      <c r="F144" s="83"/>
      <c r="G144" s="84"/>
      <c r="H144" s="85"/>
      <c r="I144" s="87"/>
      <c r="J144" s="66"/>
      <c r="K144" s="18"/>
      <c r="L144" s="54"/>
      <c r="M144" s="54"/>
      <c r="N144" s="54"/>
      <c r="O144" s="54"/>
      <c r="P144" s="54"/>
      <c r="Q144" s="18"/>
      <c r="R144" s="18"/>
      <c r="S144" s="18"/>
      <c r="T144" s="18"/>
      <c r="U144" s="18"/>
      <c r="V144" s="18"/>
      <c r="W144" s="18"/>
      <c r="X144" s="18"/>
      <c r="Y144" s="18"/>
      <c r="Z144" s="18"/>
    </row>
    <row r="145" customFormat="false" ht="13.5" hidden="false" customHeight="true" outlineLevel="0" collapsed="false">
      <c r="B145" s="119" t="s">
        <v>108</v>
      </c>
      <c r="C145" s="119"/>
      <c r="D145" s="119"/>
      <c r="E145" s="119"/>
      <c r="F145" s="119"/>
      <c r="G145" s="119"/>
      <c r="H145" s="119"/>
      <c r="I145" s="119"/>
      <c r="J145" s="119"/>
      <c r="K145" s="18"/>
      <c r="L145" s="54"/>
      <c r="M145" s="54"/>
      <c r="N145" s="54"/>
      <c r="O145" s="54"/>
      <c r="P145" s="54"/>
      <c r="Q145" s="18"/>
      <c r="R145" s="18"/>
      <c r="S145" s="18"/>
      <c r="T145" s="18"/>
      <c r="U145" s="18"/>
      <c r="V145" s="18"/>
      <c r="W145" s="18"/>
      <c r="X145" s="18"/>
      <c r="Y145" s="18"/>
      <c r="Z145" s="18"/>
    </row>
    <row r="146" customFormat="false" ht="13.5" hidden="false" customHeight="true" outlineLevel="0" collapsed="false">
      <c r="B146" s="120" t="s">
        <v>109</v>
      </c>
      <c r="C146" s="120"/>
      <c r="D146" s="120"/>
      <c r="E146" s="121"/>
      <c r="F146" s="120" t="s">
        <v>41</v>
      </c>
      <c r="G146" s="120"/>
      <c r="H146" s="122"/>
      <c r="I146" s="123" t="s">
        <v>42</v>
      </c>
      <c r="J146" s="123" t="s">
        <v>43</v>
      </c>
      <c r="K146" s="18"/>
      <c r="L146" s="54"/>
      <c r="M146" s="54"/>
      <c r="N146" s="54"/>
      <c r="O146" s="54"/>
      <c r="P146" s="54"/>
      <c r="Q146" s="18"/>
      <c r="R146" s="18"/>
      <c r="S146" s="18"/>
      <c r="T146" s="18"/>
      <c r="U146" s="18"/>
      <c r="V146" s="18"/>
      <c r="W146" s="18"/>
      <c r="X146" s="18"/>
      <c r="Y146" s="18"/>
      <c r="Z146" s="18"/>
    </row>
    <row r="147" customFormat="false" ht="13.5" hidden="false" customHeight="false" outlineLevel="0" collapsed="false">
      <c r="A147" s="12" t="s">
        <v>110</v>
      </c>
      <c r="B147" s="124" t="str">
        <f aca="false">VLOOKUP(A147,'imp-questions'!A:H,4,FALSE())</f>
        <v>Architecture Validation</v>
      </c>
      <c r="C147" s="125" t="n">
        <f aca="false">VLOOKUP(A147,'imp-questions'!A:H,5,FALSE())</f>
        <v>1</v>
      </c>
      <c r="D147" s="47" t="str">
        <f aca="false">VLOOKUP(A147,'imp-questions'!A:H,6,FALSE())</f>
        <v>Do you review the application architecture for key security objectives on an ad-hoc basis?</v>
      </c>
      <c r="E147" s="126" t="str">
        <f aca="false">CHAR(65+VLOOKUP(A147,'imp-questions'!A:H,8,FALSE()))</f>
        <v>F</v>
      </c>
      <c r="F147" s="97"/>
      <c r="G147" s="63" t="n">
        <f aca="false">IFERROR(VLOOKUP(F147,AnsFTBL,2,FALSE()),0)</f>
        <v>0</v>
      </c>
      <c r="H147" s="51" t="n">
        <f aca="false">IFERROR(AVERAGE(G147,G154),0)</f>
        <v>0</v>
      </c>
      <c r="I147" s="87"/>
      <c r="J147" s="127" t="n">
        <f aca="false">SUM(H147,H149,H151)</f>
        <v>0</v>
      </c>
      <c r="K147" s="18"/>
      <c r="L147" s="54"/>
      <c r="M147" s="54"/>
      <c r="N147" s="54"/>
      <c r="O147" s="54"/>
      <c r="P147" s="54"/>
      <c r="Q147" s="18"/>
      <c r="R147" s="18"/>
      <c r="S147" s="18"/>
      <c r="T147" s="18"/>
      <c r="U147" s="18"/>
      <c r="V147" s="18"/>
      <c r="W147" s="18"/>
      <c r="X147" s="18"/>
      <c r="Y147" s="18"/>
      <c r="Z147" s="18"/>
    </row>
    <row r="148" customFormat="false" ht="46.55" hidden="false" customHeight="false" outlineLevel="0" collapsed="false">
      <c r="B148" s="124"/>
      <c r="C148" s="55"/>
      <c r="D148" s="72" t="str">
        <f aca="false">VLOOKUP(A147,'imp-questions'!A:H,7,FALSE())</f>
        <v>You have an agreed upon model of the overall software architecture
You include components, interfaces, and integrations in the architecture model
You verify the correct provision of general security mechanisms
You log missing security controls as defects</v>
      </c>
      <c r="E148" s="128"/>
      <c r="F148" s="129"/>
      <c r="G148" s="130"/>
      <c r="H148" s="60"/>
      <c r="I148" s="87"/>
      <c r="J148" s="127"/>
      <c r="K148" s="18"/>
      <c r="L148" s="54"/>
      <c r="M148" s="54"/>
      <c r="N148" s="54"/>
      <c r="O148" s="54"/>
      <c r="P148" s="54"/>
      <c r="Q148" s="18"/>
      <c r="R148" s="18"/>
      <c r="S148" s="18"/>
      <c r="T148" s="18"/>
      <c r="U148" s="18"/>
      <c r="V148" s="18"/>
      <c r="W148" s="18"/>
      <c r="X148" s="18"/>
      <c r="Y148" s="18"/>
      <c r="Z148" s="18"/>
    </row>
    <row r="149" customFormat="false" ht="13.8" hidden="false" customHeight="false" outlineLevel="0" collapsed="false">
      <c r="A149" s="12" t="s">
        <v>111</v>
      </c>
      <c r="B149" s="124"/>
      <c r="C149" s="125" t="n">
        <f aca="false">VLOOKUP(A149,'imp-questions'!A:H,5,FALSE())</f>
        <v>2</v>
      </c>
      <c r="D149" s="47" t="str">
        <f aca="false">VLOOKUP(A149,'imp-questions'!A:H,6,FALSE())</f>
        <v>Do you regularly review the security mechanisms of your architecture?</v>
      </c>
      <c r="E149" s="126" t="str">
        <f aca="false">CHAR(65+VLOOKUP(A149,'imp-questions'!A:H,8,FALSE()))</f>
        <v>F</v>
      </c>
      <c r="F149" s="97"/>
      <c r="G149" s="63" t="n">
        <f aca="false">IFERROR(VLOOKUP(F149,AnsFTBL,2,FALSE()),0)</f>
        <v>0</v>
      </c>
      <c r="H149" s="51" t="n">
        <f aca="false">IFERROR(AVERAGE(G149,G156),0)</f>
        <v>0</v>
      </c>
      <c r="I149" s="88"/>
      <c r="J149" s="17"/>
      <c r="K149" s="18"/>
      <c r="L149" s="54"/>
      <c r="M149" s="54"/>
      <c r="N149" s="54"/>
      <c r="O149" s="54"/>
      <c r="P149" s="54"/>
      <c r="Q149" s="18"/>
      <c r="R149" s="18"/>
      <c r="S149" s="18"/>
      <c r="T149" s="18"/>
      <c r="U149" s="18"/>
      <c r="V149" s="18"/>
      <c r="W149" s="18"/>
      <c r="X149" s="18"/>
      <c r="Y149" s="18"/>
      <c r="Z149" s="18"/>
    </row>
    <row r="150" customFormat="false" ht="46.55" hidden="false" customHeight="false" outlineLevel="0" collapsed="false">
      <c r="B150" s="124"/>
      <c r="C150" s="55"/>
      <c r="D150" s="72" t="str">
        <f aca="false">VLOOKUP(A149,'imp-questions'!A:H,7,FALSE())</f>
        <v>You review compliance with internal and external requirements
You systematically review each interface in the system
You use a formalized review method and structured validation
You log missing security mechanisms as defects</v>
      </c>
      <c r="E150" s="128"/>
      <c r="F150" s="129"/>
      <c r="G150" s="130"/>
      <c r="H150" s="60"/>
      <c r="I150" s="88"/>
      <c r="J150" s="17"/>
      <c r="K150" s="18"/>
      <c r="L150" s="54"/>
      <c r="M150" s="54"/>
      <c r="N150" s="54"/>
      <c r="O150" s="54"/>
      <c r="P150" s="54"/>
      <c r="Q150" s="18"/>
      <c r="R150" s="18"/>
      <c r="S150" s="18"/>
      <c r="T150" s="18"/>
      <c r="U150" s="18"/>
      <c r="V150" s="18"/>
      <c r="W150" s="18"/>
      <c r="X150" s="18"/>
      <c r="Y150" s="18"/>
      <c r="Z150" s="18"/>
    </row>
    <row r="151" customFormat="false" ht="13.8" hidden="false" customHeight="false" outlineLevel="0" collapsed="false">
      <c r="A151" s="12" t="s">
        <v>112</v>
      </c>
      <c r="B151" s="124"/>
      <c r="C151" s="125" t="n">
        <f aca="false">VLOOKUP(A151,'imp-questions'!A:H,5,FALSE())</f>
        <v>3</v>
      </c>
      <c r="D151" s="47" t="str">
        <f aca="false">VLOOKUP(A151,'imp-questions'!A:H,6,FALSE())</f>
        <v>Do you regularly review the effectiveness of the security controls?</v>
      </c>
      <c r="E151" s="126" t="str">
        <f aca="false">CHAR(65+VLOOKUP(A151,'imp-questions'!A:H,8,FALSE()))</f>
        <v>F</v>
      </c>
      <c r="F151" s="97"/>
      <c r="G151" s="63" t="n">
        <f aca="false">IFERROR(VLOOKUP(F151,AnsFTBL,2,FALSE()),0)</f>
        <v>0</v>
      </c>
      <c r="H151" s="51" t="n">
        <f aca="false">IFERROR(AVERAGE(G151,G158),0)</f>
        <v>0</v>
      </c>
      <c r="I151" s="89"/>
      <c r="J151" s="17"/>
      <c r="K151" s="18"/>
      <c r="L151" s="54"/>
      <c r="M151" s="54"/>
      <c r="N151" s="54"/>
      <c r="O151" s="54"/>
      <c r="P151" s="54"/>
      <c r="Q151" s="18"/>
      <c r="R151" s="18"/>
      <c r="S151" s="18"/>
      <c r="T151" s="18"/>
      <c r="U151" s="18"/>
      <c r="V151" s="18"/>
      <c r="W151" s="18"/>
      <c r="X151" s="18"/>
      <c r="Y151" s="18"/>
      <c r="Z151" s="18"/>
    </row>
    <row r="152" customFormat="false" ht="46.55" hidden="false" customHeight="false" outlineLevel="0" collapsed="false">
      <c r="B152" s="124"/>
      <c r="C152" s="67"/>
      <c r="D152" s="56" t="str">
        <f aca="false">VLOOKUP(A151,'imp-questions'!A:H,7,FALSE())</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28"/>
      <c r="F152" s="129"/>
      <c r="G152" s="130"/>
      <c r="H152" s="60"/>
      <c r="I152" s="89"/>
      <c r="J152" s="17"/>
      <c r="K152" s="18"/>
      <c r="L152" s="54"/>
      <c r="M152" s="54"/>
      <c r="N152" s="54"/>
      <c r="O152" s="54"/>
      <c r="P152" s="54"/>
      <c r="Q152" s="18"/>
      <c r="R152" s="18"/>
      <c r="S152" s="18"/>
      <c r="T152" s="18"/>
      <c r="U152" s="18"/>
      <c r="V152" s="18"/>
      <c r="W152" s="18"/>
      <c r="X152" s="18"/>
      <c r="Y152" s="18"/>
      <c r="Z152" s="18"/>
    </row>
    <row r="153" customFormat="false" ht="13.8" hidden="false" customHeight="false" outlineLevel="0" collapsed="false">
      <c r="B153" s="131"/>
      <c r="C153" s="132"/>
      <c r="D153" s="132"/>
      <c r="E153" s="132"/>
      <c r="F153" s="132"/>
      <c r="G153" s="132"/>
      <c r="H153" s="132"/>
      <c r="I153" s="133"/>
      <c r="J153" s="66"/>
      <c r="K153" s="18"/>
      <c r="L153" s="54"/>
      <c r="M153" s="54"/>
      <c r="N153" s="54"/>
      <c r="O153" s="54"/>
      <c r="P153" s="54"/>
      <c r="Q153" s="18"/>
      <c r="R153" s="18"/>
      <c r="S153" s="18"/>
      <c r="T153" s="18"/>
      <c r="U153" s="18"/>
      <c r="V153" s="18"/>
      <c r="W153" s="18"/>
      <c r="X153" s="18"/>
      <c r="Y153" s="18"/>
      <c r="Z153" s="18"/>
    </row>
    <row r="154" customFormat="false" ht="13.8" hidden="false" customHeight="false" outlineLevel="0" collapsed="false">
      <c r="A154" s="12" t="s">
        <v>113</v>
      </c>
      <c r="B154" s="124" t="str">
        <f aca="false">VLOOKUP(A154,'imp-questions'!A:H,4,FALSE())</f>
        <v>Architecture Mitigation</v>
      </c>
      <c r="C154" s="125" t="n">
        <f aca="false">VLOOKUP(A154,'imp-questions'!A:H,5,FALSE())</f>
        <v>1</v>
      </c>
      <c r="D154" s="47" t="str">
        <f aca="false">VLOOKUP(A154,'imp-questions'!A:H,6,FALSE())</f>
        <v>Do you review the application architecture for mitigations of typical threats on an ad-hoc basis?</v>
      </c>
      <c r="E154" s="126" t="str">
        <f aca="false">CHAR(65+VLOOKUP(A154,'imp-questions'!A:H,8,FALSE()))</f>
        <v>F</v>
      </c>
      <c r="F154" s="97"/>
      <c r="G154" s="63" t="n">
        <f aca="false">IFERROR(VLOOKUP(F154,AnsFTBL,2,FALSE()),0)</f>
        <v>0</v>
      </c>
      <c r="H154" s="134"/>
      <c r="I154" s="135"/>
      <c r="J154" s="66"/>
      <c r="K154" s="18"/>
      <c r="L154" s="54"/>
      <c r="M154" s="54"/>
      <c r="N154" s="54"/>
      <c r="O154" s="54"/>
      <c r="P154" s="54"/>
      <c r="Q154" s="18"/>
      <c r="R154" s="18"/>
      <c r="S154" s="18"/>
      <c r="T154" s="18"/>
      <c r="U154" s="18"/>
      <c r="V154" s="18"/>
      <c r="W154" s="18"/>
      <c r="X154" s="18"/>
      <c r="Y154" s="18"/>
      <c r="Z154" s="18"/>
    </row>
    <row r="155" customFormat="false" ht="35.2" hidden="false" customHeight="false" outlineLevel="0" collapsed="false">
      <c r="B155" s="124"/>
      <c r="C155" s="55"/>
      <c r="D155" s="72" t="str">
        <f aca="false">VLOOKUP(A154,'imp-questions'!A:H,7,FALSE())</f>
        <v>You have an agreed upon model of the overall software architecture
Security savvy staff conduct the review
You consider different types of threats, including insider and data-related one</v>
      </c>
      <c r="E155" s="128"/>
      <c r="F155" s="129"/>
      <c r="G155" s="130"/>
      <c r="H155" s="136"/>
      <c r="I155" s="135"/>
      <c r="J155" s="66"/>
      <c r="K155" s="18"/>
      <c r="L155" s="54"/>
      <c r="M155" s="54"/>
      <c r="N155" s="54"/>
      <c r="O155" s="54"/>
      <c r="P155" s="54"/>
      <c r="Q155" s="18"/>
      <c r="R155" s="18"/>
      <c r="S155" s="18"/>
      <c r="T155" s="18"/>
      <c r="U155" s="18"/>
      <c r="V155" s="18"/>
      <c r="W155" s="18"/>
      <c r="X155" s="18"/>
      <c r="Y155" s="18"/>
      <c r="Z155" s="18"/>
    </row>
    <row r="156" customFormat="false" ht="13.8" hidden="false" customHeight="false" outlineLevel="0" collapsed="false">
      <c r="A156" s="12" t="s">
        <v>114</v>
      </c>
      <c r="B156" s="124"/>
      <c r="C156" s="125" t="n">
        <f aca="false">VLOOKUP(A156,'imp-questions'!A:H,5,FALSE())</f>
        <v>2</v>
      </c>
      <c r="D156" s="47" t="str">
        <f aca="false">VLOOKUP(A156,'imp-questions'!A:H,6,FALSE())</f>
        <v>Do you regularly evaluate the threats to your architecture?</v>
      </c>
      <c r="E156" s="126" t="str">
        <f aca="false">CHAR(65+VLOOKUP(A156,'imp-questions'!A:H,8,FALSE()))</f>
        <v>F</v>
      </c>
      <c r="F156" s="97"/>
      <c r="G156" s="63" t="n">
        <f aca="false">IFERROR(VLOOKUP(F156,AnsFTBL,2,FALSE()),0)</f>
        <v>0</v>
      </c>
      <c r="H156" s="134"/>
      <c r="I156" s="135"/>
      <c r="J156" s="66"/>
      <c r="K156" s="18"/>
      <c r="L156" s="54"/>
      <c r="M156" s="54"/>
      <c r="N156" s="54"/>
      <c r="O156" s="54"/>
      <c r="P156" s="54"/>
      <c r="Q156" s="18"/>
      <c r="R156" s="18"/>
      <c r="S156" s="18"/>
      <c r="T156" s="18"/>
      <c r="U156" s="18"/>
      <c r="V156" s="18"/>
      <c r="W156" s="18"/>
      <c r="X156" s="18"/>
      <c r="Y156" s="18"/>
      <c r="Z156" s="18"/>
    </row>
    <row r="157" customFormat="false" ht="46.55" hidden="false" customHeight="false" outlineLevel="0" collapsed="false">
      <c r="B157" s="124"/>
      <c r="C157" s="55"/>
      <c r="D157" s="72" t="str">
        <f aca="false">VLOOKUP(A156,'imp-questions'!A:H,7,FALSE())</f>
        <v>You systematically review each threat identified in the Threat Assessment
Trained or experienced people lead review exercise
You identify mitigating design-level features for each identified threat
You log unhandled threats as defects</v>
      </c>
      <c r="E157" s="128"/>
      <c r="F157" s="129"/>
      <c r="G157" s="130"/>
      <c r="H157" s="136"/>
      <c r="I157" s="135"/>
      <c r="J157" s="66"/>
      <c r="K157" s="18"/>
      <c r="L157" s="54"/>
      <c r="M157" s="54"/>
      <c r="N157" s="54"/>
      <c r="O157" s="54"/>
      <c r="P157" s="54"/>
      <c r="Q157" s="18"/>
      <c r="R157" s="18"/>
      <c r="S157" s="18"/>
      <c r="T157" s="18"/>
      <c r="U157" s="18"/>
      <c r="V157" s="18"/>
      <c r="W157" s="18"/>
      <c r="X157" s="18"/>
      <c r="Y157" s="18"/>
      <c r="Z157" s="18"/>
    </row>
    <row r="158" customFormat="false" ht="13.8" hidden="false" customHeight="false" outlineLevel="0" collapsed="false">
      <c r="A158" s="12" t="s">
        <v>115</v>
      </c>
      <c r="B158" s="124"/>
      <c r="C158" s="125" t="n">
        <f aca="false">VLOOKUP(A158,'imp-questions'!A:H,5,FALSE())</f>
        <v>3</v>
      </c>
      <c r="D158" s="47" t="str">
        <f aca="false">VLOOKUP(A158,'imp-questions'!A:H,6,FALSE())</f>
        <v>Do you regularly update your reference architectures based on architecture assessment findings?</v>
      </c>
      <c r="E158" s="126" t="str">
        <f aca="false">CHAR(65+VLOOKUP(A158,'imp-questions'!A:H,8,FALSE()))</f>
        <v>F</v>
      </c>
      <c r="F158" s="97"/>
      <c r="G158" s="63" t="n">
        <f aca="false">IFERROR(VLOOKUP(F158,AnsFTBL,2,FALSE()),0)</f>
        <v>0</v>
      </c>
      <c r="H158" s="134"/>
      <c r="I158" s="135"/>
      <c r="J158" s="66"/>
      <c r="K158" s="18"/>
      <c r="L158" s="54"/>
      <c r="M158" s="54"/>
      <c r="N158" s="54"/>
      <c r="O158" s="54"/>
      <c r="P158" s="54"/>
      <c r="Q158" s="18"/>
      <c r="R158" s="18"/>
      <c r="S158" s="18"/>
      <c r="T158" s="18"/>
      <c r="U158" s="18"/>
      <c r="V158" s="18"/>
      <c r="W158" s="18"/>
      <c r="X158" s="18"/>
      <c r="Y158" s="18"/>
      <c r="Z158" s="18"/>
    </row>
    <row r="159" customFormat="false" ht="46.55" hidden="false" customHeight="false" outlineLevel="0" collapsed="false">
      <c r="B159" s="124"/>
      <c r="C159" s="67"/>
      <c r="D159" s="56" t="str">
        <f aca="false">VLOOKUP(A158,'imp-questions'!A:H,7,FALSE())</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128"/>
      <c r="F159" s="129"/>
      <c r="G159" s="130"/>
      <c r="H159" s="136"/>
      <c r="I159" s="135"/>
      <c r="J159" s="66"/>
      <c r="K159" s="18"/>
      <c r="L159" s="54"/>
      <c r="M159" s="54"/>
      <c r="N159" s="54"/>
      <c r="O159" s="54"/>
      <c r="P159" s="54"/>
      <c r="Q159" s="18"/>
      <c r="R159" s="18"/>
      <c r="S159" s="18"/>
      <c r="T159" s="18"/>
      <c r="U159" s="18"/>
      <c r="V159" s="18"/>
      <c r="W159" s="18"/>
      <c r="X159" s="18"/>
      <c r="Y159" s="18"/>
      <c r="Z159" s="18"/>
    </row>
    <row r="160" customFormat="false" ht="13.5" hidden="false" customHeight="true" outlineLevel="0" collapsed="false">
      <c r="B160" s="137" t="s">
        <v>116</v>
      </c>
      <c r="C160" s="137"/>
      <c r="D160" s="137"/>
      <c r="E160" s="138"/>
      <c r="F160" s="137" t="s">
        <v>41</v>
      </c>
      <c r="G160" s="137"/>
      <c r="H160" s="139"/>
      <c r="I160" s="123" t="s">
        <v>42</v>
      </c>
      <c r="J160" s="123" t="s">
        <v>43</v>
      </c>
      <c r="K160" s="18"/>
      <c r="L160" s="54"/>
      <c r="M160" s="54"/>
      <c r="N160" s="54"/>
      <c r="O160" s="54"/>
      <c r="P160" s="54"/>
      <c r="Q160" s="18"/>
      <c r="R160" s="18"/>
      <c r="S160" s="18"/>
      <c r="T160" s="18"/>
      <c r="U160" s="18"/>
      <c r="V160" s="18"/>
      <c r="W160" s="18"/>
      <c r="X160" s="18"/>
      <c r="Y160" s="18"/>
      <c r="Z160" s="18"/>
    </row>
    <row r="161" customFormat="false" ht="13.5" hidden="false" customHeight="true" outlineLevel="0" collapsed="false">
      <c r="A161" s="12" t="s">
        <v>117</v>
      </c>
      <c r="B161" s="124" t="str">
        <f aca="false">VLOOKUP(A161,'imp-questions'!A:H,4,FALSE())</f>
        <v>Control Verification</v>
      </c>
      <c r="C161" s="125" t="n">
        <f aca="false">VLOOKUP(A161,'imp-questions'!A:H,5,FALSE())</f>
        <v>1</v>
      </c>
      <c r="D161" s="47" t="str">
        <f aca="false">VLOOKUP(A161,'imp-questions'!A:H,6,FALSE())</f>
        <v>Do you test applications for the correct functioning of standard security controls?</v>
      </c>
      <c r="E161" s="48" t="str">
        <f aca="false">CHAR(65+VLOOKUP(A161,'imp-questions'!A:H,8,FALSE()))</f>
        <v>C</v>
      </c>
      <c r="F161" s="97"/>
      <c r="G161" s="63" t="n">
        <f aca="false">IFERROR(VLOOKUP(F161,AnsCTBL,2,FALSE()),0)</f>
        <v>0</v>
      </c>
      <c r="H161" s="51" t="n">
        <f aca="false">IFERROR(AVERAGE(G161,G168),0)</f>
        <v>0</v>
      </c>
      <c r="I161" s="87"/>
      <c r="J161" s="127" t="n">
        <f aca="false">SUM(H161,H163,H165)</f>
        <v>0</v>
      </c>
      <c r="K161" s="18"/>
      <c r="L161" s="54"/>
      <c r="M161" s="54"/>
      <c r="N161" s="54"/>
      <c r="O161" s="54"/>
      <c r="P161" s="54"/>
      <c r="Q161" s="18"/>
      <c r="R161" s="18"/>
      <c r="S161" s="18"/>
      <c r="T161" s="18"/>
      <c r="U161" s="18"/>
      <c r="V161" s="18"/>
      <c r="W161" s="18"/>
      <c r="X161" s="18"/>
      <c r="Y161" s="18"/>
      <c r="Z161" s="18"/>
    </row>
    <row r="162" customFormat="false" ht="35.2" hidden="false" customHeight="false" outlineLevel="0" collapsed="false">
      <c r="B162" s="124"/>
      <c r="C162" s="55"/>
      <c r="D162" s="72" t="str">
        <f aca="false">VLOOKUP(A161,'imp-questions'!A:H,7,FALSE())</f>
        <v>Security testing at least verifies the implementation of authentication, access control, input validation, encoding and escaping data, and encryption controls
Security testing executes whenever the application changes its use of the controls</v>
      </c>
      <c r="E162" s="57"/>
      <c r="F162" s="83"/>
      <c r="G162" s="84"/>
      <c r="H162" s="60"/>
      <c r="I162" s="87"/>
      <c r="J162" s="127"/>
      <c r="K162" s="18"/>
      <c r="L162" s="54"/>
      <c r="M162" s="54"/>
      <c r="N162" s="54"/>
      <c r="O162" s="54"/>
      <c r="P162" s="54"/>
      <c r="Q162" s="18"/>
      <c r="R162" s="18"/>
      <c r="S162" s="18"/>
      <c r="T162" s="18"/>
      <c r="U162" s="18"/>
      <c r="V162" s="18"/>
      <c r="W162" s="18"/>
      <c r="X162" s="18"/>
      <c r="Y162" s="18"/>
      <c r="Z162" s="18"/>
    </row>
    <row r="163" customFormat="false" ht="13.8" hidden="false" customHeight="false" outlineLevel="0" collapsed="false">
      <c r="A163" s="12" t="s">
        <v>118</v>
      </c>
      <c r="B163" s="124"/>
      <c r="C163" s="125" t="n">
        <f aca="false">VLOOKUP(A163,'imp-questions'!A:H,5,FALSE())</f>
        <v>2</v>
      </c>
      <c r="D163" s="47" t="str">
        <f aca="false">VLOOKUP(A163,'imp-questions'!A:H,6,FALSE())</f>
        <v>Do you consistently write and execute test scripts to verify the functionality of security requirements?</v>
      </c>
      <c r="E163" s="48" t="str">
        <f aca="false">CHAR(65+VLOOKUP(A163,'imp-questions'!A:H,8,FALSE()))</f>
        <v>C</v>
      </c>
      <c r="F163" s="97"/>
      <c r="G163" s="63" t="n">
        <f aca="false">IFERROR(VLOOKUP(F163,AnsCTBL,2,FALSE()),0)</f>
        <v>0</v>
      </c>
      <c r="H163" s="51" t="n">
        <f aca="false">IFERROR(AVERAGE(G163,G170),0)</f>
        <v>0</v>
      </c>
      <c r="I163" s="88"/>
      <c r="J163" s="17"/>
      <c r="K163" s="18"/>
      <c r="L163" s="54"/>
      <c r="M163" s="54"/>
      <c r="N163" s="54"/>
      <c r="O163" s="54"/>
      <c r="P163" s="54"/>
      <c r="Q163" s="18"/>
      <c r="R163" s="18"/>
      <c r="S163" s="18"/>
      <c r="T163" s="18"/>
      <c r="U163" s="18"/>
      <c r="V163" s="18"/>
      <c r="W163" s="18"/>
      <c r="X163" s="18"/>
      <c r="Y163" s="18"/>
      <c r="Z163" s="18"/>
    </row>
    <row r="164" customFormat="false" ht="35.2" hidden="false" customHeight="false" outlineLevel="0" collapsed="false">
      <c r="B164" s="124"/>
      <c r="C164" s="55"/>
      <c r="D164" s="72" t="str">
        <f aca="false">VLOOKUP(A163,'imp-questions'!A:H,7,FALSE())</f>
        <v>You tailor tests to each application and assert expected security functionality
You capture test results as a pass or fail condition
Tests use a standardized framework or DSL</v>
      </c>
      <c r="E164" s="57"/>
      <c r="F164" s="83"/>
      <c r="G164" s="84"/>
      <c r="H164" s="60"/>
      <c r="I164" s="88"/>
      <c r="J164" s="17"/>
      <c r="K164" s="18"/>
      <c r="L164" s="54"/>
      <c r="M164" s="54"/>
      <c r="N164" s="54"/>
      <c r="O164" s="54"/>
      <c r="P164" s="54"/>
      <c r="Q164" s="18"/>
      <c r="R164" s="18"/>
      <c r="S164" s="18"/>
      <c r="T164" s="18"/>
      <c r="U164" s="18"/>
      <c r="V164" s="18"/>
      <c r="W164" s="18"/>
      <c r="X164" s="18"/>
      <c r="Y164" s="18"/>
      <c r="Z164" s="18"/>
    </row>
    <row r="165" customFormat="false" ht="13.8" hidden="false" customHeight="false" outlineLevel="0" collapsed="false">
      <c r="A165" s="12" t="s">
        <v>119</v>
      </c>
      <c r="B165" s="124"/>
      <c r="C165" s="125" t="n">
        <f aca="false">VLOOKUP(A165,'imp-questions'!A:H,5,FALSE())</f>
        <v>3</v>
      </c>
      <c r="D165" s="47" t="str">
        <f aca="false">VLOOKUP(A165,'imp-questions'!A:H,6,FALSE())</f>
        <v>Do you automatically test applications for security regressions?</v>
      </c>
      <c r="E165" s="48" t="str">
        <f aca="false">CHAR(65+VLOOKUP(A165,'imp-questions'!A:H,8,FALSE()))</f>
        <v>F</v>
      </c>
      <c r="F165" s="97"/>
      <c r="G165" s="63" t="n">
        <f aca="false">IFERROR(VLOOKUP(F165,AnsFTBL,2,FALSE()),0)</f>
        <v>0</v>
      </c>
      <c r="H165" s="51" t="n">
        <f aca="false">IFERROR(AVERAGE(G165,G172),0)</f>
        <v>0</v>
      </c>
      <c r="I165" s="89"/>
      <c r="J165" s="17"/>
      <c r="K165" s="18"/>
      <c r="L165" s="54"/>
      <c r="M165" s="54"/>
      <c r="N165" s="54"/>
      <c r="O165" s="54"/>
      <c r="P165" s="54"/>
      <c r="Q165" s="18"/>
      <c r="R165" s="18"/>
      <c r="S165" s="18"/>
      <c r="T165" s="18"/>
      <c r="U165" s="18"/>
      <c r="V165" s="18"/>
      <c r="W165" s="18"/>
      <c r="X165" s="18"/>
      <c r="Y165" s="18"/>
      <c r="Z165" s="18"/>
    </row>
    <row r="166" customFormat="false" ht="23.85" hidden="false" customHeight="false" outlineLevel="0" collapsed="false">
      <c r="B166" s="124"/>
      <c r="C166" s="67"/>
      <c r="D166" s="56" t="str">
        <f aca="false">VLOOKUP(A165,'imp-questions'!A:H,7,FALSE())</f>
        <v>You consistently write tests for all identified bugs (possibly exceeding a pre-defined severity threshhold)
You collect security tests in a test suite that is part of the existing unit testing framework</v>
      </c>
      <c r="E166" s="57"/>
      <c r="F166" s="83"/>
      <c r="G166" s="84"/>
      <c r="H166" s="60"/>
      <c r="I166" s="89"/>
      <c r="J166" s="17"/>
      <c r="K166" s="18"/>
      <c r="L166" s="54"/>
      <c r="M166" s="54"/>
      <c r="N166" s="54"/>
      <c r="O166" s="54"/>
      <c r="P166" s="54"/>
      <c r="Q166" s="18"/>
      <c r="R166" s="18"/>
      <c r="S166" s="18"/>
      <c r="T166" s="18"/>
      <c r="U166" s="18"/>
      <c r="V166" s="18"/>
      <c r="W166" s="18"/>
      <c r="X166" s="18"/>
      <c r="Y166" s="18"/>
      <c r="Z166" s="18"/>
    </row>
    <row r="167" customFormat="false" ht="13.8" hidden="false" customHeight="false" outlineLevel="0" collapsed="false">
      <c r="B167" s="69"/>
      <c r="C167" s="70"/>
      <c r="D167" s="70"/>
      <c r="E167" s="70"/>
      <c r="F167" s="70"/>
      <c r="G167" s="70"/>
      <c r="H167" s="70"/>
      <c r="I167" s="71"/>
      <c r="J167" s="66"/>
      <c r="K167" s="18"/>
      <c r="L167" s="54"/>
      <c r="M167" s="54"/>
      <c r="N167" s="54"/>
      <c r="O167" s="54"/>
      <c r="P167" s="54"/>
      <c r="Q167" s="18"/>
      <c r="R167" s="18"/>
      <c r="S167" s="18"/>
      <c r="T167" s="18"/>
      <c r="U167" s="18"/>
      <c r="V167" s="18"/>
      <c r="W167" s="18"/>
      <c r="X167" s="18"/>
      <c r="Y167" s="18"/>
      <c r="Z167" s="18"/>
    </row>
    <row r="168" customFormat="false" ht="13.8" hidden="false" customHeight="false" outlineLevel="0" collapsed="false">
      <c r="A168" s="12" t="s">
        <v>120</v>
      </c>
      <c r="B168" s="124" t="str">
        <f aca="false">VLOOKUP(A168,'imp-questions'!A:H,4,FALSE())</f>
        <v>Misuse/Abuse Testing</v>
      </c>
      <c r="C168" s="125" t="n">
        <f aca="false">VLOOKUP(A168,'imp-questions'!A:H,5,FALSE())</f>
        <v>1</v>
      </c>
      <c r="D168" s="47" t="str">
        <f aca="false">VLOOKUP(A168,'imp-questions'!A:H,6,FALSE())</f>
        <v>Do you test applications using randomization or fuzzing techniques?</v>
      </c>
      <c r="E168" s="48" t="str">
        <f aca="false">CHAR(65+VLOOKUP(A168,'imp-questions'!A:H,8,FALSE()))</f>
        <v>F</v>
      </c>
      <c r="F168" s="97"/>
      <c r="G168" s="63" t="n">
        <f aca="false">IFERROR(VLOOKUP(F168,AnsFTBL,2,FALSE()),0)</f>
        <v>0</v>
      </c>
      <c r="H168" s="64"/>
      <c r="I168" s="87"/>
      <c r="J168" s="66"/>
      <c r="K168" s="18"/>
      <c r="L168" s="54"/>
      <c r="M168" s="54"/>
      <c r="N168" s="54"/>
      <c r="O168" s="54"/>
      <c r="P168" s="54"/>
      <c r="Q168" s="18"/>
      <c r="R168" s="18"/>
      <c r="S168" s="18"/>
      <c r="T168" s="18"/>
      <c r="U168" s="18"/>
      <c r="V168" s="18"/>
      <c r="W168" s="18"/>
      <c r="X168" s="18"/>
      <c r="Y168" s="18"/>
      <c r="Z168" s="18"/>
    </row>
    <row r="169" customFormat="false" ht="23.85" hidden="false" customHeight="false" outlineLevel="0" collapsed="false">
      <c r="B169" s="124"/>
      <c r="C169" s="55"/>
      <c r="D169" s="72" t="str">
        <f aca="false">VLOOKUP(A168,'imp-questions'!A:H,7,FALSE())</f>
        <v>Testing covers most or all of the application's main input parameters
You record and inspect all application crashes for security impact on a best-effort basis</v>
      </c>
      <c r="E169" s="57"/>
      <c r="F169" s="83"/>
      <c r="G169" s="84"/>
      <c r="H169" s="85"/>
      <c r="I169" s="87"/>
      <c r="J169" s="66"/>
      <c r="K169" s="18"/>
      <c r="L169" s="54"/>
      <c r="M169" s="54"/>
      <c r="N169" s="54"/>
      <c r="O169" s="54"/>
      <c r="P169" s="54"/>
      <c r="Q169" s="18"/>
      <c r="R169" s="18"/>
      <c r="S169" s="18"/>
      <c r="T169" s="18"/>
      <c r="U169" s="18"/>
      <c r="V169" s="18"/>
      <c r="W169" s="18"/>
      <c r="X169" s="18"/>
      <c r="Y169" s="18"/>
      <c r="Z169" s="18"/>
    </row>
    <row r="170" customFormat="false" ht="13.8" hidden="false" customHeight="false" outlineLevel="0" collapsed="false">
      <c r="A170" s="12" t="s">
        <v>121</v>
      </c>
      <c r="B170" s="124"/>
      <c r="C170" s="125" t="n">
        <f aca="false">VLOOKUP(A170,'imp-questions'!A:H,5,FALSE())</f>
        <v>2</v>
      </c>
      <c r="D170" s="47" t="str">
        <f aca="false">VLOOKUP(A170,'imp-questions'!A:H,6,FALSE())</f>
        <v>Do you create abuse cases from functional requirements and use them to drive security tests?</v>
      </c>
      <c r="E170" s="48" t="str">
        <f aca="false">CHAR(65+VLOOKUP(A170,'imp-questions'!A:H,8,FALSE()))</f>
        <v>H</v>
      </c>
      <c r="F170" s="104"/>
      <c r="G170" s="140" t="n">
        <f aca="false">IFERROR(VLOOKUP(F170,AnsHTBL,2,FALSE()),0)</f>
        <v>0</v>
      </c>
      <c r="H170" s="64"/>
      <c r="I170" s="87"/>
      <c r="J170" s="66"/>
      <c r="K170" s="18"/>
      <c r="L170" s="54"/>
      <c r="M170" s="54"/>
      <c r="N170" s="54"/>
      <c r="O170" s="54"/>
      <c r="P170" s="54"/>
      <c r="Q170" s="18"/>
      <c r="R170" s="18"/>
      <c r="S170" s="18"/>
      <c r="T170" s="18"/>
      <c r="U170" s="18"/>
      <c r="V170" s="18"/>
      <c r="W170" s="18"/>
      <c r="X170" s="18"/>
      <c r="Y170" s="18"/>
      <c r="Z170" s="18"/>
    </row>
    <row r="171" customFormat="false" ht="35.2" hidden="false" customHeight="false" outlineLevel="0" collapsed="false">
      <c r="B171" s="124"/>
      <c r="C171" s="55"/>
      <c r="D171" s="72" t="str">
        <f aca="false">VLOOKUP(A170,'imp-questions'!A:H,7,FALSE())</f>
        <v>Important business functionality has corresponding abuse cases
You build abuse stories around relevant personas with well-defined motivations and characteristics
You capture identified weaknesses as security requirements</v>
      </c>
      <c r="E171" s="57"/>
      <c r="F171" s="83"/>
      <c r="G171" s="84"/>
      <c r="H171" s="85"/>
      <c r="I171" s="87"/>
      <c r="J171" s="66"/>
      <c r="K171" s="18"/>
      <c r="L171" s="54"/>
      <c r="M171" s="54"/>
      <c r="N171" s="54"/>
      <c r="O171" s="54"/>
      <c r="P171" s="54"/>
      <c r="Q171" s="18"/>
      <c r="R171" s="18"/>
      <c r="S171" s="18"/>
      <c r="T171" s="18"/>
      <c r="U171" s="18"/>
      <c r="V171" s="18"/>
      <c r="W171" s="18"/>
      <c r="X171" s="18"/>
      <c r="Y171" s="18"/>
      <c r="Z171" s="18"/>
    </row>
    <row r="172" customFormat="false" ht="13.8" hidden="false" customHeight="false" outlineLevel="0" collapsed="false">
      <c r="A172" s="12" t="s">
        <v>122</v>
      </c>
      <c r="B172" s="124"/>
      <c r="C172" s="125" t="n">
        <f aca="false">VLOOKUP(A172,'imp-questions'!A:H,5,FALSE())</f>
        <v>3</v>
      </c>
      <c r="D172" s="47" t="str">
        <f aca="false">VLOOKUP(A172,'imp-questions'!A:H,6,FALSE())</f>
        <v>Do you perform denial of service and security stress testing?</v>
      </c>
      <c r="E172" s="48" t="str">
        <f aca="false">CHAR(65+VLOOKUP(A172,'imp-questions'!A:H,8,FALSE()))</f>
        <v>H</v>
      </c>
      <c r="F172" s="104"/>
      <c r="G172" s="140" t="n">
        <f aca="false">IFERROR(VLOOKUP(F172,AnsHTBL,2,FALSE()),0)</f>
        <v>0</v>
      </c>
      <c r="H172" s="64"/>
      <c r="I172" s="87"/>
      <c r="J172" s="66"/>
      <c r="K172" s="18"/>
      <c r="L172" s="54"/>
      <c r="M172" s="54"/>
      <c r="N172" s="54"/>
      <c r="O172" s="54"/>
      <c r="P172" s="54"/>
      <c r="Q172" s="18"/>
      <c r="R172" s="18"/>
      <c r="S172" s="18"/>
      <c r="T172" s="18"/>
      <c r="U172" s="18"/>
      <c r="V172" s="18"/>
      <c r="W172" s="18"/>
      <c r="X172" s="18"/>
      <c r="Y172" s="18"/>
      <c r="Z172" s="18"/>
    </row>
    <row r="173" customFormat="false" ht="35.2" hidden="false" customHeight="false" outlineLevel="0" collapsed="false">
      <c r="B173" s="124"/>
      <c r="C173" s="67"/>
      <c r="D173" s="56" t="str">
        <f aca="false">VLOOKUP(A172,'imp-questions'!A:H,7,FALSE())</f>
        <v>Stress tests target specific application resources (e.g. memory exhaustion by saving large amounts of data to a user session)
You design tests around relevant personas with well-defined capabilities (knowledge, resources)
You feed the results back to the Design practices</v>
      </c>
      <c r="E173" s="57"/>
      <c r="F173" s="83"/>
      <c r="G173" s="84"/>
      <c r="H173" s="85"/>
      <c r="I173" s="87"/>
      <c r="J173" s="66"/>
      <c r="K173" s="18"/>
      <c r="L173" s="54"/>
      <c r="M173" s="54"/>
      <c r="N173" s="54"/>
      <c r="O173" s="54"/>
      <c r="P173" s="54"/>
      <c r="Q173" s="18"/>
      <c r="R173" s="18"/>
      <c r="S173" s="18"/>
      <c r="T173" s="18"/>
      <c r="U173" s="18"/>
      <c r="V173" s="18"/>
      <c r="W173" s="18"/>
      <c r="X173" s="18"/>
      <c r="Y173" s="18"/>
      <c r="Z173" s="18"/>
    </row>
    <row r="174" customFormat="false" ht="13.5" hidden="false" customHeight="true" outlineLevel="0" collapsed="false">
      <c r="B174" s="137" t="s">
        <v>123</v>
      </c>
      <c r="C174" s="137"/>
      <c r="D174" s="137"/>
      <c r="E174" s="138"/>
      <c r="F174" s="137" t="s">
        <v>41</v>
      </c>
      <c r="G174" s="137"/>
      <c r="H174" s="139"/>
      <c r="I174" s="123" t="s">
        <v>42</v>
      </c>
      <c r="J174" s="123" t="s">
        <v>43</v>
      </c>
      <c r="K174" s="18"/>
      <c r="L174" s="54"/>
      <c r="M174" s="54"/>
      <c r="N174" s="54"/>
      <c r="O174" s="54"/>
      <c r="P174" s="54"/>
      <c r="Q174" s="18"/>
      <c r="R174" s="18"/>
      <c r="S174" s="18"/>
      <c r="T174" s="18"/>
      <c r="U174" s="18"/>
      <c r="V174" s="18"/>
      <c r="W174" s="18"/>
      <c r="X174" s="18"/>
      <c r="Y174" s="18"/>
      <c r="Z174" s="18"/>
    </row>
    <row r="175" customFormat="false" ht="13.5" hidden="false" customHeight="true" outlineLevel="0" collapsed="false">
      <c r="A175" s="12" t="s">
        <v>124</v>
      </c>
      <c r="B175" s="124" t="str">
        <f aca="false">VLOOKUP(A175,'imp-questions'!A:H,4,FALSE())</f>
        <v>Scalable Baseline</v>
      </c>
      <c r="C175" s="125" t="n">
        <f aca="false">VLOOKUP(A175,'imp-questions'!A:H,5,FALSE())</f>
        <v>1</v>
      </c>
      <c r="D175" s="47" t="str">
        <f aca="false">VLOOKUP(A175,'imp-questions'!A:H,6,FALSE())</f>
        <v>Do you scan applications with automated security testing tools?</v>
      </c>
      <c r="E175" s="48" t="str">
        <f aca="false">CHAR(65+VLOOKUP(A175,'imp-questions'!A:H,8,FALSE()))</f>
        <v>C</v>
      </c>
      <c r="F175" s="97"/>
      <c r="G175" s="63" t="n">
        <f aca="false">IFERROR(VLOOKUP(F175,AnsCTBL,2,FALSE()),0)</f>
        <v>0</v>
      </c>
      <c r="H175" s="51" t="n">
        <f aca="false">IFERROR(AVERAGE(G175,G182),0)</f>
        <v>0</v>
      </c>
      <c r="I175" s="87"/>
      <c r="J175" s="127" t="n">
        <f aca="false">SUM(H175,H177,H179)</f>
        <v>0</v>
      </c>
      <c r="K175" s="18"/>
      <c r="L175" s="54"/>
      <c r="M175" s="54"/>
      <c r="N175" s="54"/>
      <c r="O175" s="54"/>
      <c r="P175" s="54"/>
      <c r="Q175" s="18"/>
      <c r="R175" s="18"/>
      <c r="S175" s="18"/>
      <c r="T175" s="18"/>
      <c r="U175" s="18"/>
      <c r="V175" s="18"/>
      <c r="W175" s="18"/>
      <c r="X175" s="18"/>
      <c r="Y175" s="18"/>
      <c r="Z175" s="18"/>
    </row>
    <row r="176" customFormat="false" ht="35.2" hidden="false" customHeight="false" outlineLevel="0" collapsed="false">
      <c r="B176" s="124"/>
      <c r="C176" s="55"/>
      <c r="D176" s="72" t="str">
        <f aca="false">VLOOKUP(A175,'imp-questions'!A:H,7,FALSE())</f>
        <v>You dynamically generate inputs for security tests using automated tools
You choose the security testing tools to fit the organization's architecture and technology stack, and balance depth and accuracy of inspection with usability of findings to the organization</v>
      </c>
      <c r="E176" s="57"/>
      <c r="F176" s="83"/>
      <c r="G176" s="84"/>
      <c r="H176" s="60"/>
      <c r="I176" s="87"/>
      <c r="J176" s="127"/>
      <c r="K176" s="18"/>
      <c r="L176" s="54"/>
      <c r="M176" s="54"/>
      <c r="N176" s="54"/>
      <c r="O176" s="54"/>
      <c r="P176" s="54"/>
      <c r="Q176" s="18"/>
      <c r="R176" s="18"/>
      <c r="S176" s="18"/>
      <c r="T176" s="18"/>
      <c r="U176" s="18"/>
      <c r="V176" s="18"/>
      <c r="W176" s="18"/>
      <c r="X176" s="18"/>
      <c r="Y176" s="18"/>
      <c r="Z176" s="18"/>
    </row>
    <row r="177" customFormat="false" ht="13.8" hidden="false" customHeight="false" outlineLevel="0" collapsed="false">
      <c r="A177" s="12" t="s">
        <v>125</v>
      </c>
      <c r="B177" s="124"/>
      <c r="C177" s="125" t="n">
        <f aca="false">VLOOKUP(A177,'imp-questions'!A:H,5,FALSE())</f>
        <v>2</v>
      </c>
      <c r="D177" s="47" t="str">
        <f aca="false">VLOOKUP(A177,'imp-questions'!A:H,6,FALSE())</f>
        <v>Do you customize the automated security tools to your applications and technology stacks?</v>
      </c>
      <c r="E177" s="48" t="str">
        <f aca="false">CHAR(65+VLOOKUP(A177,'imp-questions'!A:H,8,FALSE()))</f>
        <v>C</v>
      </c>
      <c r="F177" s="104"/>
      <c r="G177" s="63" t="n">
        <f aca="false">IFERROR(VLOOKUP(F177,AnsCTBL,2,FALSE()),0)</f>
        <v>0</v>
      </c>
      <c r="H177" s="51" t="n">
        <f aca="false">IFERROR(AVERAGE(G177,G184),0)</f>
        <v>0</v>
      </c>
      <c r="I177" s="88"/>
      <c r="J177" s="17"/>
      <c r="K177" s="18"/>
      <c r="L177" s="54"/>
      <c r="M177" s="54"/>
      <c r="N177" s="54"/>
      <c r="O177" s="54"/>
      <c r="P177" s="54"/>
      <c r="Q177" s="18"/>
      <c r="R177" s="18"/>
      <c r="S177" s="18"/>
      <c r="T177" s="18"/>
      <c r="U177" s="18"/>
      <c r="V177" s="18"/>
      <c r="W177" s="18"/>
      <c r="X177" s="18"/>
      <c r="Y177" s="18"/>
      <c r="Z177" s="18"/>
    </row>
    <row r="178" customFormat="false" ht="35.2" hidden="false" customHeight="false" outlineLevel="0" collapsed="false">
      <c r="B178" s="124"/>
      <c r="C178" s="55"/>
      <c r="D178" s="72" t="str">
        <f aca="false">VLOOKUP(A177,'imp-questions'!A:H,7,FALSE())</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57"/>
      <c r="F178" s="83"/>
      <c r="G178" s="84"/>
      <c r="H178" s="60"/>
      <c r="I178" s="88"/>
      <c r="J178" s="17"/>
      <c r="K178" s="18"/>
      <c r="L178" s="54"/>
      <c r="M178" s="54"/>
      <c r="N178" s="54"/>
      <c r="O178" s="54"/>
      <c r="P178" s="54"/>
      <c r="Q178" s="18"/>
      <c r="R178" s="18"/>
      <c r="S178" s="18"/>
      <c r="T178" s="18"/>
      <c r="U178" s="18"/>
      <c r="V178" s="18"/>
      <c r="W178" s="18"/>
      <c r="X178" s="18"/>
      <c r="Y178" s="18"/>
      <c r="Z178" s="18"/>
    </row>
    <row r="179" customFormat="false" ht="13.8" hidden="false" customHeight="false" outlineLevel="0" collapsed="false">
      <c r="A179" s="12" t="s">
        <v>126</v>
      </c>
      <c r="B179" s="124"/>
      <c r="C179" s="125" t="n">
        <f aca="false">VLOOKUP(A179,'imp-questions'!A:H,5,FALSE())</f>
        <v>3</v>
      </c>
      <c r="D179" s="47" t="str">
        <f aca="false">VLOOKUP(A179,'imp-questions'!A:H,6,FALSE())</f>
        <v>Do you integrate automated security testing into the build and deploy process?</v>
      </c>
      <c r="E179" s="48" t="str">
        <f aca="false">CHAR(65+VLOOKUP(A179,'imp-questions'!A:H,8,FALSE()))</f>
        <v>X</v>
      </c>
      <c r="F179" s="104"/>
      <c r="G179" s="63" t="n">
        <f aca="false">IFERROR(VLOOKUP(F179,AnsXTBL,2,FALSE()),0)</f>
        <v>0</v>
      </c>
      <c r="H179" s="51" t="n">
        <f aca="false">IFERROR(AVERAGE(G179,G186),0)</f>
        <v>0</v>
      </c>
      <c r="I179" s="89"/>
      <c r="J179" s="17"/>
      <c r="K179" s="18"/>
      <c r="L179" s="54"/>
      <c r="M179" s="54"/>
      <c r="N179" s="54"/>
      <c r="O179" s="54"/>
      <c r="P179" s="54"/>
      <c r="Q179" s="18"/>
      <c r="R179" s="18"/>
      <c r="S179" s="18"/>
      <c r="T179" s="18"/>
      <c r="U179" s="18"/>
      <c r="V179" s="18"/>
      <c r="W179" s="18"/>
      <c r="X179" s="18"/>
      <c r="Y179" s="18"/>
      <c r="Z179" s="18"/>
    </row>
    <row r="180" customFormat="false" ht="23.85" hidden="false" customHeight="false" outlineLevel="0" collapsed="false">
      <c r="B180" s="124"/>
      <c r="C180" s="67"/>
      <c r="D180" s="56" t="str">
        <f aca="false">VLOOKUP(A179,'imp-questions'!A:H,7,FALSE())</f>
        <v>Management and business stakeholders track and review test results throughout the development cycle
You merge test results into a central dashboard and feed them into defect management</v>
      </c>
      <c r="E180" s="57"/>
      <c r="F180" s="83"/>
      <c r="G180" s="84"/>
      <c r="H180" s="60"/>
      <c r="I180" s="89"/>
      <c r="J180" s="17"/>
      <c r="K180" s="18"/>
      <c r="L180" s="54"/>
      <c r="M180" s="54"/>
      <c r="N180" s="54"/>
      <c r="O180" s="54"/>
      <c r="P180" s="54"/>
      <c r="Q180" s="18"/>
      <c r="R180" s="18"/>
      <c r="S180" s="18"/>
      <c r="T180" s="18"/>
      <c r="U180" s="18"/>
      <c r="V180" s="18"/>
      <c r="W180" s="18"/>
      <c r="X180" s="18"/>
      <c r="Y180" s="18"/>
      <c r="Z180" s="18"/>
    </row>
    <row r="181" customFormat="false" ht="13.8" hidden="false" customHeight="false" outlineLevel="0" collapsed="false">
      <c r="B181" s="69"/>
      <c r="C181" s="70"/>
      <c r="D181" s="70"/>
      <c r="E181" s="70"/>
      <c r="F181" s="70"/>
      <c r="G181" s="70"/>
      <c r="H181" s="70"/>
      <c r="I181" s="71"/>
      <c r="J181" s="66"/>
      <c r="K181" s="18"/>
      <c r="L181" s="54"/>
      <c r="M181" s="54"/>
      <c r="N181" s="54"/>
      <c r="O181" s="54"/>
      <c r="P181" s="54"/>
      <c r="Q181" s="18"/>
      <c r="R181" s="18"/>
      <c r="S181" s="18"/>
      <c r="T181" s="18"/>
      <c r="U181" s="18"/>
      <c r="V181" s="18"/>
      <c r="W181" s="18"/>
      <c r="X181" s="18"/>
      <c r="Y181" s="18"/>
      <c r="Z181" s="18"/>
    </row>
    <row r="182" customFormat="false" ht="13.8" hidden="false" customHeight="false" outlineLevel="0" collapsed="false">
      <c r="A182" s="12" t="s">
        <v>127</v>
      </c>
      <c r="B182" s="124" t="str">
        <f aca="false">VLOOKUP(A182,'imp-questions'!A:H,4,FALSE())</f>
        <v>Deep Understanding</v>
      </c>
      <c r="C182" s="125" t="n">
        <f aca="false">VLOOKUP(A182,'imp-questions'!A:H,5,FALSE())</f>
        <v>1</v>
      </c>
      <c r="D182" s="47" t="str">
        <f aca="false">VLOOKUP(A182,'imp-questions'!A:H,6,FALSE())</f>
        <v>Do you manually review the security quality of selected high-risk components?</v>
      </c>
      <c r="E182" s="48" t="str">
        <f aca="false">CHAR(65+VLOOKUP(A182,'imp-questions'!A:H,8,FALSE()))</f>
        <v>M</v>
      </c>
      <c r="F182" s="97"/>
      <c r="G182" s="63" t="n">
        <f aca="false">IFERROR(VLOOKUP(F182,AnsMTBL,2,FALSE()),0)</f>
        <v>0</v>
      </c>
      <c r="H182" s="64"/>
      <c r="I182" s="87"/>
      <c r="J182" s="66"/>
      <c r="K182" s="18"/>
      <c r="L182" s="54"/>
      <c r="M182" s="54"/>
      <c r="N182" s="54"/>
      <c r="O182" s="54"/>
      <c r="P182" s="54"/>
      <c r="Q182" s="18"/>
      <c r="R182" s="18"/>
      <c r="S182" s="18"/>
      <c r="T182" s="18"/>
      <c r="U182" s="18"/>
      <c r="V182" s="18"/>
      <c r="W182" s="18"/>
      <c r="X182" s="18"/>
      <c r="Y182" s="18"/>
      <c r="Z182" s="18"/>
    </row>
    <row r="183" customFormat="false" ht="35.2" hidden="false" customHeight="false" outlineLevel="0" collapsed="false">
      <c r="B183" s="124"/>
      <c r="C183" s="55"/>
      <c r="D183" s="72" t="str">
        <f aca="false">VLOOKUP(A182,'imp-questions'!A:H,7,FALSE())</f>
        <v>Criteria exist to help the reviewer focus on high-risk components
Qualified personnel conduct reviews following documented guidelines
You address findings in accordance with the organization's defect management policy</v>
      </c>
      <c r="E183" s="57"/>
      <c r="F183" s="83"/>
      <c r="G183" s="84"/>
      <c r="H183" s="85"/>
      <c r="I183" s="87"/>
      <c r="J183" s="66"/>
      <c r="K183" s="18"/>
      <c r="L183" s="54"/>
      <c r="M183" s="54"/>
      <c r="N183" s="54"/>
      <c r="O183" s="54"/>
      <c r="P183" s="54"/>
      <c r="Q183" s="18"/>
      <c r="R183" s="18"/>
      <c r="S183" s="18"/>
      <c r="T183" s="18"/>
      <c r="U183" s="18"/>
      <c r="V183" s="18"/>
      <c r="W183" s="18"/>
      <c r="X183" s="18"/>
      <c r="Y183" s="18"/>
      <c r="Z183" s="18"/>
    </row>
    <row r="184" customFormat="false" ht="13.8" hidden="false" customHeight="false" outlineLevel="0" collapsed="false">
      <c r="A184" s="12" t="s">
        <v>128</v>
      </c>
      <c r="B184" s="124"/>
      <c r="C184" s="125" t="n">
        <f aca="false">VLOOKUP(A184,'imp-questions'!A:H,5,FALSE())</f>
        <v>2</v>
      </c>
      <c r="D184" s="47" t="str">
        <f aca="false">VLOOKUP(A184,'imp-questions'!A:H,6,FALSE())</f>
        <v>Do you perform penetration testing for your applications at regular intervals?</v>
      </c>
      <c r="E184" s="48" t="str">
        <f aca="false">CHAR(65+VLOOKUP(A184,'imp-questions'!A:H,8,FALSE()))</f>
        <v>F</v>
      </c>
      <c r="F184" s="97"/>
      <c r="G184" s="63" t="n">
        <f aca="false">IFERROR(VLOOKUP(F184,AnsFTBL,2,FALSE()),0)</f>
        <v>0</v>
      </c>
      <c r="H184" s="64"/>
      <c r="I184" s="87"/>
      <c r="J184" s="66"/>
      <c r="K184" s="18"/>
      <c r="L184" s="54"/>
      <c r="M184" s="54"/>
      <c r="N184" s="54"/>
      <c r="O184" s="54"/>
      <c r="P184" s="54"/>
      <c r="Q184" s="18"/>
      <c r="R184" s="18"/>
      <c r="S184" s="18"/>
      <c r="T184" s="18"/>
      <c r="U184" s="18"/>
      <c r="V184" s="18"/>
      <c r="W184" s="18"/>
      <c r="X184" s="18"/>
      <c r="Y184" s="18"/>
      <c r="Z184" s="18"/>
    </row>
    <row r="185" customFormat="false" ht="46.55" hidden="false" customHeight="false" outlineLevel="0" collapsed="false">
      <c r="B185" s="124"/>
      <c r="C185" s="55"/>
      <c r="D185" s="72" t="str">
        <f aca="false">VLOOKUP(A184,'imp-questions'!A:H,7,FALSE())</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57"/>
      <c r="F185" s="83"/>
      <c r="G185" s="84"/>
      <c r="H185" s="85"/>
      <c r="I185" s="87"/>
      <c r="J185" s="66"/>
      <c r="K185" s="18"/>
      <c r="L185" s="54"/>
      <c r="M185" s="54"/>
      <c r="N185" s="54"/>
      <c r="O185" s="54"/>
      <c r="P185" s="54"/>
      <c r="Q185" s="18"/>
      <c r="R185" s="18"/>
      <c r="S185" s="18"/>
      <c r="T185" s="18"/>
      <c r="U185" s="18"/>
      <c r="V185" s="18"/>
      <c r="W185" s="18"/>
      <c r="X185" s="18"/>
      <c r="Y185" s="18"/>
      <c r="Z185" s="18"/>
    </row>
    <row r="186" customFormat="false" ht="13.8" hidden="false" customHeight="false" outlineLevel="0" collapsed="false">
      <c r="A186" s="12" t="s">
        <v>129</v>
      </c>
      <c r="B186" s="124"/>
      <c r="C186" s="125" t="n">
        <f aca="false">VLOOKUP(A186,'imp-questions'!A:H,5,FALSE())</f>
        <v>3</v>
      </c>
      <c r="D186" s="47" t="str">
        <f aca="false">VLOOKUP(A186,'imp-questions'!A:H,6,FALSE())</f>
        <v>Do you use the results of security testing to improve the development lifecycle?</v>
      </c>
      <c r="E186" s="48" t="str">
        <f aca="false">CHAR(65+VLOOKUP(A186,'imp-questions'!A:H,8,FALSE()))</f>
        <v>T</v>
      </c>
      <c r="F186" s="104"/>
      <c r="G186" s="140" t="n">
        <f aca="false">IFERROR(VLOOKUP(F186,AnsTTBL,2,FALSE()),0)</f>
        <v>0</v>
      </c>
      <c r="H186" s="64"/>
      <c r="I186" s="87"/>
      <c r="J186" s="66"/>
      <c r="K186" s="18"/>
      <c r="L186" s="54"/>
      <c r="M186" s="54"/>
      <c r="N186" s="54"/>
      <c r="O186" s="54"/>
      <c r="P186" s="54"/>
      <c r="Q186" s="18"/>
      <c r="R186" s="18"/>
      <c r="S186" s="18"/>
      <c r="T186" s="18"/>
      <c r="U186" s="18"/>
      <c r="V186" s="18"/>
      <c r="W186" s="18"/>
      <c r="X186" s="18"/>
      <c r="Y186" s="18"/>
      <c r="Z186" s="18"/>
    </row>
    <row r="187" customFormat="false" ht="35.2" hidden="false" customHeight="false" outlineLevel="0" collapsed="false">
      <c r="B187" s="124"/>
      <c r="C187" s="67"/>
      <c r="D187" s="56" t="str">
        <f aca="false">VLOOKUP(A186,'imp-questions'!A:H,7,FALSE())</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57"/>
      <c r="F187" s="83"/>
      <c r="G187" s="84"/>
      <c r="H187" s="85"/>
      <c r="I187" s="87"/>
      <c r="J187" s="66"/>
      <c r="K187" s="18"/>
      <c r="L187" s="54"/>
      <c r="M187" s="54"/>
      <c r="N187" s="54"/>
      <c r="O187" s="54"/>
      <c r="P187" s="54"/>
      <c r="Q187" s="18"/>
      <c r="R187" s="18"/>
      <c r="S187" s="18"/>
      <c r="T187" s="18"/>
      <c r="U187" s="18"/>
      <c r="V187" s="18"/>
      <c r="W187" s="18"/>
      <c r="X187" s="18"/>
      <c r="Y187" s="18"/>
      <c r="Z187" s="18"/>
    </row>
    <row r="188" customFormat="false" ht="13.5" hidden="false" customHeight="true" outlineLevel="0" collapsed="false">
      <c r="B188" s="141" t="s">
        <v>130</v>
      </c>
      <c r="C188" s="141"/>
      <c r="D188" s="141"/>
      <c r="E188" s="141"/>
      <c r="F188" s="141"/>
      <c r="G188" s="141"/>
      <c r="H188" s="141"/>
      <c r="I188" s="141"/>
      <c r="J188" s="141"/>
      <c r="K188" s="18"/>
      <c r="L188" s="54"/>
      <c r="M188" s="54"/>
      <c r="N188" s="54"/>
      <c r="O188" s="54"/>
      <c r="P188" s="54"/>
      <c r="Q188" s="18"/>
      <c r="R188" s="18"/>
      <c r="S188" s="18"/>
      <c r="T188" s="18"/>
      <c r="U188" s="18"/>
      <c r="V188" s="18"/>
      <c r="W188" s="18"/>
      <c r="X188" s="18"/>
      <c r="Y188" s="18"/>
      <c r="Z188" s="18"/>
    </row>
    <row r="189" customFormat="false" ht="13.5" hidden="false" customHeight="true" outlineLevel="0" collapsed="false">
      <c r="B189" s="142" t="s">
        <v>131</v>
      </c>
      <c r="C189" s="142"/>
      <c r="D189" s="142"/>
      <c r="E189" s="143"/>
      <c r="F189" s="142" t="s">
        <v>41</v>
      </c>
      <c r="G189" s="142"/>
      <c r="H189" s="144"/>
      <c r="I189" s="145" t="s">
        <v>42</v>
      </c>
      <c r="J189" s="145" t="s">
        <v>43</v>
      </c>
      <c r="K189" s="18"/>
      <c r="L189" s="54"/>
      <c r="M189" s="54"/>
      <c r="N189" s="54"/>
      <c r="O189" s="54"/>
      <c r="P189" s="54"/>
      <c r="Q189" s="18"/>
      <c r="R189" s="18"/>
      <c r="S189" s="18"/>
      <c r="T189" s="18"/>
      <c r="U189" s="18"/>
      <c r="V189" s="18"/>
      <c r="W189" s="18"/>
      <c r="X189" s="18"/>
      <c r="Y189" s="18"/>
      <c r="Z189" s="18"/>
    </row>
    <row r="190" customFormat="false" ht="13.5" hidden="false" customHeight="false" outlineLevel="0" collapsed="false">
      <c r="A190" s="12" t="s">
        <v>132</v>
      </c>
      <c r="B190" s="146" t="str">
        <f aca="false">VLOOKUP(A190,'imp-questions'!A:H,4,FALSE())</f>
        <v>Incident Detection</v>
      </c>
      <c r="C190" s="147" t="n">
        <f aca="false">VLOOKUP(A190,'imp-questions'!A:H,5,FALSE())</f>
        <v>1</v>
      </c>
      <c r="D190" s="47" t="str">
        <f aca="false">VLOOKUP(A190,'imp-questions'!A:H,6,FALSE())</f>
        <v>Do you analyze log data for security incidents periodically?</v>
      </c>
      <c r="E190" s="48" t="str">
        <f aca="false">CHAR(65+VLOOKUP(A190,'imp-questions'!A:H,8,FALSE()))</f>
        <v>F</v>
      </c>
      <c r="F190" s="97"/>
      <c r="G190" s="63" t="n">
        <f aca="false">IFERROR(VLOOKUP(F190,AnsFTBL,2,FALSE()),0)</f>
        <v>0</v>
      </c>
      <c r="H190" s="51" t="n">
        <f aca="false">IFERROR(AVERAGE(G190,G197),0)</f>
        <v>0</v>
      </c>
      <c r="I190" s="87"/>
      <c r="J190" s="148" t="n">
        <f aca="false">SUM(H190,H192,H194)</f>
        <v>0</v>
      </c>
      <c r="K190" s="18"/>
      <c r="L190" s="54"/>
      <c r="M190" s="54"/>
      <c r="N190" s="54"/>
      <c r="O190" s="54"/>
      <c r="P190" s="54"/>
      <c r="Q190" s="18"/>
      <c r="R190" s="18"/>
      <c r="S190" s="18"/>
      <c r="T190" s="18"/>
      <c r="U190" s="18"/>
      <c r="V190" s="18"/>
      <c r="W190" s="18"/>
      <c r="X190" s="18"/>
      <c r="Y190" s="18"/>
      <c r="Z190" s="18"/>
    </row>
    <row r="191" customFormat="false" ht="35.2" hidden="false" customHeight="false" outlineLevel="0" collapsed="false">
      <c r="B191" s="146"/>
      <c r="C191" s="67"/>
      <c r="D191" s="56" t="str">
        <f aca="false">VLOOKUP(A190,'imp-questions'!A:H,7,FALSE())</f>
        <v>You have a contact point for the creation of security incidents
You analyze data in accordance with the log data retention periods
The frequency of this analysis is aligned with the criticality of your applications</v>
      </c>
      <c r="E191" s="57"/>
      <c r="F191" s="68"/>
      <c r="G191" s="149"/>
      <c r="H191" s="60"/>
      <c r="I191" s="87"/>
      <c r="J191" s="148"/>
      <c r="K191" s="18"/>
      <c r="L191" s="54"/>
      <c r="M191" s="54"/>
      <c r="N191" s="54"/>
      <c r="O191" s="54"/>
      <c r="P191" s="54"/>
      <c r="Q191" s="18"/>
      <c r="R191" s="18"/>
      <c r="S191" s="18"/>
      <c r="T191" s="18"/>
      <c r="U191" s="18"/>
      <c r="V191" s="18"/>
      <c r="W191" s="18"/>
      <c r="X191" s="18"/>
      <c r="Y191" s="18"/>
      <c r="Z191" s="18"/>
    </row>
    <row r="192" customFormat="false" ht="13.8" hidden="false" customHeight="false" outlineLevel="0" collapsed="false">
      <c r="A192" s="12" t="s">
        <v>133</v>
      </c>
      <c r="B192" s="146"/>
      <c r="C192" s="147" t="n">
        <f aca="false">VLOOKUP(A192,'imp-questions'!A:H,5,FALSE())</f>
        <v>2</v>
      </c>
      <c r="D192" s="47" t="str">
        <f aca="false">VLOOKUP(A192,'imp-questions'!A:H,6,FALSE())</f>
        <v>Do you follow a documented process for incident detection?</v>
      </c>
      <c r="E192" s="48" t="str">
        <f aca="false">CHAR(65+VLOOKUP(A192,'imp-questions'!A:H,8,FALSE()))</f>
        <v>F</v>
      </c>
      <c r="F192" s="97"/>
      <c r="G192" s="63" t="n">
        <f aca="false">IFERROR(VLOOKUP(F192,AnsFTBL,2,FALSE()),0)</f>
        <v>0</v>
      </c>
      <c r="H192" s="51" t="n">
        <f aca="false">IFERROR(AVERAGE(G192,G199),0)</f>
        <v>0</v>
      </c>
      <c r="I192" s="88"/>
      <c r="J192" s="17"/>
      <c r="K192" s="18"/>
      <c r="L192" s="54"/>
      <c r="M192" s="54"/>
      <c r="N192" s="54"/>
      <c r="O192" s="54"/>
      <c r="P192" s="54"/>
      <c r="Q192" s="18"/>
      <c r="R192" s="18"/>
      <c r="S192" s="18"/>
      <c r="T192" s="18"/>
      <c r="U192" s="18"/>
      <c r="V192" s="18"/>
      <c r="W192" s="18"/>
      <c r="X192" s="18"/>
      <c r="Y192" s="18"/>
      <c r="Z192" s="18"/>
    </row>
    <row r="193" customFormat="false" ht="57.95" hidden="false" customHeight="false" outlineLevel="0" collapsed="false">
      <c r="B193" s="146"/>
      <c r="C193" s="67"/>
      <c r="D193" s="56" t="str">
        <f aca="false">VLOOKUP(A192,'imp-questions'!A:H,7,FALSE())</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57"/>
      <c r="F193" s="99"/>
      <c r="G193" s="149"/>
      <c r="H193" s="60"/>
      <c r="I193" s="88"/>
      <c r="J193" s="17"/>
      <c r="K193" s="18"/>
      <c r="L193" s="54"/>
      <c r="M193" s="54"/>
      <c r="N193" s="54"/>
      <c r="O193" s="54"/>
      <c r="P193" s="54"/>
      <c r="Q193" s="18"/>
      <c r="R193" s="18"/>
      <c r="S193" s="18"/>
      <c r="T193" s="18"/>
      <c r="U193" s="18"/>
      <c r="V193" s="18"/>
      <c r="W193" s="18"/>
      <c r="X193" s="18"/>
      <c r="Y193" s="18"/>
      <c r="Z193" s="18"/>
    </row>
    <row r="194" customFormat="false" ht="13.8" hidden="false" customHeight="false" outlineLevel="0" collapsed="false">
      <c r="A194" s="12" t="s">
        <v>134</v>
      </c>
      <c r="B194" s="146"/>
      <c r="C194" s="147" t="n">
        <f aca="false">VLOOKUP(A194,'imp-questions'!A:H,5,FALSE())</f>
        <v>3</v>
      </c>
      <c r="D194" s="47" t="str">
        <f aca="false">VLOOKUP(A194,'imp-questions'!A:H,6,FALSE())</f>
        <v>Do you review and update the incident detection process regularly?</v>
      </c>
      <c r="E194" s="48" t="str">
        <f aca="false">CHAR(65+VLOOKUP(A194,'imp-questions'!A:H,8,FALSE()))</f>
        <v>F</v>
      </c>
      <c r="F194" s="97"/>
      <c r="G194" s="63" t="n">
        <f aca="false">IFERROR(VLOOKUP(F194,AnsFTBL,2,FALSE()),0)</f>
        <v>0</v>
      </c>
      <c r="H194" s="51" t="n">
        <f aca="false">IFERROR(AVERAGE(G194,G201),0)</f>
        <v>0</v>
      </c>
      <c r="I194" s="89"/>
      <c r="J194" s="17"/>
      <c r="K194" s="18"/>
      <c r="L194" s="54"/>
      <c r="M194" s="54"/>
      <c r="N194" s="54"/>
      <c r="O194" s="54"/>
      <c r="P194" s="54"/>
      <c r="Q194" s="18"/>
      <c r="R194" s="18"/>
      <c r="S194" s="18"/>
      <c r="T194" s="18"/>
      <c r="U194" s="18"/>
      <c r="V194" s="18"/>
      <c r="W194" s="18"/>
      <c r="X194" s="18"/>
      <c r="Y194" s="18"/>
      <c r="Z194" s="18"/>
    </row>
    <row r="195" customFormat="false" ht="23.85" hidden="false" customHeight="false" outlineLevel="0" collapsed="false">
      <c r="B195" s="146"/>
      <c r="C195" s="67"/>
      <c r="D195" s="56" t="str">
        <f aca="false">VLOOKUP(A194,'imp-questions'!A:H,7,FALSE())</f>
        <v>You perform reviews at least annually
You update the checklist of potential attacks with external and internal data</v>
      </c>
      <c r="E195" s="57"/>
      <c r="F195" s="68"/>
      <c r="G195" s="149"/>
      <c r="H195" s="60"/>
      <c r="I195" s="89"/>
      <c r="J195" s="17"/>
      <c r="K195" s="18"/>
      <c r="L195" s="54"/>
      <c r="M195" s="54"/>
      <c r="N195" s="54"/>
      <c r="O195" s="54"/>
      <c r="P195" s="54"/>
      <c r="Q195" s="18"/>
      <c r="R195" s="18"/>
      <c r="S195" s="18"/>
      <c r="T195" s="18"/>
      <c r="U195" s="18"/>
      <c r="V195" s="18"/>
      <c r="W195" s="18"/>
      <c r="X195" s="18"/>
      <c r="Y195" s="18"/>
      <c r="Z195" s="18"/>
    </row>
    <row r="196" customFormat="false" ht="13.8" hidden="false" customHeight="false" outlineLevel="0" collapsed="false">
      <c r="B196" s="105"/>
      <c r="C196" s="70"/>
      <c r="D196" s="70"/>
      <c r="E196" s="70"/>
      <c r="F196" s="70"/>
      <c r="G196" s="70"/>
      <c r="H196" s="70"/>
      <c r="I196" s="106"/>
      <c r="J196" s="66"/>
      <c r="K196" s="18"/>
      <c r="L196" s="54"/>
      <c r="M196" s="54"/>
      <c r="N196" s="54"/>
      <c r="O196" s="54"/>
      <c r="P196" s="54"/>
      <c r="Q196" s="18"/>
      <c r="R196" s="18"/>
      <c r="S196" s="18"/>
      <c r="T196" s="18"/>
      <c r="U196" s="18"/>
      <c r="V196" s="18"/>
      <c r="W196" s="18"/>
      <c r="X196" s="18"/>
      <c r="Y196" s="18"/>
      <c r="Z196" s="18"/>
    </row>
    <row r="197" customFormat="false" ht="13.8" hidden="false" customHeight="false" outlineLevel="0" collapsed="false">
      <c r="A197" s="12" t="s">
        <v>135</v>
      </c>
      <c r="B197" s="146" t="str">
        <f aca="false">VLOOKUP(A197,'imp-questions'!A:H,4,FALSE())</f>
        <v>Incident Response</v>
      </c>
      <c r="C197" s="147" t="n">
        <f aca="false">VLOOKUP(A197,'imp-questions'!A:H,5,FALSE())</f>
        <v>1</v>
      </c>
      <c r="D197" s="47" t="str">
        <f aca="false">VLOOKUP(A197,'imp-questions'!A:H,6,FALSE())</f>
        <v>Do you respond to detected incidents?</v>
      </c>
      <c r="E197" s="48" t="str">
        <f aca="false">CHAR(65+VLOOKUP(A197,'imp-questions'!A:H,8,FALSE()))</f>
        <v>R</v>
      </c>
      <c r="F197" s="49"/>
      <c r="G197" s="63" t="n">
        <f aca="false">IFERROR(VLOOKUP(F197,AnsRTBL,2,FALSE()),0)</f>
        <v>0</v>
      </c>
      <c r="H197" s="64"/>
      <c r="I197" s="52"/>
      <c r="J197" s="66"/>
      <c r="K197" s="18"/>
      <c r="L197" s="54"/>
      <c r="M197" s="54"/>
      <c r="N197" s="54"/>
      <c r="O197" s="54"/>
      <c r="P197" s="54"/>
      <c r="Q197" s="18"/>
      <c r="R197" s="18"/>
      <c r="S197" s="18"/>
      <c r="T197" s="18"/>
      <c r="U197" s="18"/>
      <c r="V197" s="18"/>
      <c r="W197" s="18"/>
      <c r="X197" s="18"/>
      <c r="Y197" s="18"/>
      <c r="Z197" s="18"/>
    </row>
    <row r="198" customFormat="false" ht="23.85" hidden="false" customHeight="false" outlineLevel="0" collapsed="false">
      <c r="B198" s="146"/>
      <c r="C198" s="67"/>
      <c r="D198" s="56" t="str">
        <f aca="false">VLOOKUP(A197,'imp-questions'!A:H,7,FALSE())</f>
        <v>You have a defined person or role for incident handling
You document security incidents</v>
      </c>
      <c r="E198" s="57"/>
      <c r="F198" s="68"/>
      <c r="G198" s="149"/>
      <c r="H198" s="150"/>
      <c r="I198" s="52"/>
      <c r="J198" s="66"/>
      <c r="K198" s="18"/>
      <c r="L198" s="54"/>
      <c r="M198" s="54"/>
      <c r="N198" s="54"/>
      <c r="O198" s="54"/>
      <c r="P198" s="54"/>
      <c r="Q198" s="18"/>
      <c r="R198" s="18"/>
      <c r="S198" s="18"/>
      <c r="T198" s="18"/>
      <c r="U198" s="18"/>
      <c r="V198" s="18"/>
      <c r="W198" s="18"/>
      <c r="X198" s="18"/>
      <c r="Y198" s="18"/>
      <c r="Z198" s="18"/>
    </row>
    <row r="199" customFormat="false" ht="13.8" hidden="false" customHeight="false" outlineLevel="0" collapsed="false">
      <c r="A199" s="12" t="s">
        <v>136</v>
      </c>
      <c r="B199" s="146"/>
      <c r="C199" s="147" t="n">
        <f aca="false">VLOOKUP(A199,'imp-questions'!A:H,5,FALSE())</f>
        <v>2</v>
      </c>
      <c r="D199" s="47" t="str">
        <f aca="false">VLOOKUP(A199,'imp-questions'!A:H,6,FALSE())</f>
        <v>Do you use a repeatable process for incident handling?</v>
      </c>
      <c r="E199" s="48" t="str">
        <f aca="false">CHAR(65+VLOOKUP(A199,'imp-questions'!A:H,8,FALSE()))</f>
        <v>Q</v>
      </c>
      <c r="F199" s="62"/>
      <c r="G199" s="63" t="n">
        <f aca="false">IFERROR(VLOOKUP(F199,AnsQTBL,2,FALSE()),0)</f>
        <v>0</v>
      </c>
      <c r="H199" s="64"/>
      <c r="I199" s="52"/>
      <c r="J199" s="66"/>
      <c r="K199" s="18"/>
      <c r="L199" s="54"/>
      <c r="M199" s="54"/>
      <c r="N199" s="54"/>
      <c r="O199" s="54"/>
      <c r="P199" s="54"/>
      <c r="Q199" s="18"/>
      <c r="R199" s="18"/>
      <c r="S199" s="18"/>
      <c r="T199" s="18"/>
      <c r="U199" s="18"/>
      <c r="V199" s="18"/>
      <c r="W199" s="18"/>
      <c r="X199" s="18"/>
      <c r="Y199" s="18"/>
      <c r="Z199" s="18"/>
    </row>
    <row r="200" customFormat="false" ht="46.55" hidden="false" customHeight="false" outlineLevel="0" collapsed="false">
      <c r="B200" s="146"/>
      <c r="C200" s="67"/>
      <c r="D200" s="56" t="str">
        <f aca="false">VLOOKUP(A199,'imp-questions'!A:H,7,FALSE())</f>
        <v>You have an agreed upon incident classification
The process considers Root Case Analysis for high severity incidents
Employees responsible for incident response are trained in this process
Forensic analysis tooling is available</v>
      </c>
      <c r="E200" s="57"/>
      <c r="F200" s="68"/>
      <c r="G200" s="149"/>
      <c r="H200" s="150"/>
      <c r="I200" s="52"/>
      <c r="J200" s="66"/>
      <c r="K200" s="18"/>
      <c r="L200" s="54"/>
      <c r="M200" s="54"/>
      <c r="N200" s="54"/>
      <c r="O200" s="54"/>
      <c r="P200" s="54"/>
      <c r="Q200" s="18"/>
      <c r="R200" s="18"/>
      <c r="S200" s="18"/>
      <c r="T200" s="18"/>
      <c r="U200" s="18"/>
      <c r="V200" s="18"/>
      <c r="W200" s="18"/>
      <c r="X200" s="18"/>
      <c r="Y200" s="18"/>
      <c r="Z200" s="18"/>
    </row>
    <row r="201" customFormat="false" ht="13.8" hidden="false" customHeight="false" outlineLevel="0" collapsed="false">
      <c r="A201" s="12" t="s">
        <v>137</v>
      </c>
      <c r="B201" s="146"/>
      <c r="C201" s="147" t="n">
        <f aca="false">VLOOKUP(A201,'imp-questions'!A:H,5,FALSE())</f>
        <v>3</v>
      </c>
      <c r="D201" s="47" t="str">
        <f aca="false">VLOOKUP(A201,'imp-questions'!A:H,6,FALSE())</f>
        <v>Do you have a dedicated incident response team available?</v>
      </c>
      <c r="E201" s="48" t="str">
        <f aca="false">CHAR(65+VLOOKUP(A201,'imp-questions'!A:H,8,FALSE()))</f>
        <v>H</v>
      </c>
      <c r="F201" s="62"/>
      <c r="G201" s="63" t="n">
        <f aca="false">IFERROR(VLOOKUP(F201,AnsHTBL,2,FALSE()),0)</f>
        <v>0</v>
      </c>
      <c r="H201" s="64"/>
      <c r="I201" s="52"/>
      <c r="J201" s="66"/>
      <c r="K201" s="18"/>
      <c r="L201" s="54"/>
      <c r="M201" s="54"/>
      <c r="N201" s="54"/>
      <c r="O201" s="54"/>
      <c r="P201" s="54"/>
      <c r="Q201" s="18"/>
      <c r="R201" s="18"/>
      <c r="S201" s="18"/>
      <c r="T201" s="18"/>
      <c r="U201" s="18"/>
      <c r="V201" s="18"/>
      <c r="W201" s="18"/>
      <c r="X201" s="18"/>
      <c r="Y201" s="18"/>
      <c r="Z201" s="18"/>
    </row>
    <row r="202" customFormat="false" ht="23.85" hidden="false" customHeight="false" outlineLevel="0" collapsed="false">
      <c r="B202" s="146"/>
      <c r="C202" s="67"/>
      <c r="D202" s="56" t="str">
        <f aca="false">VLOOKUP(A201,'imp-questions'!A:H,7,FALSE())</f>
        <v>The team performs Root Cause Analysis for all security incidents unless there is a specific reason not to do so
You review and update the response process at least annually</v>
      </c>
      <c r="E202" s="57"/>
      <c r="F202" s="68"/>
      <c r="G202" s="149"/>
      <c r="H202" s="150"/>
      <c r="I202" s="52"/>
      <c r="J202" s="66"/>
      <c r="K202" s="18"/>
      <c r="L202" s="54"/>
      <c r="M202" s="54"/>
      <c r="N202" s="54"/>
      <c r="O202" s="54"/>
      <c r="P202" s="54"/>
      <c r="Q202" s="18"/>
      <c r="R202" s="18"/>
      <c r="S202" s="18"/>
      <c r="T202" s="18"/>
      <c r="U202" s="18"/>
      <c r="V202" s="18"/>
      <c r="W202" s="18"/>
      <c r="X202" s="18"/>
      <c r="Y202" s="18"/>
      <c r="Z202" s="18"/>
    </row>
    <row r="203" customFormat="false" ht="13.5" hidden="false" customHeight="true" outlineLevel="0" collapsed="false">
      <c r="B203" s="151" t="s">
        <v>138</v>
      </c>
      <c r="C203" s="151"/>
      <c r="D203" s="151"/>
      <c r="E203" s="152"/>
      <c r="F203" s="151" t="s">
        <v>41</v>
      </c>
      <c r="G203" s="151"/>
      <c r="H203" s="153"/>
      <c r="I203" s="145" t="s">
        <v>42</v>
      </c>
      <c r="J203" s="145" t="s">
        <v>43</v>
      </c>
      <c r="K203" s="18"/>
      <c r="L203" s="54"/>
      <c r="M203" s="54"/>
      <c r="N203" s="54"/>
      <c r="O203" s="54"/>
      <c r="P203" s="54"/>
      <c r="Q203" s="18"/>
      <c r="R203" s="18"/>
      <c r="S203" s="18"/>
      <c r="T203" s="18"/>
      <c r="U203" s="18"/>
      <c r="V203" s="18"/>
      <c r="W203" s="18"/>
      <c r="X203" s="18"/>
      <c r="Y203" s="18"/>
      <c r="Z203" s="18"/>
    </row>
    <row r="204" customFormat="false" ht="30" hidden="false" customHeight="true" outlineLevel="0" collapsed="false">
      <c r="A204" s="12" t="s">
        <v>139</v>
      </c>
      <c r="B204" s="146" t="str">
        <f aca="false">VLOOKUP(A204,'imp-questions'!A:H,4,FALSE())</f>
        <v>Configuration Hardening</v>
      </c>
      <c r="C204" s="147" t="n">
        <f aca="false">VLOOKUP(A204,'imp-questions'!A:H,5,FALSE())</f>
        <v>1</v>
      </c>
      <c r="D204" s="47" t="str">
        <f aca="false">VLOOKUP(A204,'imp-questions'!A:H,6,FALSE())</f>
        <v>Do you harden configurations for key components of your technology stacks?</v>
      </c>
      <c r="E204" s="48" t="str">
        <f aca="false">CHAR(65+VLOOKUP(A204,'imp-questions'!A:H,8,FALSE()))</f>
        <v>M</v>
      </c>
      <c r="F204" s="97"/>
      <c r="G204" s="63" t="n">
        <f aca="false">IFERROR(VLOOKUP(F204,AnsMTBL,2,FALSE()),0)</f>
        <v>0</v>
      </c>
      <c r="H204" s="51" t="n">
        <f aca="false">IFERROR(AVERAGE(G204,G211),0)</f>
        <v>0</v>
      </c>
      <c r="I204" s="87"/>
      <c r="J204" s="148" t="n">
        <f aca="false">SUM(H204,H206,H208)</f>
        <v>0</v>
      </c>
      <c r="K204" s="18"/>
      <c r="L204" s="54"/>
      <c r="M204" s="54"/>
      <c r="N204" s="54"/>
      <c r="O204" s="54"/>
      <c r="P204" s="54"/>
      <c r="Q204" s="18"/>
      <c r="R204" s="18"/>
      <c r="S204" s="18"/>
      <c r="T204" s="18"/>
      <c r="U204" s="18"/>
      <c r="V204" s="18"/>
      <c r="W204" s="18"/>
      <c r="X204" s="18"/>
      <c r="Y204" s="18"/>
      <c r="Z204" s="18"/>
    </row>
    <row r="205" customFormat="false" ht="23.85" hidden="false" customHeight="false" outlineLevel="0" collapsed="false">
      <c r="B205" s="146"/>
      <c r="C205" s="67"/>
      <c r="D205" s="56" t="str">
        <f aca="false">VLOOKUP(A204,'imp-questions'!A:H,7,FALSE())</f>
        <v>You have identified the key components in each technology stack used
You have an established configuration standard for each key component</v>
      </c>
      <c r="E205" s="57"/>
      <c r="F205" s="68"/>
      <c r="G205" s="149"/>
      <c r="H205" s="60"/>
      <c r="I205" s="87"/>
      <c r="J205" s="148"/>
      <c r="K205" s="18"/>
      <c r="L205" s="54"/>
      <c r="M205" s="54"/>
      <c r="N205" s="54"/>
      <c r="O205" s="54"/>
      <c r="P205" s="54"/>
      <c r="Q205" s="18"/>
      <c r="R205" s="18"/>
      <c r="S205" s="18"/>
      <c r="T205" s="18"/>
      <c r="U205" s="18"/>
      <c r="V205" s="18"/>
      <c r="W205" s="18"/>
      <c r="X205" s="18"/>
      <c r="Y205" s="18"/>
      <c r="Z205" s="18"/>
    </row>
    <row r="206" customFormat="false" ht="13.8" hidden="false" customHeight="false" outlineLevel="0" collapsed="false">
      <c r="A206" s="12" t="s">
        <v>140</v>
      </c>
      <c r="B206" s="146"/>
      <c r="C206" s="147" t="n">
        <f aca="false">VLOOKUP(A206,'imp-questions'!A:H,5,FALSE())</f>
        <v>2</v>
      </c>
      <c r="D206" s="47" t="str">
        <f aca="false">VLOOKUP(A206,'imp-questions'!A:H,6,FALSE())</f>
        <v>Do you have hardening baselines for your components?</v>
      </c>
      <c r="E206" s="48" t="str">
        <f aca="false">CHAR(65+VLOOKUP(A206,'imp-questions'!A:H,8,FALSE()))</f>
        <v>M</v>
      </c>
      <c r="F206" s="62"/>
      <c r="G206" s="63" t="n">
        <f aca="false">IFERROR(VLOOKUP(F206,AnsMTBL,2,FALSE()),0)</f>
        <v>0</v>
      </c>
      <c r="H206" s="51" t="n">
        <f aca="false">IFERROR(AVERAGE(G206,G213),0)</f>
        <v>0</v>
      </c>
      <c r="I206" s="88"/>
      <c r="J206" s="17"/>
      <c r="K206" s="18"/>
      <c r="L206" s="54"/>
      <c r="M206" s="54"/>
      <c r="N206" s="54"/>
      <c r="O206" s="54"/>
      <c r="P206" s="54"/>
      <c r="Q206" s="18"/>
      <c r="R206" s="18"/>
      <c r="S206" s="18"/>
      <c r="T206" s="18"/>
      <c r="U206" s="18"/>
      <c r="V206" s="18"/>
      <c r="W206" s="18"/>
      <c r="X206" s="18"/>
      <c r="Y206" s="18"/>
      <c r="Z206" s="18"/>
    </row>
    <row r="207" customFormat="false" ht="46.55" hidden="false" customHeight="false" outlineLevel="0" collapsed="false">
      <c r="B207" s="146"/>
      <c r="C207" s="67"/>
      <c r="D207" s="56" t="str">
        <f aca="false">VLOOKUP(A206,'imp-questions'!A:H,7,FALSE())</f>
        <v>You have assigned an owner for each baseline
The owner keeps their assigned baselines up to date
You store baselines in an accessible location
You train employees responsible for configurations in these baselines</v>
      </c>
      <c r="E207" s="57"/>
      <c r="F207" s="68"/>
      <c r="G207" s="149"/>
      <c r="H207" s="60"/>
      <c r="I207" s="88"/>
      <c r="J207" s="17"/>
      <c r="K207" s="18"/>
      <c r="L207" s="54"/>
      <c r="M207" s="54"/>
      <c r="N207" s="54"/>
      <c r="O207" s="54"/>
      <c r="P207" s="54"/>
      <c r="Q207" s="18"/>
      <c r="R207" s="18"/>
      <c r="S207" s="18"/>
      <c r="T207" s="18"/>
      <c r="U207" s="18"/>
      <c r="V207" s="18"/>
      <c r="W207" s="18"/>
      <c r="X207" s="18"/>
      <c r="Y207" s="18"/>
      <c r="Z207" s="18"/>
    </row>
    <row r="208" customFormat="false" ht="13.8" hidden="false" customHeight="false" outlineLevel="0" collapsed="false">
      <c r="A208" s="12" t="s">
        <v>141</v>
      </c>
      <c r="B208" s="146"/>
      <c r="C208" s="147" t="n">
        <f aca="false">VLOOKUP(A208,'imp-questions'!A:H,5,FALSE())</f>
        <v>3</v>
      </c>
      <c r="D208" s="47" t="str">
        <f aca="false">VLOOKUP(A208,'imp-questions'!A:H,6,FALSE())</f>
        <v>Do you monitor and enforce conformity with hardening baselines?</v>
      </c>
      <c r="E208" s="48" t="str">
        <f aca="false">CHAR(65+VLOOKUP(A208,'imp-questions'!A:H,8,FALSE()))</f>
        <v>M</v>
      </c>
      <c r="F208" s="62"/>
      <c r="G208" s="63" t="n">
        <f aca="false">IFERROR(VLOOKUP(F208,AnsMTBL,2,FALSE()),0)</f>
        <v>0</v>
      </c>
      <c r="H208" s="51" t="n">
        <f aca="false">IFERROR(AVERAGE(G208,G215),0)</f>
        <v>0</v>
      </c>
      <c r="I208" s="89"/>
      <c r="J208" s="17"/>
      <c r="K208" s="18"/>
      <c r="L208" s="54"/>
      <c r="M208" s="54"/>
      <c r="N208" s="54"/>
      <c r="O208" s="54"/>
      <c r="P208" s="54"/>
      <c r="Q208" s="18"/>
      <c r="R208" s="18"/>
      <c r="S208" s="18"/>
      <c r="T208" s="18"/>
      <c r="U208" s="18"/>
      <c r="V208" s="18"/>
      <c r="W208" s="18"/>
      <c r="X208" s="18"/>
      <c r="Y208" s="18"/>
      <c r="Z208" s="18"/>
    </row>
    <row r="209" customFormat="false" ht="46.55" hidden="false" customHeight="false" outlineLevel="0" collapsed="false">
      <c r="B209" s="146"/>
      <c r="C209" s="67"/>
      <c r="D209" s="56" t="str">
        <f aca="false">VLOOKUP(A208,'imp-questions'!A:H,7,FALSE())</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57"/>
      <c r="F209" s="68"/>
      <c r="G209" s="149"/>
      <c r="H209" s="60"/>
      <c r="I209" s="89"/>
      <c r="J209" s="17"/>
      <c r="K209" s="18"/>
      <c r="L209" s="54"/>
      <c r="M209" s="54"/>
      <c r="N209" s="54"/>
      <c r="O209" s="54"/>
      <c r="P209" s="54"/>
      <c r="Q209" s="18"/>
      <c r="R209" s="18"/>
      <c r="S209" s="18"/>
      <c r="T209" s="18"/>
      <c r="U209" s="18"/>
      <c r="V209" s="18"/>
      <c r="W209" s="18"/>
      <c r="X209" s="18"/>
      <c r="Y209" s="18"/>
      <c r="Z209" s="18"/>
    </row>
    <row r="210" customFormat="false" ht="13.8" hidden="false" customHeight="false" outlineLevel="0" collapsed="false">
      <c r="B210" s="105"/>
      <c r="C210" s="70"/>
      <c r="D210" s="70"/>
      <c r="E210" s="70"/>
      <c r="F210" s="70"/>
      <c r="G210" s="70"/>
      <c r="H210" s="70"/>
      <c r="I210" s="106"/>
      <c r="J210" s="66"/>
      <c r="K210" s="18"/>
      <c r="L210" s="54"/>
      <c r="M210" s="54"/>
      <c r="N210" s="54"/>
      <c r="O210" s="54"/>
      <c r="P210" s="54"/>
      <c r="Q210" s="18"/>
      <c r="R210" s="18"/>
      <c r="S210" s="18"/>
      <c r="T210" s="18"/>
      <c r="U210" s="18"/>
      <c r="V210" s="18"/>
      <c r="W210" s="18"/>
      <c r="X210" s="18"/>
      <c r="Y210" s="18"/>
      <c r="Z210" s="18"/>
    </row>
    <row r="211" customFormat="false" ht="13.8" hidden="false" customHeight="false" outlineLevel="0" collapsed="false">
      <c r="A211" s="12" t="s">
        <v>142</v>
      </c>
      <c r="B211" s="146" t="str">
        <f aca="false">VLOOKUP(A211,'imp-questions'!A:H,4,FALSE())</f>
        <v>Patching and Updating</v>
      </c>
      <c r="C211" s="147" t="n">
        <f aca="false">VLOOKUP(A211,'imp-questions'!A:H,5,FALSE())</f>
        <v>1</v>
      </c>
      <c r="D211" s="47" t="str">
        <f aca="false">VLOOKUP(A211,'imp-questions'!A:H,6,FALSE())</f>
        <v>Do you identify and patch vulnerable components?</v>
      </c>
      <c r="E211" s="48" t="str">
        <f aca="false">CHAR(65+VLOOKUP(A211,'imp-questions'!A:H,8,FALSE()))</f>
        <v>M</v>
      </c>
      <c r="F211" s="49"/>
      <c r="G211" s="63" t="n">
        <f aca="false">IFERROR(VLOOKUP(F211,AnsMTBL,2,FALSE()),0)</f>
        <v>0</v>
      </c>
      <c r="H211" s="64"/>
      <c r="I211" s="52"/>
      <c r="J211" s="66"/>
      <c r="K211" s="18"/>
      <c r="L211" s="54"/>
      <c r="M211" s="54"/>
      <c r="N211" s="54"/>
      <c r="O211" s="54"/>
      <c r="P211" s="54"/>
      <c r="Q211" s="18"/>
      <c r="R211" s="18"/>
      <c r="S211" s="18"/>
      <c r="T211" s="18"/>
      <c r="U211" s="18"/>
      <c r="V211" s="18"/>
      <c r="W211" s="18"/>
      <c r="X211" s="18"/>
      <c r="Y211" s="18"/>
      <c r="Z211" s="18"/>
    </row>
    <row r="212" customFormat="false" ht="23.85" hidden="false" customHeight="false" outlineLevel="0" collapsed="false">
      <c r="B212" s="146"/>
      <c r="C212" s="67"/>
      <c r="D212" s="56" t="str">
        <f aca="false">VLOOKUP(A211,'imp-questions'!A:H,7,FALSE())</f>
        <v>You have an up-to-date list of components, including version information
You regularly review public sources for vulnerabilities related to your components</v>
      </c>
      <c r="E212" s="57"/>
      <c r="F212" s="68"/>
      <c r="G212" s="149"/>
      <c r="H212" s="150"/>
      <c r="I212" s="52"/>
      <c r="J212" s="66"/>
      <c r="K212" s="18"/>
      <c r="L212" s="54"/>
      <c r="M212" s="54"/>
      <c r="N212" s="54"/>
      <c r="O212" s="54"/>
      <c r="P212" s="54"/>
      <c r="Q212" s="18"/>
      <c r="R212" s="18"/>
      <c r="S212" s="18"/>
      <c r="T212" s="18"/>
      <c r="U212" s="18"/>
      <c r="V212" s="18"/>
      <c r="W212" s="18"/>
      <c r="X212" s="18"/>
      <c r="Y212" s="18"/>
      <c r="Z212" s="18"/>
    </row>
    <row r="213" customFormat="false" ht="13.8" hidden="false" customHeight="false" outlineLevel="0" collapsed="false">
      <c r="A213" s="12" t="s">
        <v>143</v>
      </c>
      <c r="B213" s="146"/>
      <c r="C213" s="147" t="n">
        <f aca="false">VLOOKUP(A213,'imp-questions'!A:H,5,FALSE())</f>
        <v>2</v>
      </c>
      <c r="D213" s="47" t="str">
        <f aca="false">VLOOKUP(A213,'imp-questions'!A:H,6,FALSE())</f>
        <v>Do you follow an established process for updating components of your technology stacks?</v>
      </c>
      <c r="E213" s="48" t="str">
        <f aca="false">CHAR(65+VLOOKUP(A213,'imp-questions'!A:H,8,FALSE()))</f>
        <v>M</v>
      </c>
      <c r="F213" s="62"/>
      <c r="G213" s="63" t="n">
        <f aca="false">IFERROR(VLOOKUP(F213,AnsMTBL,2,FALSE()),0)</f>
        <v>0</v>
      </c>
      <c r="H213" s="64"/>
      <c r="I213" s="52"/>
      <c r="J213" s="66"/>
      <c r="K213" s="18"/>
      <c r="L213" s="54"/>
      <c r="M213" s="54"/>
      <c r="N213" s="54"/>
      <c r="O213" s="54"/>
      <c r="P213" s="54"/>
      <c r="Q213" s="18"/>
      <c r="R213" s="18"/>
      <c r="S213" s="18"/>
      <c r="T213" s="18"/>
      <c r="U213" s="18"/>
      <c r="V213" s="18"/>
      <c r="W213" s="18"/>
      <c r="X213" s="18"/>
      <c r="Y213" s="18"/>
      <c r="Z213" s="18"/>
    </row>
    <row r="214" customFormat="false" ht="35.2" hidden="false" customHeight="false" outlineLevel="0" collapsed="false">
      <c r="B214" s="146"/>
      <c r="C214" s="67"/>
      <c r="D214" s="56" t="str">
        <f aca="false">VLOOKUP(A213,'imp-questions'!A:H,7,FALSE())</f>
        <v>The process includes vendor information for third-party patches
The process considers external sources to gather information about zero day attacks, and includes appropriate risk mitigation steps
The process includes guidance for prioritizing component updates</v>
      </c>
      <c r="E214" s="57"/>
      <c r="F214" s="68"/>
      <c r="G214" s="59"/>
      <c r="H214" s="60"/>
      <c r="I214" s="52"/>
      <c r="J214" s="66"/>
      <c r="K214" s="18"/>
      <c r="L214" s="54"/>
      <c r="M214" s="54"/>
      <c r="N214" s="54"/>
      <c r="O214" s="54"/>
      <c r="P214" s="54"/>
      <c r="Q214" s="18"/>
      <c r="R214" s="18"/>
      <c r="S214" s="18"/>
      <c r="T214" s="18"/>
      <c r="U214" s="18"/>
      <c r="V214" s="18"/>
      <c r="W214" s="18"/>
      <c r="X214" s="18"/>
      <c r="Y214" s="18"/>
      <c r="Z214" s="18"/>
    </row>
    <row r="215" customFormat="false" ht="13.8" hidden="false" customHeight="false" outlineLevel="0" collapsed="false">
      <c r="A215" s="12" t="s">
        <v>144</v>
      </c>
      <c r="B215" s="146"/>
      <c r="C215" s="147" t="n">
        <f aca="false">VLOOKUP(A215,'imp-questions'!A:H,5,FALSE())</f>
        <v>3</v>
      </c>
      <c r="D215" s="47" t="str">
        <f aca="false">VLOOKUP(A215,'imp-questions'!A:H,6,FALSE())</f>
        <v>Do you regularly evaluate components and review patch level status?</v>
      </c>
      <c r="E215" s="48" t="str">
        <f aca="false">CHAR(65+VLOOKUP(A215,'imp-questions'!A:H,8,FALSE()))</f>
        <v>M</v>
      </c>
      <c r="F215" s="62"/>
      <c r="G215" s="63" t="n">
        <f aca="false">IFERROR(VLOOKUP(F215,AnsMTBL,2,FALSE()),0)</f>
        <v>0</v>
      </c>
      <c r="H215" s="64"/>
      <c r="I215" s="52"/>
      <c r="J215" s="66"/>
      <c r="K215" s="18"/>
      <c r="L215" s="54"/>
      <c r="M215" s="54"/>
      <c r="N215" s="54"/>
      <c r="O215" s="54"/>
      <c r="P215" s="54"/>
      <c r="Q215" s="18"/>
      <c r="R215" s="18"/>
      <c r="S215" s="18"/>
      <c r="T215" s="18"/>
      <c r="U215" s="18"/>
      <c r="V215" s="18"/>
      <c r="W215" s="18"/>
      <c r="X215" s="18"/>
      <c r="Y215" s="18"/>
      <c r="Z215" s="18"/>
    </row>
    <row r="216" customFormat="false" ht="35.2" hidden="false" customHeight="false" outlineLevel="0" collapsed="false">
      <c r="B216" s="146"/>
      <c r="C216" s="67"/>
      <c r="D216" s="56" t="str">
        <f aca="false">VLOOKUP(A215,'imp-questions'!A:H,7,FALSE())</f>
        <v>You update the list with components and versions
You identify and update missing updates according to existing SLA
You review and update the process based on feedback from the people who perform patching</v>
      </c>
      <c r="E216" s="57"/>
      <c r="F216" s="68"/>
      <c r="G216" s="59"/>
      <c r="H216" s="60"/>
      <c r="I216" s="52"/>
      <c r="J216" s="66"/>
      <c r="K216" s="18"/>
      <c r="L216" s="54"/>
      <c r="M216" s="54"/>
      <c r="N216" s="54"/>
      <c r="O216" s="54"/>
      <c r="P216" s="54"/>
      <c r="Q216" s="18"/>
      <c r="R216" s="18"/>
      <c r="S216" s="18"/>
      <c r="T216" s="18"/>
      <c r="U216" s="18"/>
      <c r="V216" s="18"/>
      <c r="W216" s="18"/>
      <c r="X216" s="18"/>
      <c r="Y216" s="18"/>
      <c r="Z216" s="18"/>
    </row>
    <row r="217" customFormat="false" ht="13.5" hidden="false" customHeight="true" outlineLevel="0" collapsed="false">
      <c r="B217" s="151" t="s">
        <v>145</v>
      </c>
      <c r="C217" s="151"/>
      <c r="D217" s="151"/>
      <c r="E217" s="152"/>
      <c r="F217" s="151" t="s">
        <v>41</v>
      </c>
      <c r="G217" s="151"/>
      <c r="H217" s="153"/>
      <c r="I217" s="145" t="s">
        <v>42</v>
      </c>
      <c r="J217" s="145" t="s">
        <v>43</v>
      </c>
      <c r="K217" s="18"/>
      <c r="L217" s="54"/>
      <c r="M217" s="54"/>
      <c r="N217" s="54"/>
      <c r="O217" s="54"/>
      <c r="P217" s="54"/>
      <c r="Q217" s="18"/>
      <c r="R217" s="18"/>
      <c r="S217" s="18"/>
      <c r="T217" s="18"/>
      <c r="U217" s="18"/>
      <c r="V217" s="18"/>
      <c r="W217" s="18"/>
      <c r="X217" s="18"/>
      <c r="Y217" s="18"/>
      <c r="Z217" s="18"/>
    </row>
    <row r="218" customFormat="false" ht="23.85" hidden="false" customHeight="false" outlineLevel="0" collapsed="false">
      <c r="A218" s="12" t="s">
        <v>146</v>
      </c>
      <c r="B218" s="146" t="str">
        <f aca="false">VLOOKUP(A218,'imp-questions'!A:H,4,FALSE())</f>
        <v>Data Protection</v>
      </c>
      <c r="C218" s="147" t="n">
        <f aca="false">VLOOKUP(A218,'imp-questions'!A:H,5,FALSE())</f>
        <v>1</v>
      </c>
      <c r="D218" s="47" t="str">
        <f aca="false">VLOOKUP(A218,'imp-questions'!A:H,6,FALSE())</f>
        <v>Do you protect and handle information according to protection requirements for data stored and processed on each application?</v>
      </c>
      <c r="E218" s="48" t="str">
        <f aca="false">CHAR(65+VLOOKUP(A218,'imp-questions'!A:H,8,FALSE()))</f>
        <v>F</v>
      </c>
      <c r="F218" s="97"/>
      <c r="G218" s="63" t="n">
        <f aca="false">IFERROR(VLOOKUP(F218,AnsFTBL,2,FALSE()),0)</f>
        <v>0</v>
      </c>
      <c r="H218" s="51" t="n">
        <f aca="false">IFERROR(AVERAGE(G218,G225),0)</f>
        <v>0</v>
      </c>
      <c r="I218" s="87"/>
      <c r="J218" s="148" t="n">
        <f aca="false">SUM(H218,H220,H222)</f>
        <v>0</v>
      </c>
      <c r="K218" s="18"/>
      <c r="L218" s="54"/>
      <c r="M218" s="54"/>
      <c r="N218" s="54"/>
      <c r="O218" s="54"/>
      <c r="P218" s="54"/>
      <c r="Q218" s="18"/>
      <c r="R218" s="18"/>
      <c r="S218" s="18"/>
      <c r="T218" s="18"/>
      <c r="U218" s="18"/>
      <c r="V218" s="18"/>
      <c r="W218" s="18"/>
      <c r="X218" s="18"/>
      <c r="Y218" s="18"/>
      <c r="Z218" s="18"/>
    </row>
    <row r="219" customFormat="false" ht="35.2" hidden="false" customHeight="false" outlineLevel="0" collapsed="false">
      <c r="B219" s="146"/>
      <c r="C219" s="67"/>
      <c r="D219" s="56" t="str">
        <f aca="false">VLOOKUP(A218,'imp-questions'!A:H,7,FALSE())</f>
        <v>You know the data elements processed and stored by each application
You know the type and sensitivity level of each identified data element
You have controls to prevent propagation of unsanitized sensitive data from production to lower environments</v>
      </c>
      <c r="E219" s="57"/>
      <c r="F219" s="68"/>
      <c r="G219" s="59"/>
      <c r="H219" s="60"/>
      <c r="I219" s="87"/>
      <c r="J219" s="148"/>
      <c r="K219" s="18"/>
      <c r="L219" s="54"/>
      <c r="M219" s="54"/>
      <c r="N219" s="54"/>
      <c r="O219" s="54"/>
      <c r="P219" s="54"/>
      <c r="Q219" s="18"/>
      <c r="R219" s="18"/>
      <c r="S219" s="18"/>
      <c r="T219" s="18"/>
      <c r="U219" s="18"/>
      <c r="V219" s="18"/>
      <c r="W219" s="18"/>
      <c r="X219" s="18"/>
      <c r="Y219" s="18"/>
      <c r="Z219" s="18"/>
    </row>
    <row r="220" customFormat="false" ht="13.8" hidden="false" customHeight="false" outlineLevel="0" collapsed="false">
      <c r="A220" s="12" t="s">
        <v>147</v>
      </c>
      <c r="B220" s="146"/>
      <c r="C220" s="147" t="n">
        <f aca="false">VLOOKUP(A220,'imp-questions'!A:H,5,FALSE())</f>
        <v>2</v>
      </c>
      <c r="D220" s="47" t="str">
        <f aca="false">VLOOKUP(A220,'imp-questions'!A:H,6,FALSE())</f>
        <v>Do you maintain a data catalog, including types, sensitivity levels, and processing and storage locations?</v>
      </c>
      <c r="E220" s="48" t="str">
        <f aca="false">CHAR(65+VLOOKUP(A220,'imp-questions'!A:H,8,FALSE()))</f>
        <v>O</v>
      </c>
      <c r="F220" s="62"/>
      <c r="G220" s="63" t="n">
        <f aca="false">IFERROR(VLOOKUP(F220,AnsOTBL,2,FALSE()),0)</f>
        <v>0</v>
      </c>
      <c r="H220" s="51" t="n">
        <f aca="false">IFERROR(AVERAGE(G220,G227),0)</f>
        <v>0</v>
      </c>
      <c r="I220" s="88"/>
      <c r="J220" s="17"/>
      <c r="K220" s="18"/>
      <c r="L220" s="54"/>
      <c r="M220" s="54"/>
      <c r="N220" s="54"/>
      <c r="O220" s="54"/>
      <c r="P220" s="54"/>
      <c r="Q220" s="18"/>
      <c r="R220" s="18"/>
      <c r="S220" s="18"/>
      <c r="T220" s="18"/>
      <c r="U220" s="18"/>
      <c r="V220" s="18"/>
      <c r="W220" s="18"/>
      <c r="X220" s="18"/>
      <c r="Y220" s="18"/>
      <c r="Z220" s="18"/>
    </row>
    <row r="221" customFormat="false" ht="46.55" hidden="false" customHeight="false" outlineLevel="0" collapsed="false">
      <c r="B221" s="146"/>
      <c r="C221" s="67"/>
      <c r="D221" s="56" t="str">
        <f aca="false">VLOOKUP(A220,'imp-questions'!A:H,7,FALSE())</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57"/>
      <c r="F221" s="68"/>
      <c r="G221" s="59"/>
      <c r="H221" s="60"/>
      <c r="I221" s="88"/>
      <c r="J221" s="17"/>
      <c r="K221" s="18"/>
      <c r="L221" s="54"/>
      <c r="M221" s="54"/>
      <c r="N221" s="54"/>
      <c r="O221" s="54"/>
      <c r="P221" s="54"/>
      <c r="Q221" s="18"/>
      <c r="R221" s="18"/>
      <c r="S221" s="18"/>
      <c r="T221" s="18"/>
      <c r="U221" s="18"/>
      <c r="V221" s="18"/>
      <c r="W221" s="18"/>
      <c r="X221" s="18"/>
      <c r="Y221" s="18"/>
      <c r="Z221" s="18"/>
    </row>
    <row r="222" customFormat="false" ht="13.8" hidden="false" customHeight="false" outlineLevel="0" collapsed="false">
      <c r="A222" s="12" t="s">
        <v>148</v>
      </c>
      <c r="B222" s="146"/>
      <c r="C222" s="147" t="n">
        <f aca="false">VLOOKUP(A222,'imp-questions'!A:H,5,FALSE())</f>
        <v>3</v>
      </c>
      <c r="D222" s="47" t="str">
        <f aca="false">VLOOKUP(A222,'imp-questions'!A:H,6,FALSE())</f>
        <v>Do you regularly review and update the data catalog and your data protection policies and procedures?</v>
      </c>
      <c r="E222" s="48" t="str">
        <f aca="false">CHAR(65+VLOOKUP(A222,'imp-questions'!A:H,8,FALSE()))</f>
        <v>P</v>
      </c>
      <c r="F222" s="62"/>
      <c r="G222" s="63" t="n">
        <f aca="false">IFERROR(VLOOKUP(F222,AnsPTBL,2,FALSE()),0)</f>
        <v>0</v>
      </c>
      <c r="H222" s="51" t="n">
        <f aca="false">IFERROR(AVERAGE(G222,G229),0)</f>
        <v>0</v>
      </c>
      <c r="I222" s="89"/>
      <c r="J222" s="17"/>
      <c r="K222" s="18"/>
      <c r="L222" s="54"/>
      <c r="M222" s="54"/>
      <c r="N222" s="54"/>
      <c r="O222" s="54"/>
      <c r="P222" s="54"/>
      <c r="Q222" s="18"/>
      <c r="R222" s="18"/>
      <c r="S222" s="18"/>
      <c r="T222" s="18"/>
      <c r="U222" s="18"/>
      <c r="V222" s="18"/>
      <c r="W222" s="18"/>
      <c r="X222" s="18"/>
      <c r="Y222" s="18"/>
      <c r="Z222" s="18"/>
    </row>
    <row r="223" customFormat="false" ht="35.2" hidden="false" customHeight="false" outlineLevel="0" collapsed="false">
      <c r="B223" s="146"/>
      <c r="C223" s="67"/>
      <c r="D223" s="56" t="str">
        <f aca="false">VLOOKUP(A222,'imp-questions'!A:H,7,FALSE())</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57"/>
      <c r="F223" s="68"/>
      <c r="G223" s="59"/>
      <c r="H223" s="60"/>
      <c r="I223" s="89"/>
      <c r="J223" s="17"/>
      <c r="K223" s="18"/>
      <c r="L223" s="54"/>
      <c r="M223" s="54"/>
      <c r="N223" s="54"/>
      <c r="O223" s="54"/>
      <c r="P223" s="54"/>
      <c r="Q223" s="18"/>
      <c r="R223" s="18"/>
      <c r="S223" s="18"/>
      <c r="T223" s="18"/>
      <c r="U223" s="18"/>
      <c r="V223" s="18"/>
      <c r="W223" s="18"/>
      <c r="X223" s="18"/>
      <c r="Y223" s="18"/>
      <c r="Z223" s="18"/>
    </row>
    <row r="224" customFormat="false" ht="13.8" hidden="false" customHeight="false" outlineLevel="0" collapsed="false">
      <c r="B224" s="105"/>
      <c r="C224" s="70"/>
      <c r="D224" s="70"/>
      <c r="E224" s="70"/>
      <c r="F224" s="70"/>
      <c r="G224" s="70"/>
      <c r="H224" s="70"/>
      <c r="I224" s="106"/>
      <c r="J224" s="66"/>
      <c r="K224" s="18"/>
      <c r="L224" s="54"/>
      <c r="M224" s="54"/>
      <c r="N224" s="54"/>
      <c r="O224" s="54"/>
      <c r="P224" s="54"/>
      <c r="Q224" s="18"/>
      <c r="R224" s="18"/>
      <c r="S224" s="18"/>
      <c r="T224" s="18"/>
      <c r="U224" s="18"/>
      <c r="V224" s="18"/>
      <c r="W224" s="18"/>
      <c r="X224" s="18"/>
      <c r="Y224" s="18"/>
      <c r="Z224" s="18"/>
    </row>
    <row r="225" customFormat="false" ht="23.85" hidden="false" customHeight="false" outlineLevel="0" collapsed="false">
      <c r="A225" s="12" t="s">
        <v>149</v>
      </c>
      <c r="B225" s="146" t="str">
        <f aca="false">VLOOKUP(A225,'imp-questions'!A:H,4,FALSE())</f>
        <v>System Decomissioning / Legacy Management</v>
      </c>
      <c r="C225" s="147" t="n">
        <f aca="false">VLOOKUP(A225,'imp-questions'!A:H,5,FALSE())</f>
        <v>1</v>
      </c>
      <c r="D225" s="47" t="str">
        <f aca="false">VLOOKUP(A225,'imp-questions'!A:H,6,FALSE())</f>
        <v>Do you identify and remove systems, applications, application dependencies, or services that are no longer used, have reached end of life, or are no longer actively developed or supported?</v>
      </c>
      <c r="E225" s="48" t="str">
        <f aca="false">CHAR(65+VLOOKUP(A225,'imp-questions'!A:H,8,FALSE()))</f>
        <v>F</v>
      </c>
      <c r="F225" s="97"/>
      <c r="G225" s="63" t="n">
        <f aca="false">IFERROR(VLOOKUP(F225,AnsFTBL,2,FALSE()),0)</f>
        <v>0</v>
      </c>
      <c r="H225" s="64"/>
      <c r="I225" s="52"/>
      <c r="J225" s="66"/>
      <c r="K225" s="18"/>
      <c r="L225" s="54"/>
      <c r="M225" s="54"/>
      <c r="N225" s="54"/>
      <c r="O225" s="54"/>
      <c r="P225" s="54"/>
      <c r="Q225" s="18"/>
      <c r="R225" s="18"/>
      <c r="S225" s="18"/>
      <c r="T225" s="18"/>
      <c r="U225" s="18"/>
      <c r="V225" s="18"/>
      <c r="W225" s="18"/>
      <c r="X225" s="18"/>
      <c r="Y225" s="18"/>
      <c r="Z225" s="18"/>
    </row>
    <row r="226" customFormat="false" ht="23.85" hidden="false" customHeight="false" outlineLevel="0" collapsed="false">
      <c r="B226" s="146"/>
      <c r="C226" s="67"/>
      <c r="D226" s="56" t="str">
        <f aca="false">VLOOKUP(A225,'imp-questions'!A:H,7,FALSE())</f>
        <v>You do not use unsupported applications or dependencies
You manage customer/user migration from older versions for each product and customer/user group</v>
      </c>
      <c r="E226" s="57"/>
      <c r="F226" s="68"/>
      <c r="G226" s="59"/>
      <c r="H226" s="60"/>
      <c r="I226" s="52"/>
      <c r="J226" s="66"/>
      <c r="K226" s="18"/>
      <c r="L226" s="54"/>
      <c r="M226" s="54"/>
      <c r="N226" s="54"/>
      <c r="O226" s="54"/>
      <c r="P226" s="54"/>
      <c r="Q226" s="18"/>
      <c r="R226" s="18"/>
      <c r="S226" s="18"/>
      <c r="T226" s="18"/>
      <c r="U226" s="18"/>
      <c r="V226" s="18"/>
      <c r="W226" s="18"/>
      <c r="X226" s="18"/>
      <c r="Y226" s="18"/>
      <c r="Z226" s="18"/>
    </row>
    <row r="227" customFormat="false" ht="23.85" hidden="false" customHeight="false" outlineLevel="0" collapsed="false">
      <c r="A227" s="12" t="s">
        <v>150</v>
      </c>
      <c r="B227" s="146"/>
      <c r="C227" s="147" t="n">
        <f aca="false">VLOOKUP(A227,'imp-questions'!A:H,5,FALSE())</f>
        <v>2</v>
      </c>
      <c r="D227" s="47" t="str">
        <f aca="false">VLOOKUP(A227,'imp-questions'!A:H,6,FALSE())</f>
        <v>Do you follow an established process for removing all associated resources, as part of decommissioning of unused systems, applications, application dependencies, or services?</v>
      </c>
      <c r="E227" s="48" t="str">
        <f aca="false">CHAR(65+VLOOKUP(A227,'imp-questions'!A:H,8,FALSE()))</f>
        <v>H</v>
      </c>
      <c r="F227" s="62"/>
      <c r="G227" s="63" t="n">
        <f aca="false">IFERROR(VLOOKUP(F227,AnsHTBL,2,FALSE()),0)</f>
        <v>0</v>
      </c>
      <c r="H227" s="64"/>
      <c r="I227" s="52"/>
      <c r="J227" s="66"/>
      <c r="K227" s="18"/>
      <c r="L227" s="54"/>
      <c r="M227" s="54"/>
      <c r="N227" s="54"/>
      <c r="O227" s="54"/>
      <c r="P227" s="54"/>
      <c r="Q227" s="18"/>
      <c r="R227" s="18"/>
      <c r="S227" s="18"/>
      <c r="T227" s="18"/>
      <c r="U227" s="18"/>
      <c r="V227" s="18"/>
      <c r="W227" s="18"/>
      <c r="X227" s="18"/>
      <c r="Y227" s="18"/>
      <c r="Z227" s="18"/>
    </row>
    <row r="228" customFormat="false" ht="35.2" hidden="false" customHeight="false" outlineLevel="0" collapsed="false">
      <c r="B228" s="146"/>
      <c r="C228" s="67"/>
      <c r="D228" s="56" t="str">
        <f aca="false">VLOOKUP(A227,'imp-questions'!A:H,7,FALSE())</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57"/>
      <c r="F228" s="68"/>
      <c r="G228" s="59"/>
      <c r="H228" s="60"/>
      <c r="I228" s="52"/>
      <c r="J228" s="66"/>
      <c r="K228" s="18"/>
      <c r="L228" s="54"/>
      <c r="M228" s="54"/>
      <c r="N228" s="54"/>
      <c r="O228" s="54"/>
      <c r="P228" s="54"/>
      <c r="Q228" s="18"/>
      <c r="R228" s="18"/>
      <c r="S228" s="18"/>
      <c r="T228" s="18"/>
      <c r="U228" s="18"/>
      <c r="V228" s="18"/>
      <c r="W228" s="18"/>
      <c r="X228" s="18"/>
      <c r="Y228" s="18"/>
      <c r="Z228" s="18"/>
    </row>
    <row r="229" customFormat="false" ht="23.85" hidden="false" customHeight="false" outlineLevel="0" collapsed="false">
      <c r="A229" s="12" t="s">
        <v>151</v>
      </c>
      <c r="B229" s="146"/>
      <c r="C229" s="147" t="n">
        <f aca="false">VLOOKUP(A229,'imp-questions'!A:H,5,FALSE())</f>
        <v>3</v>
      </c>
      <c r="D229" s="47" t="str">
        <f aca="false">VLOOKUP(A229,'imp-questions'!A:H,6,FALSE())</f>
        <v>Do you regularly evaluate the lifecycle state and support status of every software asset and underlying infrastructure component, and estimate their end of life?</v>
      </c>
      <c r="E229" s="48" t="str">
        <f aca="false">CHAR(65+VLOOKUP(A229,'imp-questions'!A:H,8,FALSE()))</f>
        <v>S</v>
      </c>
      <c r="F229" s="62"/>
      <c r="G229" s="63" t="n">
        <f aca="false">IFERROR(VLOOKUP(F229,AnsSTBL,2,FALSE()),0)</f>
        <v>0</v>
      </c>
      <c r="H229" s="64"/>
      <c r="I229" s="52"/>
      <c r="J229" s="66"/>
      <c r="K229" s="18"/>
      <c r="L229" s="54"/>
      <c r="M229" s="54"/>
      <c r="N229" s="54"/>
      <c r="O229" s="54"/>
      <c r="P229" s="54"/>
      <c r="Q229" s="18"/>
      <c r="R229" s="18"/>
      <c r="S229" s="18"/>
      <c r="T229" s="18"/>
      <c r="U229" s="18"/>
      <c r="V229" s="18"/>
      <c r="W229" s="18"/>
      <c r="X229" s="18"/>
      <c r="Y229" s="18"/>
      <c r="Z229" s="18"/>
    </row>
    <row r="230" customFormat="false" ht="35.2" hidden="false" customHeight="false" outlineLevel="0" collapsed="false">
      <c r="B230" s="146"/>
      <c r="C230" s="67"/>
      <c r="D230" s="56" t="str">
        <f aca="false">VLOOKUP(A229,'imp-questions'!A:H,7,FALSE())</f>
        <v>Your end of life management process is agreed upon
You inform customers and user groups of product timelines to prevent disruption of service or support
You review the process at least annually</v>
      </c>
      <c r="E230" s="57"/>
      <c r="F230" s="68"/>
      <c r="G230" s="59"/>
      <c r="H230" s="60"/>
      <c r="I230" s="52"/>
      <c r="J230" s="66"/>
      <c r="K230" s="18"/>
      <c r="L230" s="54"/>
      <c r="M230" s="54"/>
      <c r="N230" s="54"/>
      <c r="O230" s="54"/>
      <c r="P230" s="54"/>
      <c r="Q230" s="18"/>
      <c r="R230" s="18"/>
      <c r="S230" s="18"/>
      <c r="T230" s="18"/>
      <c r="U230" s="18"/>
      <c r="V230" s="18"/>
      <c r="W230" s="18"/>
      <c r="X230" s="18"/>
      <c r="Y230" s="18"/>
      <c r="Z230" s="18"/>
    </row>
  </sheetData>
  <mergeCells count="166">
    <mergeCell ref="B1:I1"/>
    <mergeCell ref="B3:I3"/>
    <mergeCell ref="B4:I4"/>
    <mergeCell ref="B5:I5"/>
    <mergeCell ref="B6:I6"/>
    <mergeCell ref="B7:I7"/>
    <mergeCell ref="B8:I8"/>
    <mergeCell ref="B10:C10"/>
    <mergeCell ref="B11:C11"/>
    <mergeCell ref="B12:C12"/>
    <mergeCell ref="B13:C13"/>
    <mergeCell ref="B14:C14"/>
    <mergeCell ref="B16:J16"/>
    <mergeCell ref="B18:B23"/>
    <mergeCell ref="I18:I19"/>
    <mergeCell ref="J18:J19"/>
    <mergeCell ref="I20:I21"/>
    <mergeCell ref="I22:I23"/>
    <mergeCell ref="B25:B30"/>
    <mergeCell ref="I25:I26"/>
    <mergeCell ref="I27:I28"/>
    <mergeCell ref="I29:I30"/>
    <mergeCell ref="B31:D31"/>
    <mergeCell ref="B32:B37"/>
    <mergeCell ref="I32:I33"/>
    <mergeCell ref="J32:J33"/>
    <mergeCell ref="I34:I35"/>
    <mergeCell ref="I36:I37"/>
    <mergeCell ref="B39:B44"/>
    <mergeCell ref="I39:I40"/>
    <mergeCell ref="I41:I42"/>
    <mergeCell ref="I43:I44"/>
    <mergeCell ref="B45:D45"/>
    <mergeCell ref="B46:B51"/>
    <mergeCell ref="I46:I47"/>
    <mergeCell ref="J46:J47"/>
    <mergeCell ref="I48:I49"/>
    <mergeCell ref="I50:I51"/>
    <mergeCell ref="B53:B58"/>
    <mergeCell ref="I53:I54"/>
    <mergeCell ref="I55:I56"/>
    <mergeCell ref="I57:I58"/>
    <mergeCell ref="B59:J59"/>
    <mergeCell ref="B60:D60"/>
    <mergeCell ref="B61:B66"/>
    <mergeCell ref="I61:I62"/>
    <mergeCell ref="J61:J62"/>
    <mergeCell ref="I63:I64"/>
    <mergeCell ref="I65:I66"/>
    <mergeCell ref="B68:B73"/>
    <mergeCell ref="I68:I69"/>
    <mergeCell ref="I70:I71"/>
    <mergeCell ref="I72:I73"/>
    <mergeCell ref="B74:D74"/>
    <mergeCell ref="B75:B80"/>
    <mergeCell ref="I75:I76"/>
    <mergeCell ref="J75:J76"/>
    <mergeCell ref="I77:I78"/>
    <mergeCell ref="I79:I80"/>
    <mergeCell ref="B82:B87"/>
    <mergeCell ref="I82:I83"/>
    <mergeCell ref="I84:I85"/>
    <mergeCell ref="I86:I87"/>
    <mergeCell ref="B88:D88"/>
    <mergeCell ref="B89:B94"/>
    <mergeCell ref="I89:I90"/>
    <mergeCell ref="J89:J90"/>
    <mergeCell ref="I91:I92"/>
    <mergeCell ref="I93:I94"/>
    <mergeCell ref="B96:B101"/>
    <mergeCell ref="I96:I97"/>
    <mergeCell ref="I98:I99"/>
    <mergeCell ref="I100:I101"/>
    <mergeCell ref="B102:J102"/>
    <mergeCell ref="B103:D103"/>
    <mergeCell ref="B104:B109"/>
    <mergeCell ref="I104:I105"/>
    <mergeCell ref="J104:J105"/>
    <mergeCell ref="I106:I107"/>
    <mergeCell ref="I108:I109"/>
    <mergeCell ref="B111:B116"/>
    <mergeCell ref="I111:I112"/>
    <mergeCell ref="I113:I114"/>
    <mergeCell ref="I115:I116"/>
    <mergeCell ref="B117:D117"/>
    <mergeCell ref="B118:B123"/>
    <mergeCell ref="I118:I119"/>
    <mergeCell ref="J118:J119"/>
    <mergeCell ref="I120:I121"/>
    <mergeCell ref="I122:I123"/>
    <mergeCell ref="B125:B130"/>
    <mergeCell ref="I125:I126"/>
    <mergeCell ref="I127:I128"/>
    <mergeCell ref="I129:I130"/>
    <mergeCell ref="B131:D131"/>
    <mergeCell ref="B132:B137"/>
    <mergeCell ref="I132:I133"/>
    <mergeCell ref="J132:J133"/>
    <mergeCell ref="I134:I135"/>
    <mergeCell ref="I136:I137"/>
    <mergeCell ref="B139:B144"/>
    <mergeCell ref="I139:I140"/>
    <mergeCell ref="I141:I142"/>
    <mergeCell ref="I143:I144"/>
    <mergeCell ref="B145:J145"/>
    <mergeCell ref="B146:D146"/>
    <mergeCell ref="B147:B152"/>
    <mergeCell ref="I147:I148"/>
    <mergeCell ref="J147:J148"/>
    <mergeCell ref="I149:I150"/>
    <mergeCell ref="I151:I152"/>
    <mergeCell ref="B154:B159"/>
    <mergeCell ref="I154:I155"/>
    <mergeCell ref="I156:I157"/>
    <mergeCell ref="I158:I159"/>
    <mergeCell ref="B160:D160"/>
    <mergeCell ref="B161:B166"/>
    <mergeCell ref="I161:I162"/>
    <mergeCell ref="J161:J162"/>
    <mergeCell ref="I163:I164"/>
    <mergeCell ref="I165:I166"/>
    <mergeCell ref="B168:B173"/>
    <mergeCell ref="I168:I169"/>
    <mergeCell ref="I170:I171"/>
    <mergeCell ref="I172:I173"/>
    <mergeCell ref="B174:D174"/>
    <mergeCell ref="B175:B180"/>
    <mergeCell ref="I175:I176"/>
    <mergeCell ref="J175:J176"/>
    <mergeCell ref="I177:I178"/>
    <mergeCell ref="I179:I180"/>
    <mergeCell ref="B182:B187"/>
    <mergeCell ref="I182:I183"/>
    <mergeCell ref="I184:I185"/>
    <mergeCell ref="I186:I187"/>
    <mergeCell ref="B188:J188"/>
    <mergeCell ref="B189:D189"/>
    <mergeCell ref="B190:B195"/>
    <mergeCell ref="I190:I191"/>
    <mergeCell ref="J190:J191"/>
    <mergeCell ref="I192:I193"/>
    <mergeCell ref="I194:I195"/>
    <mergeCell ref="B197:B202"/>
    <mergeCell ref="I197:I198"/>
    <mergeCell ref="I199:I200"/>
    <mergeCell ref="I201:I202"/>
    <mergeCell ref="B203:D203"/>
    <mergeCell ref="B204:B209"/>
    <mergeCell ref="I204:I205"/>
    <mergeCell ref="J204:J205"/>
    <mergeCell ref="I206:I207"/>
    <mergeCell ref="I208:I209"/>
    <mergeCell ref="B211:B216"/>
    <mergeCell ref="I211:I212"/>
    <mergeCell ref="I213:I214"/>
    <mergeCell ref="I215:I216"/>
    <mergeCell ref="B217:D217"/>
    <mergeCell ref="B218:B223"/>
    <mergeCell ref="I218:I219"/>
    <mergeCell ref="J218:J219"/>
    <mergeCell ref="I220:I221"/>
    <mergeCell ref="I222:I223"/>
    <mergeCell ref="B225:B230"/>
    <mergeCell ref="I225:I226"/>
    <mergeCell ref="I227:I228"/>
    <mergeCell ref="I229:I230"/>
  </mergeCells>
  <conditionalFormatting sqref="F15">
    <cfRule type="expression" priority="2" aboveAverage="0" equalAverage="0" bottom="0" percent="0" rank="0" text="" dxfId="0">
      <formula>$H$25=1</formula>
    </cfRule>
  </conditionalFormatting>
  <dataValidations count="26">
    <dataValidation allowBlank="true" errorStyle="stop" operator="between" showDropDown="false" showErrorMessage="true" showInputMessage="true" sqref="M20:P20 M22:P22" type="list">
      <formula1>answerb</formula1>
      <formula2>0</formula2>
    </dataValidation>
    <dataValidation allowBlank="true" errorStyle="stop" operator="between" showDropDown="false" showErrorMessage="true" showInputMessage="true" sqref="M18:P18" type="list">
      <formula1>answera</formula1>
      <formula2>0</formula2>
    </dataValidation>
    <dataValidation allowBlank="true" errorStyle="stop" operator="between" showDropDown="false" showErrorMessage="true" showInputMessage="true" sqref="F34" type="list">
      <formula1>AnsA</formula1>
      <formula2>0</formula2>
    </dataValidation>
    <dataValidation allowBlank="true" errorStyle="stop" operator="between" showDropDown="false" showErrorMessage="true" showInputMessage="true" sqref="F186" type="list">
      <formula1>AnsT</formula1>
      <formula2>0</formula2>
    </dataValidation>
    <dataValidation allowBlank="true" errorStyle="stop" operator="between" showDropDown="false" showErrorMessage="true" showInputMessage="true" sqref="F55 F57" type="list">
      <formula1>AnsL</formula1>
      <formula2>0</formula2>
    </dataValidation>
    <dataValidation allowBlank="true" errorStyle="stop" operator="between" showDropDown="false" showErrorMessage="true" showInputMessage="true" sqref="F20" type="list">
      <formula1>AnsV</formula1>
      <formula2>0</formula2>
    </dataValidation>
    <dataValidation allowBlank="true" errorStyle="stop" operator="between" showDropDown="false" showErrorMessage="true" showInputMessage="true" sqref="F46 F61 F68 F161 F163 F175 F177" type="list">
      <formula1>AnsC</formula1>
      <formula2>0</formula2>
    </dataValidation>
    <dataValidation allowBlank="true" errorStyle="stop" operator="between" showDropDown="false" showErrorMessage="true" showInputMessage="true" sqref="F65" type="list">
      <formula1>AnsG</formula1>
      <formula2>0</formula2>
    </dataValidation>
    <dataValidation allowBlank="true" errorStyle="stop" operator="between" showDropDown="false" showErrorMessage="true" showInputMessage="true" sqref="F98" type="list">
      <formula1>AnsU</formula1>
      <formula2>0</formula2>
    </dataValidation>
    <dataValidation allowBlank="true" errorStyle="stop" operator="between" showDropDown="false" showErrorMessage="true" showInputMessage="true" sqref="F197" type="list">
      <formula1>AnsR</formula1>
      <formula2>0</formula2>
    </dataValidation>
    <dataValidation allowBlank="true" errorStyle="stop" operator="between" showDropDown="false" showErrorMessage="true" showInputMessage="true" sqref="F25" type="list">
      <formula1>AnsK</formula1>
      <formula2>0</formula2>
    </dataValidation>
    <dataValidation allowBlank="true" errorStyle="stop" operator="between" showDropDown="false" showErrorMessage="true" showInputMessage="true" sqref="F32 F39 F63 F70 F75 F79 F89 F91 F93 F96 F100 F104 F106 F108 F111 F113 F115 F118 F120 F122 F125 F127 F129 F132 F134 F136 F139 F141 F143 F147 F149 F151 F154 F156 F158 F165 F168 F184 F190 F192 F194 F218 F225" type="list">
      <formula1>AnsF</formula1>
      <formula2>0</formula2>
    </dataValidation>
    <dataValidation allowBlank="true" errorStyle="stop" operator="between" showDropDown="false" showErrorMessage="true" showInputMessage="true" sqref="F41" type="list">
      <formula1>AnsD</formula1>
      <formula2>0</formula2>
    </dataValidation>
    <dataValidation allowBlank="true" errorStyle="stop" operator="between" showDropDown="false" showErrorMessage="true" showInputMessage="true" sqref="F199" type="list">
      <formula1>AnsQ</formula1>
      <formula2>0</formula2>
    </dataValidation>
    <dataValidation allowBlank="true" errorStyle="stop" operator="between" showDropDown="false" showErrorMessage="true" showInputMessage="true" sqref="F222" type="list">
      <formula1>AnsP</formula1>
      <formula2>0</formula2>
    </dataValidation>
    <dataValidation allowBlank="true" errorStyle="stop" operator="between" showDropDown="false" showErrorMessage="true" showInputMessage="true" sqref="F229" type="list">
      <formula1>AnsS</formula1>
      <formula2>0</formula2>
    </dataValidation>
    <dataValidation allowBlank="true" errorStyle="stop" operator="between" showDropDown="false" showErrorMessage="true" showInputMessage="true" sqref="F48 F50" type="list">
      <formula1>AnsI</formula1>
      <formula2>0</formula2>
    </dataValidation>
    <dataValidation allowBlank="true" errorStyle="stop" operator="between" showDropDown="false" showErrorMessage="true" showInputMessage="true" sqref="F220" type="list">
      <formula1>AnsO</formula1>
      <formula2>0</formula2>
    </dataValidation>
    <dataValidation allowBlank="true" errorStyle="stop" operator="between" showDropDown="false" showErrorMessage="true" showInputMessage="true" sqref="F182 F204 F206 F208 F211 F213 F215" type="list">
      <formula1>AnsM</formula1>
      <formula2>0</formula2>
    </dataValidation>
    <dataValidation allowBlank="true" errorStyle="stop" operator="between" showDropDown="false" showErrorMessage="true" showInputMessage="true" sqref="F77 F82 F84 F86 F170 F172 F201 F227" type="list">
      <formula1>AnsH</formula1>
      <formula2>0</formula2>
    </dataValidation>
    <dataValidation allowBlank="true" errorStyle="stop" operator="between" showDropDown="false" showErrorMessage="true" showInputMessage="true" sqref="F179" type="list">
      <formula1>AnsX</formula1>
      <formula2>0</formula2>
    </dataValidation>
    <dataValidation allowBlank="true" errorStyle="stop" operator="between" showDropDown="false" showErrorMessage="true" showInputMessage="true" sqref="F22 F29 F72" type="list">
      <formula1>AnsN</formula1>
      <formula2>0</formula2>
    </dataValidation>
    <dataValidation allowBlank="true" errorStyle="stop" operator="between" showDropDown="false" showErrorMessage="true" showInputMessage="true" sqref="F53" type="list">
      <formula1>AnsW</formula1>
      <formula2>0</formula2>
    </dataValidation>
    <dataValidation allowBlank="true" errorStyle="stop" operator="between" showDropDown="false" showErrorMessage="true" showInputMessage="true" sqref="F36 F43" type="list">
      <formula1>AnsE</formula1>
      <formula2>0</formula2>
    </dataValidation>
    <dataValidation allowBlank="true" errorStyle="stop" operator="between" showDropDown="false" showErrorMessage="true" showInputMessage="true" sqref="F27" type="list">
      <formula1>AnsB</formula1>
      <formula2>0</formula2>
    </dataValidation>
    <dataValidation allowBlank="true" errorStyle="stop" operator="between" showDropDown="false" showErrorMessage="true" showInputMessage="true" sqref="F18" type="list">
      <formula1>AnsY</formula1>
      <formula2>0</formula2>
    </dataValidation>
  </dataValidations>
  <printOptions headings="false" gridLines="false" gridLinesSet="true" horizontalCentered="false" verticalCentered="false"/>
  <pageMargins left="0.75" right="0.75" top="1" bottom="1" header="0.511811023622047" footer="0.511811023622047"/>
  <pageSetup paperSize="9" scale="1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44"/>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N12" activeCellId="0" sqref="N12"/>
    </sheetView>
  </sheetViews>
  <sheetFormatPr defaultColWidth="8.83203125" defaultRowHeight="12.75" zeroHeight="false" outlineLevelRow="0" outlineLevelCol="0"/>
  <cols>
    <col collapsed="false" customWidth="true" hidden="false" outlineLevel="0" max="1" min="1" style="0" width="14.33"/>
    <col collapsed="false" customWidth="true" hidden="false" outlineLevel="0" max="2" min="2" style="0" width="23.83"/>
    <col collapsed="false" customWidth="true" hidden="false" outlineLevel="0" max="3" min="3" style="0" width="9.16"/>
    <col collapsed="false" customWidth="true" hidden="false" outlineLevel="0" max="6" min="4" style="0" width="6.67"/>
    <col collapsed="false" customWidth="true" hidden="true" outlineLevel="0" max="7" min="7" style="0" width="15"/>
    <col collapsed="false" customWidth="true" hidden="false" outlineLevel="0" max="8" min="8" style="0" width="9.16"/>
    <col collapsed="false" customWidth="true" hidden="false" outlineLevel="0" max="10" min="9" style="0" width="15"/>
    <col collapsed="false" customWidth="true" hidden="false" outlineLevel="0" max="11" min="11" style="0" width="7.33"/>
    <col collapsed="false" customWidth="true" hidden="false" outlineLevel="0" max="14" min="12" style="0" width="15"/>
    <col collapsed="false" customWidth="true" hidden="false" outlineLevel="0" max="20" min="20" style="0" width="13.67"/>
    <col collapsed="false" customWidth="true" hidden="false" outlineLevel="0" max="21" min="21" style="0" width="22.16"/>
    <col collapsed="false" customWidth="true" hidden="false" outlineLevel="0" max="22" min="22" style="0" width="10.16"/>
    <col collapsed="false" customWidth="true" hidden="false" outlineLevel="0" max="24" min="23" style="0" width="10.51"/>
    <col collapsed="false" customWidth="true" hidden="false" outlineLevel="0" max="25" min="25" style="0" width="9.33"/>
  </cols>
  <sheetData>
    <row r="1" customFormat="false" ht="25.5" hidden="false" customHeight="true" outlineLevel="0" collapsed="false">
      <c r="A1" s="154" t="str">
        <f aca="false">CONCATENATE("SAMM Assessment Scorecard: ",C6," For ",C5)</f>
        <v>SAMM Assessment Scorecard:  For </v>
      </c>
      <c r="B1" s="154"/>
      <c r="C1" s="154"/>
      <c r="D1" s="154"/>
      <c r="E1" s="154"/>
      <c r="F1" s="154"/>
      <c r="G1" s="154"/>
      <c r="H1" s="154"/>
      <c r="I1" s="154"/>
      <c r="J1" s="154"/>
      <c r="K1" s="18"/>
      <c r="L1" s="18"/>
      <c r="M1" s="18"/>
      <c r="N1" s="18"/>
    </row>
    <row r="2" customFormat="false" ht="12.75" hidden="false" customHeight="true" outlineLevel="0" collapsed="false">
      <c r="A2" s="155"/>
      <c r="B2" s="155"/>
      <c r="C2" s="155"/>
      <c r="D2" s="155"/>
      <c r="E2" s="155"/>
      <c r="F2" s="155"/>
      <c r="G2" s="155"/>
      <c r="H2" s="155"/>
      <c r="I2" s="155"/>
      <c r="J2" s="155"/>
      <c r="K2" s="18"/>
      <c r="L2" s="18"/>
      <c r="M2" s="18"/>
      <c r="N2" s="18"/>
    </row>
    <row r="3" customFormat="false" ht="54" hidden="false" customHeight="true" outlineLevel="0" collapsed="false">
      <c r="A3" s="156" t="s">
        <v>152</v>
      </c>
      <c r="B3" s="156"/>
      <c r="C3" s="156"/>
      <c r="D3" s="156"/>
      <c r="E3" s="156"/>
      <c r="F3" s="156"/>
      <c r="G3" s="156"/>
      <c r="H3" s="156"/>
      <c r="I3" s="156"/>
      <c r="J3" s="156"/>
      <c r="K3" s="156"/>
      <c r="L3" s="18"/>
      <c r="M3" s="18"/>
      <c r="N3" s="18"/>
    </row>
    <row r="4" customFormat="false" ht="12.75" hidden="false" customHeight="true" outlineLevel="0" collapsed="false">
      <c r="A4" s="157"/>
      <c r="B4" s="157"/>
      <c r="C4" s="157"/>
      <c r="D4" s="157"/>
      <c r="E4" s="157"/>
      <c r="F4" s="157"/>
      <c r="G4" s="157"/>
      <c r="H4" s="157"/>
      <c r="I4" s="157"/>
      <c r="J4" s="157"/>
      <c r="K4" s="18"/>
      <c r="L4" s="18"/>
      <c r="M4" s="18"/>
      <c r="N4" s="18"/>
    </row>
    <row r="5" customFormat="false" ht="12.75" hidden="false" customHeight="true" outlineLevel="0" collapsed="false">
      <c r="A5" s="158" t="str">
        <f aca="false">Interview!B10</f>
        <v>Organization:</v>
      </c>
      <c r="B5" s="158"/>
      <c r="C5" s="159" t="str">
        <f aca="false">IF(ISBLANK(Interview!D10),"",Interview!D10)</f>
        <v/>
      </c>
      <c r="D5" s="159"/>
      <c r="E5" s="159"/>
      <c r="F5" s="159"/>
      <c r="G5" s="18"/>
      <c r="H5" s="18"/>
      <c r="I5" s="18"/>
      <c r="J5" s="18"/>
      <c r="K5" s="18"/>
      <c r="L5" s="18"/>
      <c r="M5" s="18"/>
      <c r="N5" s="18"/>
    </row>
    <row r="6" customFormat="false" ht="12.75" hidden="false" customHeight="true" outlineLevel="0" collapsed="false">
      <c r="A6" s="158" t="str">
        <f aca="false">Interview!B11</f>
        <v>Team/Application:</v>
      </c>
      <c r="B6" s="158"/>
      <c r="C6" s="159" t="str">
        <f aca="false">IF(ISBLANK(Interview!D11),"",Interview!D11)</f>
        <v/>
      </c>
      <c r="D6" s="159"/>
      <c r="E6" s="159"/>
      <c r="F6" s="159"/>
      <c r="G6" s="18"/>
      <c r="H6" s="18"/>
      <c r="I6" s="18"/>
      <c r="J6" s="18"/>
      <c r="K6" s="18"/>
      <c r="L6" s="18"/>
      <c r="M6" s="18"/>
      <c r="N6" s="18"/>
    </row>
    <row r="7" customFormat="false" ht="12.75" hidden="false" customHeight="true" outlineLevel="0" collapsed="false">
      <c r="A7" s="158" t="str">
        <f aca="false">Interview!B12</f>
        <v>Interview Date:</v>
      </c>
      <c r="B7" s="158"/>
      <c r="C7" s="160" t="str">
        <f aca="false">IF(ISBLANK(Interview!D12),"",Interview!D12)</f>
        <v/>
      </c>
      <c r="D7" s="160"/>
      <c r="E7" s="160"/>
      <c r="F7" s="160"/>
      <c r="G7" s="18"/>
      <c r="H7" s="18"/>
      <c r="I7" s="18"/>
      <c r="J7" s="18"/>
      <c r="K7" s="18"/>
      <c r="L7" s="18"/>
      <c r="M7" s="18"/>
      <c r="N7" s="18"/>
    </row>
    <row r="8" customFormat="false" ht="12.75" hidden="false" customHeight="true" outlineLevel="0" collapsed="false">
      <c r="A8" s="158" t="str">
        <f aca="false">Interview!B13</f>
        <v>Team Lead: </v>
      </c>
      <c r="B8" s="158"/>
      <c r="C8" s="159" t="str">
        <f aca="false">IF(ISBLANK(Interview!D13),"",Interview!D13)</f>
        <v/>
      </c>
      <c r="D8" s="159"/>
      <c r="E8" s="159"/>
      <c r="F8" s="159"/>
      <c r="G8" s="18"/>
      <c r="H8" s="18"/>
      <c r="I8" s="18"/>
      <c r="J8" s="18"/>
      <c r="K8" s="18"/>
      <c r="L8" s="18"/>
      <c r="M8" s="18"/>
      <c r="N8" s="18"/>
    </row>
    <row r="9" customFormat="false" ht="12.75" hidden="false" customHeight="true" outlineLevel="0" collapsed="false">
      <c r="A9" s="158" t="str">
        <f aca="false">Interview!B14</f>
        <v>Contributors:</v>
      </c>
      <c r="B9" s="158"/>
      <c r="C9" s="161" t="str">
        <f aca="false">IF(ISBLANK(Interview!D14),"",Interview!D14)</f>
        <v/>
      </c>
      <c r="D9" s="161"/>
      <c r="E9" s="161"/>
      <c r="F9" s="161"/>
      <c r="G9" s="161"/>
      <c r="H9" s="161"/>
      <c r="I9" s="161"/>
      <c r="J9" s="18"/>
      <c r="K9" s="18"/>
      <c r="L9" s="18"/>
      <c r="M9" s="18"/>
      <c r="N9" s="18"/>
    </row>
    <row r="10" customFormat="false" ht="12.75" hidden="false" customHeight="true" outlineLevel="0" collapsed="false">
      <c r="A10" s="162"/>
      <c r="B10" s="18"/>
      <c r="C10" s="18"/>
      <c r="D10" s="18"/>
      <c r="E10" s="18"/>
      <c r="F10" s="18"/>
      <c r="G10" s="18"/>
      <c r="H10" s="18"/>
      <c r="I10" s="18"/>
      <c r="J10" s="18"/>
      <c r="K10" s="18"/>
      <c r="L10" s="18"/>
      <c r="M10" s="18"/>
      <c r="N10" s="18"/>
    </row>
    <row r="11" customFormat="false" ht="24.75" hidden="false" customHeight="true" outlineLevel="0" collapsed="false">
      <c r="A11" s="163" t="s">
        <v>153</v>
      </c>
      <c r="B11" s="163"/>
      <c r="C11" s="163"/>
      <c r="D11" s="163"/>
      <c r="E11" s="163"/>
      <c r="F11" s="163"/>
      <c r="G11" s="163"/>
      <c r="H11" s="163"/>
      <c r="I11" s="163"/>
      <c r="J11" s="163"/>
      <c r="K11" s="18"/>
      <c r="L11" s="163" t="s">
        <v>153</v>
      </c>
      <c r="M11" s="163"/>
      <c r="N11" s="163"/>
      <c r="O11" s="163"/>
      <c r="P11" s="163"/>
      <c r="Q11" s="163"/>
      <c r="R11" s="163"/>
      <c r="T11" s="164" t="s">
        <v>153</v>
      </c>
      <c r="U11" s="164"/>
      <c r="V11" s="164"/>
      <c r="W11" s="164"/>
      <c r="X11" s="164"/>
      <c r="Y11" s="164"/>
      <c r="Z11" s="164"/>
    </row>
    <row r="12" customFormat="false" ht="12.75" hidden="false" customHeight="true" outlineLevel="0" collapsed="false">
      <c r="A12" s="155"/>
      <c r="B12" s="155"/>
      <c r="C12" s="155"/>
      <c r="D12" s="165" t="s">
        <v>154</v>
      </c>
      <c r="E12" s="165"/>
      <c r="F12" s="165"/>
      <c r="G12" s="18"/>
      <c r="H12" s="18"/>
      <c r="I12" s="18"/>
      <c r="J12" s="18"/>
      <c r="K12" s="18"/>
      <c r="L12" s="18"/>
      <c r="M12" s="18"/>
      <c r="N12" s="18"/>
    </row>
    <row r="13" customFormat="false" ht="15" hidden="false" customHeight="true" outlineLevel="0" collapsed="false">
      <c r="A13" s="166" t="s">
        <v>155</v>
      </c>
      <c r="B13" s="166" t="s">
        <v>156</v>
      </c>
      <c r="C13" s="166" t="s">
        <v>157</v>
      </c>
      <c r="D13" s="167" t="n">
        <v>1</v>
      </c>
      <c r="E13" s="167" t="n">
        <v>2</v>
      </c>
      <c r="F13" s="167" t="n">
        <v>3</v>
      </c>
      <c r="G13" s="168" t="s">
        <v>158</v>
      </c>
      <c r="H13" s="18"/>
      <c r="I13" s="166" t="s">
        <v>155</v>
      </c>
      <c r="J13" s="166" t="s">
        <v>157</v>
      </c>
      <c r="L13" s="18"/>
      <c r="M13" s="18"/>
      <c r="N13" s="18"/>
      <c r="V13" s="169" t="str">
        <f aca="false">T14</f>
        <v>Governance</v>
      </c>
      <c r="W13" s="169" t="str">
        <f aca="false">T17</f>
        <v>Design</v>
      </c>
      <c r="X13" s="169" t="str">
        <f aca="false">T20</f>
        <v>Implementation</v>
      </c>
      <c r="Y13" s="169" t="str">
        <f aca="false">T23</f>
        <v>Verification</v>
      </c>
      <c r="Z13" s="169" t="str">
        <f aca="false">T26</f>
        <v>Operations</v>
      </c>
    </row>
    <row r="14" customFormat="false" ht="24.75" hidden="false" customHeight="true" outlineLevel="0" collapsed="false">
      <c r="A14" s="170" t="str">
        <f aca="false">Interview!$B$16</f>
        <v>Governance</v>
      </c>
      <c r="B14" s="171" t="str">
        <f aca="false">Interview!$D$17</f>
        <v>Strategy &amp; Metrics</v>
      </c>
      <c r="C14" s="172" t="n">
        <f aca="false">Interview!$J$18</f>
        <v>0</v>
      </c>
      <c r="D14" s="172" t="n">
        <f aca="false">Interview!H18</f>
        <v>0</v>
      </c>
      <c r="E14" s="172" t="n">
        <f aca="false">Interview!H20</f>
        <v>0</v>
      </c>
      <c r="F14" s="172" t="n">
        <f aca="false">Interview!H22</f>
        <v>0</v>
      </c>
      <c r="G14" s="63" t="n">
        <f aca="false">(((((IF((C14="0+"),0.5,0)+IF((C14=1),1,0))+IF((C14="1+"),1.5,0))+IF((C14=2),2,0))+IF((C14="2+"),2.5,0))+IF((C14=3),3,0))+IF((C14="3+"),3.5,0)</f>
        <v>0</v>
      </c>
      <c r="H14" s="173"/>
      <c r="I14" s="170" t="str">
        <f aca="false">A14</f>
        <v>Governance</v>
      </c>
      <c r="J14" s="172" t="n">
        <f aca="false">AVERAGE(C14:C16)</f>
        <v>0</v>
      </c>
      <c r="L14" s="18"/>
      <c r="M14" s="18"/>
      <c r="N14" s="18"/>
      <c r="T14" s="170" t="str">
        <f aca="false">A14</f>
        <v>Governance</v>
      </c>
      <c r="U14" s="171" t="str">
        <f aca="false">B14</f>
        <v>Strategy &amp; Metrics</v>
      </c>
      <c r="V14" s="172" t="n">
        <f aca="false">C14</f>
        <v>0</v>
      </c>
      <c r="W14" s="172" t="n">
        <v>0</v>
      </c>
      <c r="X14" s="172" t="n">
        <v>0</v>
      </c>
      <c r="Y14" s="172" t="n">
        <v>0</v>
      </c>
      <c r="Z14" s="172" t="n">
        <v>0</v>
      </c>
    </row>
    <row r="15" customFormat="false" ht="24.75" hidden="false" customHeight="true" outlineLevel="0" collapsed="false">
      <c r="A15" s="170" t="str">
        <f aca="false">Interview!$B$16</f>
        <v>Governance</v>
      </c>
      <c r="B15" s="171" t="str">
        <f aca="false">Interview!$B$31</f>
        <v>Policy &amp; Compliance</v>
      </c>
      <c r="C15" s="172" t="n">
        <f aca="false">Interview!$J$32</f>
        <v>0</v>
      </c>
      <c r="D15" s="172" t="n">
        <f aca="false">Interview!H32</f>
        <v>0</v>
      </c>
      <c r="E15" s="172" t="n">
        <f aca="false">Interview!H34</f>
        <v>0</v>
      </c>
      <c r="F15" s="172" t="n">
        <f aca="false">Interview!H36</f>
        <v>0</v>
      </c>
      <c r="G15" s="63" t="n">
        <f aca="false">(((((IF((C15="0+"),0.5,0)+IF((C15=1),1,0))+IF((C15="1+"),1.5,0))+IF((C15=2),2,0))+IF((C15="2+"),2.5,0))+IF((C15=3),3,0))+IF((C15="3+"),3.5,0)</f>
        <v>0</v>
      </c>
      <c r="H15" s="173"/>
      <c r="I15" s="174" t="str">
        <f aca="false">A17</f>
        <v>Design</v>
      </c>
      <c r="J15" s="172" t="n">
        <f aca="false">AVERAGE(C17:C19)</f>
        <v>0</v>
      </c>
      <c r="L15" s="18"/>
      <c r="M15" s="18"/>
      <c r="N15" s="18"/>
      <c r="T15" s="170" t="str">
        <f aca="false">A15</f>
        <v>Governance</v>
      </c>
      <c r="U15" s="171" t="str">
        <f aca="false">B15</f>
        <v>Policy &amp; Compliance</v>
      </c>
      <c r="V15" s="172" t="n">
        <f aca="false">C15</f>
        <v>0</v>
      </c>
      <c r="W15" s="172" t="n">
        <v>0</v>
      </c>
      <c r="X15" s="172" t="n">
        <v>0</v>
      </c>
      <c r="Y15" s="172" t="n">
        <v>0</v>
      </c>
      <c r="Z15" s="172" t="n">
        <v>0</v>
      </c>
    </row>
    <row r="16" customFormat="false" ht="24.75" hidden="false" customHeight="true" outlineLevel="0" collapsed="false">
      <c r="A16" s="170" t="str">
        <f aca="false">Interview!$B$16</f>
        <v>Governance</v>
      </c>
      <c r="B16" s="171" t="str">
        <f aca="false">Interview!$B$45</f>
        <v>Education &amp; Guidance</v>
      </c>
      <c r="C16" s="172" t="n">
        <f aca="false">Interview!$J$46</f>
        <v>0</v>
      </c>
      <c r="D16" s="172" t="n">
        <f aca="false">Interview!H46</f>
        <v>0</v>
      </c>
      <c r="E16" s="172" t="n">
        <f aca="false">Interview!H48</f>
        <v>0</v>
      </c>
      <c r="F16" s="172" t="n">
        <f aca="false">Interview!H50</f>
        <v>0</v>
      </c>
      <c r="G16" s="63" t="n">
        <f aca="false">(((((IF((C16="0+"),0.5,0)+IF((C16=1),1,0))+IF((C16="1+"),1.5,0))+IF((C16=2),2,0))+IF((C16="2+"),2.5,0))+IF((C16=3),3,0))+IF((C16="3+"),3.5,0)</f>
        <v>0</v>
      </c>
      <c r="H16" s="173"/>
      <c r="I16" s="175" t="str">
        <f aca="false">A20</f>
        <v>Implementation</v>
      </c>
      <c r="J16" s="172" t="n">
        <f aca="false">AVERAGE(C20:C22)</f>
        <v>0</v>
      </c>
      <c r="L16" s="18"/>
      <c r="M16" s="18"/>
      <c r="N16" s="18"/>
      <c r="T16" s="170" t="str">
        <f aca="false">A16</f>
        <v>Governance</v>
      </c>
      <c r="U16" s="171" t="str">
        <f aca="false">B16</f>
        <v>Education &amp; Guidance</v>
      </c>
      <c r="V16" s="172" t="n">
        <f aca="false">C16</f>
        <v>0</v>
      </c>
      <c r="W16" s="172" t="n">
        <v>0</v>
      </c>
      <c r="X16" s="172" t="n">
        <v>0</v>
      </c>
      <c r="Y16" s="172" t="n">
        <v>0</v>
      </c>
      <c r="Z16" s="172" t="n">
        <v>0</v>
      </c>
    </row>
    <row r="17" customFormat="false" ht="24.75" hidden="false" customHeight="true" outlineLevel="0" collapsed="false">
      <c r="A17" s="174" t="str">
        <f aca="false">Interview!$B$59</f>
        <v>Design</v>
      </c>
      <c r="B17" s="176" t="str">
        <f aca="false">Interview!$B$60</f>
        <v>Threat Assessment</v>
      </c>
      <c r="C17" s="172" t="n">
        <f aca="false">Interview!$J$61</f>
        <v>0</v>
      </c>
      <c r="D17" s="172" t="n">
        <f aca="false">Interview!H61</f>
        <v>0</v>
      </c>
      <c r="E17" s="172" t="n">
        <f aca="false">Interview!H63</f>
        <v>0</v>
      </c>
      <c r="F17" s="172" t="n">
        <f aca="false">Interview!H65</f>
        <v>0</v>
      </c>
      <c r="G17" s="63" t="n">
        <f aca="false">(((((IF((C17="0+"),0.5,0)+IF((C17=1),1,0))+IF((C17="1+"),1.5,0))+IF((C17=2),2,0))+IF((C17="2+"),2.5,0))+IF((C17=3),3,0))+IF((C17="3+"),3.5,0)</f>
        <v>0</v>
      </c>
      <c r="H17" s="173"/>
      <c r="I17" s="177" t="str">
        <f aca="false">A23</f>
        <v>Verification</v>
      </c>
      <c r="J17" s="172" t="n">
        <f aca="false">AVERAGE(C23:C25)</f>
        <v>0</v>
      </c>
      <c r="L17" s="18"/>
      <c r="M17" s="18"/>
      <c r="N17" s="18"/>
      <c r="T17" s="174" t="str">
        <f aca="false">A17</f>
        <v>Design</v>
      </c>
      <c r="U17" s="176" t="str">
        <f aca="false">B17</f>
        <v>Threat Assessment</v>
      </c>
      <c r="V17" s="172" t="n">
        <v>0</v>
      </c>
      <c r="W17" s="172" t="n">
        <f aca="false">C17</f>
        <v>0</v>
      </c>
      <c r="X17" s="172" t="n">
        <v>0</v>
      </c>
      <c r="Y17" s="172" t="n">
        <v>0</v>
      </c>
      <c r="Z17" s="172" t="n">
        <v>0</v>
      </c>
    </row>
    <row r="18" customFormat="false" ht="24.75" hidden="false" customHeight="true" outlineLevel="0" collapsed="false">
      <c r="A18" s="174" t="str">
        <f aca="false">Interview!$B$59</f>
        <v>Design</v>
      </c>
      <c r="B18" s="176" t="str">
        <f aca="false">Interview!$B$74</f>
        <v>Security Requirements</v>
      </c>
      <c r="C18" s="172" t="n">
        <f aca="false">Interview!$J$75</f>
        <v>0</v>
      </c>
      <c r="D18" s="172" t="n">
        <f aca="false">Interview!H75</f>
        <v>0</v>
      </c>
      <c r="E18" s="172" t="n">
        <f aca="false">Interview!H77</f>
        <v>0</v>
      </c>
      <c r="F18" s="172" t="n">
        <f aca="false">Interview!H79</f>
        <v>0</v>
      </c>
      <c r="G18" s="63" t="n">
        <f aca="false">(((((IF((C18="0+"),0.5,0)+IF((C18=1),1,0))+IF((C18="1+"),1.5,0))+IF((C18=2),2,0))+IF((C18="2+"),2.5,0))+IF((C18=3),3,0))+IF((C18="3+"),3.5,0)</f>
        <v>0</v>
      </c>
      <c r="H18" s="173"/>
      <c r="I18" s="178" t="str">
        <f aca="false">A26</f>
        <v>Operations</v>
      </c>
      <c r="J18" s="172" t="n">
        <f aca="false">AVERAGE(C26:C28)</f>
        <v>0</v>
      </c>
      <c r="K18" s="18"/>
      <c r="L18" s="18"/>
      <c r="M18" s="18"/>
      <c r="N18" s="18"/>
      <c r="T18" s="174" t="str">
        <f aca="false">A18</f>
        <v>Design</v>
      </c>
      <c r="U18" s="176" t="str">
        <f aca="false">B18</f>
        <v>Security Requirements</v>
      </c>
      <c r="V18" s="172" t="n">
        <v>0</v>
      </c>
      <c r="W18" s="172" t="n">
        <f aca="false">C18</f>
        <v>0</v>
      </c>
      <c r="X18" s="172" t="n">
        <v>0</v>
      </c>
      <c r="Y18" s="172" t="n">
        <v>0</v>
      </c>
      <c r="Z18" s="172" t="n">
        <v>0</v>
      </c>
    </row>
    <row r="19" customFormat="false" ht="24.75" hidden="false" customHeight="true" outlineLevel="0" collapsed="false">
      <c r="A19" s="174" t="str">
        <f aca="false">Interview!$B$59</f>
        <v>Design</v>
      </c>
      <c r="B19" s="176" t="str">
        <f aca="false">Interview!$B$88</f>
        <v>Secure Architecture</v>
      </c>
      <c r="C19" s="172" t="n">
        <f aca="false">Interview!$J$89</f>
        <v>0</v>
      </c>
      <c r="D19" s="172" t="n">
        <f aca="false">Interview!H89</f>
        <v>0</v>
      </c>
      <c r="E19" s="172" t="n">
        <f aca="false">Interview!H91</f>
        <v>0</v>
      </c>
      <c r="F19" s="172" t="n">
        <f aca="false">Interview!H93</f>
        <v>0</v>
      </c>
      <c r="G19" s="63" t="n">
        <f aca="false">(((((IF((C19="0+"),0.5,0)+IF((C19=1),1,0))+IF((C19="1+"),1.5,0))+IF((C19=2),2,0))+IF((C19="2+"),2.5,0))+IF((C19=3),3,0))+IF((C19="3+"),3.5,0)</f>
        <v>0</v>
      </c>
      <c r="H19" s="173"/>
      <c r="I19" s="18"/>
      <c r="J19" s="18"/>
      <c r="K19" s="18"/>
      <c r="L19" s="18"/>
      <c r="M19" s="18"/>
      <c r="N19" s="18"/>
      <c r="T19" s="174" t="str">
        <f aca="false">A19</f>
        <v>Design</v>
      </c>
      <c r="U19" s="176" t="str">
        <f aca="false">B19</f>
        <v>Secure Architecture</v>
      </c>
      <c r="V19" s="172" t="n">
        <v>0</v>
      </c>
      <c r="W19" s="172" t="n">
        <f aca="false">C19</f>
        <v>0</v>
      </c>
      <c r="X19" s="172" t="n">
        <v>0</v>
      </c>
      <c r="Y19" s="172" t="n">
        <v>0</v>
      </c>
      <c r="Z19" s="172" t="n">
        <v>0</v>
      </c>
    </row>
    <row r="20" customFormat="false" ht="24.75" hidden="false" customHeight="true" outlineLevel="0" collapsed="false">
      <c r="A20" s="175" t="str">
        <f aca="false">Interview!$B$102</f>
        <v>Implementation</v>
      </c>
      <c r="B20" s="179" t="str">
        <f aca="false">Interview!$B$103</f>
        <v>Secure Build</v>
      </c>
      <c r="C20" s="172" t="n">
        <f aca="false">Interview!$J$104</f>
        <v>0</v>
      </c>
      <c r="D20" s="172" t="n">
        <f aca="false">Interview!H104</f>
        <v>0</v>
      </c>
      <c r="E20" s="172" t="n">
        <f aca="false">Interview!H106</f>
        <v>0</v>
      </c>
      <c r="F20" s="172" t="n">
        <f aca="false">Interview!H108</f>
        <v>0</v>
      </c>
      <c r="G20" s="63"/>
      <c r="H20" s="173"/>
      <c r="I20" s="18"/>
      <c r="J20" s="18"/>
      <c r="K20" s="18"/>
      <c r="L20" s="18"/>
      <c r="M20" s="18"/>
      <c r="N20" s="18"/>
      <c r="T20" s="175" t="str">
        <f aca="false">A20</f>
        <v>Implementation</v>
      </c>
      <c r="U20" s="180" t="str">
        <f aca="false">B20</f>
        <v>Secure Build</v>
      </c>
      <c r="V20" s="172" t="n">
        <v>0</v>
      </c>
      <c r="W20" s="172" t="n">
        <v>0</v>
      </c>
      <c r="X20" s="172" t="n">
        <f aca="false">C20</f>
        <v>0</v>
      </c>
      <c r="Y20" s="172" t="n">
        <v>0</v>
      </c>
      <c r="Z20" s="172" t="n">
        <v>0</v>
      </c>
    </row>
    <row r="21" customFormat="false" ht="24.75" hidden="false" customHeight="true" outlineLevel="0" collapsed="false">
      <c r="A21" s="175" t="str">
        <f aca="false">Interview!$B$102</f>
        <v>Implementation</v>
      </c>
      <c r="B21" s="179" t="str">
        <f aca="false">Interview!$B$117</f>
        <v>Secure Deployment</v>
      </c>
      <c r="C21" s="172" t="n">
        <f aca="false">Interview!$J$118</f>
        <v>0</v>
      </c>
      <c r="D21" s="172" t="n">
        <f aca="false">Interview!H118</f>
        <v>0</v>
      </c>
      <c r="E21" s="172" t="n">
        <f aca="false">Interview!H120</f>
        <v>0</v>
      </c>
      <c r="F21" s="172" t="n">
        <f aca="false">Interview!H122</f>
        <v>0</v>
      </c>
      <c r="G21" s="63"/>
      <c r="H21" s="173"/>
      <c r="I21" s="18"/>
      <c r="J21" s="18"/>
      <c r="K21" s="18"/>
      <c r="L21" s="18"/>
      <c r="M21" s="18"/>
      <c r="N21" s="18"/>
      <c r="T21" s="175" t="str">
        <f aca="false">A21</f>
        <v>Implementation</v>
      </c>
      <c r="U21" s="180" t="str">
        <f aca="false">B21</f>
        <v>Secure Deployment</v>
      </c>
      <c r="V21" s="172" t="n">
        <v>0</v>
      </c>
      <c r="W21" s="172" t="n">
        <v>0</v>
      </c>
      <c r="X21" s="172" t="n">
        <f aca="false">C21</f>
        <v>0</v>
      </c>
      <c r="Y21" s="172" t="n">
        <v>0</v>
      </c>
      <c r="Z21" s="172" t="n">
        <v>0</v>
      </c>
    </row>
    <row r="22" customFormat="false" ht="24.75" hidden="false" customHeight="true" outlineLevel="0" collapsed="false">
      <c r="A22" s="175" t="str">
        <f aca="false">Interview!$B$102</f>
        <v>Implementation</v>
      </c>
      <c r="B22" s="179" t="str">
        <f aca="false">Interview!$B$131</f>
        <v>Defect Management</v>
      </c>
      <c r="C22" s="172" t="n">
        <f aca="false">Interview!$J$132</f>
        <v>0</v>
      </c>
      <c r="D22" s="172" t="n">
        <f aca="false">Interview!H132</f>
        <v>0</v>
      </c>
      <c r="E22" s="172" t="n">
        <f aca="false">Interview!H134</f>
        <v>0</v>
      </c>
      <c r="F22" s="172" t="n">
        <f aca="false">Interview!H136</f>
        <v>0</v>
      </c>
      <c r="G22" s="63"/>
      <c r="H22" s="173"/>
      <c r="I22" s="18"/>
      <c r="J22" s="18"/>
      <c r="K22" s="18"/>
      <c r="L22" s="18"/>
      <c r="M22" s="18"/>
      <c r="N22" s="18"/>
      <c r="T22" s="175" t="str">
        <f aca="false">A22</f>
        <v>Implementation</v>
      </c>
      <c r="U22" s="180" t="str">
        <f aca="false">B22</f>
        <v>Defect Management</v>
      </c>
      <c r="V22" s="172" t="n">
        <v>0</v>
      </c>
      <c r="W22" s="172" t="n">
        <v>0</v>
      </c>
      <c r="X22" s="172" t="n">
        <f aca="false">C22</f>
        <v>0</v>
      </c>
      <c r="Y22" s="172" t="n">
        <v>0</v>
      </c>
      <c r="Z22" s="172" t="n">
        <v>0</v>
      </c>
    </row>
    <row r="23" customFormat="false" ht="24.75" hidden="false" customHeight="true" outlineLevel="0" collapsed="false">
      <c r="A23" s="177" t="str">
        <f aca="false">Interview!$B$145</f>
        <v>Verification</v>
      </c>
      <c r="B23" s="181" t="str">
        <f aca="false">Interview!$B$146</f>
        <v>Architecture Assessment</v>
      </c>
      <c r="C23" s="172" t="n">
        <f aca="false">Interview!$J$147</f>
        <v>0</v>
      </c>
      <c r="D23" s="172" t="n">
        <f aca="false">Interview!H147</f>
        <v>0</v>
      </c>
      <c r="E23" s="172" t="n">
        <f aca="false">Interview!H149</f>
        <v>0</v>
      </c>
      <c r="F23" s="172" t="n">
        <f aca="false">Interview!H151</f>
        <v>0</v>
      </c>
      <c r="G23" s="63" t="n">
        <f aca="false">(((((IF((C23="0+"),0.5,0)+IF((C23=1),1,0))+IF((C23="1+"),1.5,0))+IF((C23=2),2,0))+IF((C23="2+"),2.5,0))+IF((C23=3),3,0))+IF((C23="3+"),3.5,0)</f>
        <v>0</v>
      </c>
      <c r="H23" s="173"/>
      <c r="I23" s="18"/>
      <c r="J23" s="18"/>
      <c r="K23" s="18"/>
      <c r="L23" s="18"/>
      <c r="M23" s="18"/>
      <c r="N23" s="18"/>
      <c r="T23" s="177" t="str">
        <f aca="false">A23</f>
        <v>Verification</v>
      </c>
      <c r="U23" s="181" t="str">
        <f aca="false">B23</f>
        <v>Architecture Assessment</v>
      </c>
      <c r="V23" s="172" t="n">
        <v>0</v>
      </c>
      <c r="W23" s="172" t="n">
        <v>0</v>
      </c>
      <c r="X23" s="172" t="n">
        <v>0</v>
      </c>
      <c r="Y23" s="172" t="n">
        <f aca="false">C23</f>
        <v>0</v>
      </c>
      <c r="Z23" s="172" t="n">
        <v>0</v>
      </c>
    </row>
    <row r="24" customFormat="false" ht="24.75" hidden="false" customHeight="true" outlineLevel="0" collapsed="false">
      <c r="A24" s="177" t="str">
        <f aca="false">Interview!$B$145</f>
        <v>Verification</v>
      </c>
      <c r="B24" s="181" t="str">
        <f aca="false">Interview!$B$160</f>
        <v>Requirements Testing</v>
      </c>
      <c r="C24" s="172" t="n">
        <f aca="false">Interview!$J$161</f>
        <v>0</v>
      </c>
      <c r="D24" s="172" t="n">
        <f aca="false">Interview!H161</f>
        <v>0</v>
      </c>
      <c r="E24" s="172" t="n">
        <f aca="false">Interview!H163</f>
        <v>0</v>
      </c>
      <c r="F24" s="172" t="n">
        <f aca="false">Interview!H165</f>
        <v>0</v>
      </c>
      <c r="G24" s="63" t="n">
        <f aca="false">(((((IF((C24="0+"),0.5,0)+IF((C24=1),1,0))+IF((C24="1+"),1.5,0))+IF((C24=2),2,0))+IF((C24="2+"),2.5,0))+IF((C24=3),3,0))+IF((C24="3+"),3.5,0)</f>
        <v>0</v>
      </c>
      <c r="H24" s="173"/>
      <c r="I24" s="18"/>
      <c r="J24" s="18"/>
      <c r="K24" s="18"/>
      <c r="L24" s="18"/>
      <c r="M24" s="18"/>
      <c r="N24" s="18"/>
      <c r="T24" s="177" t="str">
        <f aca="false">A24</f>
        <v>Verification</v>
      </c>
      <c r="U24" s="181" t="str">
        <f aca="false">B24</f>
        <v>Requirements Testing</v>
      </c>
      <c r="V24" s="172" t="n">
        <v>0</v>
      </c>
      <c r="W24" s="172" t="n">
        <v>0</v>
      </c>
      <c r="X24" s="172" t="n">
        <v>0</v>
      </c>
      <c r="Y24" s="172" t="n">
        <f aca="false">C24</f>
        <v>0</v>
      </c>
      <c r="Z24" s="172" t="n">
        <v>0</v>
      </c>
    </row>
    <row r="25" customFormat="false" ht="24.75" hidden="false" customHeight="true" outlineLevel="0" collapsed="false">
      <c r="A25" s="177" t="str">
        <f aca="false">Interview!$B$145</f>
        <v>Verification</v>
      </c>
      <c r="B25" s="181" t="str">
        <f aca="false">Interview!$B$174</f>
        <v>Security Testing</v>
      </c>
      <c r="C25" s="172" t="n">
        <f aca="false">Interview!$J$175</f>
        <v>0</v>
      </c>
      <c r="D25" s="172" t="n">
        <f aca="false">Interview!H175</f>
        <v>0</v>
      </c>
      <c r="E25" s="172" t="n">
        <f aca="false">Interview!H177</f>
        <v>0</v>
      </c>
      <c r="F25" s="172" t="n">
        <f aca="false">Interview!H179</f>
        <v>0</v>
      </c>
      <c r="G25" s="63" t="n">
        <f aca="false">(((((IF((C25="0+"),0.5,0)+IF((C25=1),1,0))+IF((C25="1+"),1.5,0))+IF((C25=2),2,0))+IF((C25="2+"),2.5,0))+IF((C25=3),3,0))+IF((C25="3+"),3.5,0)</f>
        <v>0</v>
      </c>
      <c r="H25" s="173"/>
      <c r="I25" s="18"/>
      <c r="J25" s="18"/>
      <c r="K25" s="18"/>
      <c r="L25" s="18"/>
      <c r="M25" s="18"/>
      <c r="N25" s="18"/>
      <c r="T25" s="177" t="str">
        <f aca="false">A25</f>
        <v>Verification</v>
      </c>
      <c r="U25" s="181" t="str">
        <f aca="false">B25</f>
        <v>Security Testing</v>
      </c>
      <c r="V25" s="172" t="n">
        <v>0</v>
      </c>
      <c r="W25" s="172" t="n">
        <v>0</v>
      </c>
      <c r="X25" s="172" t="n">
        <v>0</v>
      </c>
      <c r="Y25" s="172" t="n">
        <f aca="false">C25</f>
        <v>0</v>
      </c>
      <c r="Z25" s="172" t="n">
        <v>0</v>
      </c>
    </row>
    <row r="26" customFormat="false" ht="24.75" hidden="false" customHeight="true" outlineLevel="0" collapsed="false">
      <c r="A26" s="178" t="str">
        <f aca="false">Interview!$B$188</f>
        <v>Operations</v>
      </c>
      <c r="B26" s="182" t="str">
        <f aca="false">Interview!$B$189</f>
        <v>Incident Management</v>
      </c>
      <c r="C26" s="172" t="n">
        <f aca="false">Interview!$J$190</f>
        <v>0</v>
      </c>
      <c r="D26" s="172" t="n">
        <f aca="false">Interview!H190</f>
        <v>0</v>
      </c>
      <c r="E26" s="172" t="n">
        <f aca="false">Interview!H192</f>
        <v>0</v>
      </c>
      <c r="F26" s="172" t="n">
        <f aca="false">Interview!H194</f>
        <v>0</v>
      </c>
      <c r="G26" s="63" t="n">
        <f aca="false">(((((IF((C26="0+"),0.5,0)+IF((C26=1),1,0))+IF((C26="1+"),1.5,0))+IF((C26=2),2,0))+IF((C26="2+"),2.5,0))+IF((C26=3),3,0))+IF((C26="3+"),3.5,0)</f>
        <v>0</v>
      </c>
      <c r="H26" s="173"/>
      <c r="I26" s="18"/>
      <c r="J26" s="18"/>
      <c r="K26" s="18"/>
      <c r="L26" s="18"/>
      <c r="M26" s="18"/>
      <c r="N26" s="18"/>
      <c r="T26" s="178" t="str">
        <f aca="false">A26</f>
        <v>Operations</v>
      </c>
      <c r="U26" s="182" t="str">
        <f aca="false">B26</f>
        <v>Incident Management</v>
      </c>
      <c r="V26" s="172" t="n">
        <v>0</v>
      </c>
      <c r="W26" s="172" t="n">
        <v>0</v>
      </c>
      <c r="X26" s="172" t="n">
        <v>0</v>
      </c>
      <c r="Y26" s="172" t="n">
        <v>0</v>
      </c>
      <c r="Z26" s="172" t="n">
        <f aca="false">C26</f>
        <v>0</v>
      </c>
    </row>
    <row r="27" customFormat="false" ht="24.75" hidden="false" customHeight="true" outlineLevel="0" collapsed="false">
      <c r="A27" s="178" t="str">
        <f aca="false">Interview!$B$188</f>
        <v>Operations</v>
      </c>
      <c r="B27" s="182" t="str">
        <f aca="false">Interview!$B$203</f>
        <v>Environment Management</v>
      </c>
      <c r="C27" s="172" t="n">
        <f aca="false">Interview!$J$204</f>
        <v>0</v>
      </c>
      <c r="D27" s="172" t="n">
        <f aca="false">Interview!H204</f>
        <v>0</v>
      </c>
      <c r="E27" s="172" t="n">
        <f aca="false">Interview!H206</f>
        <v>0</v>
      </c>
      <c r="F27" s="172" t="n">
        <f aca="false">Interview!H208</f>
        <v>0</v>
      </c>
      <c r="G27" s="63" t="n">
        <f aca="false">(((((IF((C27="0+"),0.5,0)+IF((C27=1),1,0))+IF((C27="1+"),1.5,0))+IF((C27=2),2,0))+IF((C27="2+"),2.5,0))+IF((C27=3),3,0))+IF((C27="3+"),3.5,0)</f>
        <v>0</v>
      </c>
      <c r="H27" s="173"/>
      <c r="I27" s="18"/>
      <c r="J27" s="18"/>
      <c r="K27" s="18"/>
      <c r="L27" s="18"/>
      <c r="M27" s="18"/>
      <c r="N27" s="18"/>
      <c r="T27" s="178" t="str">
        <f aca="false">A27</f>
        <v>Operations</v>
      </c>
      <c r="U27" s="182" t="str">
        <f aca="false">B27</f>
        <v>Environment Management</v>
      </c>
      <c r="V27" s="172" t="n">
        <v>0</v>
      </c>
      <c r="W27" s="172" t="n">
        <v>0</v>
      </c>
      <c r="X27" s="172" t="n">
        <v>0</v>
      </c>
      <c r="Y27" s="172" t="n">
        <v>0</v>
      </c>
      <c r="Z27" s="172" t="n">
        <f aca="false">C27</f>
        <v>0</v>
      </c>
    </row>
    <row r="28" customFormat="false" ht="24.75" hidden="false" customHeight="true" outlineLevel="0" collapsed="false">
      <c r="A28" s="178" t="str">
        <f aca="false">Interview!$B$188</f>
        <v>Operations</v>
      </c>
      <c r="B28" s="182" t="str">
        <f aca="false">Interview!$B$217</f>
        <v>Operational Management</v>
      </c>
      <c r="C28" s="172" t="n">
        <f aca="false">Interview!$J$218</f>
        <v>0</v>
      </c>
      <c r="D28" s="172" t="n">
        <f aca="false">Interview!H218</f>
        <v>0</v>
      </c>
      <c r="E28" s="172" t="n">
        <f aca="false">Interview!H220</f>
        <v>0</v>
      </c>
      <c r="F28" s="172" t="n">
        <f aca="false">Interview!H222</f>
        <v>0</v>
      </c>
      <c r="G28" s="63" t="n">
        <f aca="false">(((((IF((C28="0+"),0.5,0)+IF((C28=1),1,0))+IF((C28="1+"),1.5,0))+IF((C28=2),2,0))+IF((C28="2+"),2.5,0))+IF((C28=3),3,0))+IF((C28="3+"),3.5,0)</f>
        <v>0</v>
      </c>
      <c r="H28" s="173"/>
      <c r="I28" s="18"/>
      <c r="J28" s="18"/>
      <c r="K28" s="18"/>
      <c r="L28" s="18"/>
      <c r="M28" s="18"/>
      <c r="N28" s="18"/>
      <c r="T28" s="178" t="str">
        <f aca="false">A28</f>
        <v>Operations</v>
      </c>
      <c r="U28" s="182" t="str">
        <f aca="false">B28</f>
        <v>Operational Management</v>
      </c>
      <c r="V28" s="172" t="n">
        <v>0</v>
      </c>
      <c r="W28" s="172" t="n">
        <v>0</v>
      </c>
      <c r="X28" s="172" t="n">
        <v>0</v>
      </c>
      <c r="Y28" s="172" t="n">
        <v>0</v>
      </c>
      <c r="Z28" s="172" t="n">
        <f aca="false">C28</f>
        <v>0</v>
      </c>
    </row>
    <row r="29" customFormat="false" ht="12.75" hidden="false" customHeight="true" outlineLevel="0" collapsed="false">
      <c r="A29" s="157"/>
      <c r="B29" s="157"/>
      <c r="C29" s="157"/>
      <c r="D29" s="157"/>
      <c r="E29" s="157"/>
      <c r="F29" s="157"/>
      <c r="G29" s="18"/>
      <c r="H29" s="18"/>
      <c r="I29" s="18"/>
      <c r="J29" s="18"/>
      <c r="K29" s="18"/>
      <c r="L29" s="18"/>
      <c r="M29" s="18"/>
      <c r="N29" s="18"/>
    </row>
    <row r="30" customFormat="false" ht="12.75" hidden="false" customHeight="true" outlineLevel="0" collapsed="false">
      <c r="K30" s="18"/>
    </row>
    <row r="31" customFormat="false" ht="24.75" hidden="false" customHeight="true" outlineLevel="0" collapsed="false">
      <c r="A31" s="163" t="s">
        <v>159</v>
      </c>
      <c r="B31" s="163"/>
      <c r="C31" s="163"/>
      <c r="D31" s="163"/>
      <c r="E31" s="163"/>
      <c r="F31" s="163"/>
      <c r="G31" s="163"/>
      <c r="H31" s="163"/>
      <c r="I31" s="163"/>
      <c r="J31" s="163"/>
      <c r="K31" s="18"/>
      <c r="L31" s="163" t="s">
        <v>159</v>
      </c>
      <c r="M31" s="163"/>
      <c r="N31" s="163"/>
      <c r="O31" s="163"/>
      <c r="P31" s="163"/>
      <c r="Q31" s="163"/>
      <c r="R31" s="163"/>
      <c r="T31" s="164" t="s">
        <v>159</v>
      </c>
      <c r="U31" s="164"/>
      <c r="V31" s="164"/>
      <c r="W31" s="164"/>
      <c r="X31" s="164"/>
      <c r="Y31" s="164"/>
      <c r="Z31" s="164"/>
    </row>
    <row r="32" customFormat="false" ht="12" hidden="false" customHeight="true" outlineLevel="0" collapsed="false">
      <c r="A32" s="155"/>
      <c r="B32" s="155"/>
      <c r="C32" s="155"/>
      <c r="D32" s="165" t="s">
        <v>154</v>
      </c>
      <c r="E32" s="165"/>
      <c r="F32" s="165"/>
      <c r="G32" s="18"/>
      <c r="H32" s="18"/>
      <c r="I32" s="18"/>
      <c r="J32" s="18"/>
      <c r="K32" s="18"/>
      <c r="L32" s="18"/>
      <c r="M32" s="18"/>
      <c r="N32" s="18"/>
    </row>
    <row r="33" customFormat="false" ht="24.75" hidden="false" customHeight="true" outlineLevel="0" collapsed="false">
      <c r="A33" s="166" t="s">
        <v>155</v>
      </c>
      <c r="B33" s="166" t="s">
        <v>156</v>
      </c>
      <c r="C33" s="166" t="s">
        <v>157</v>
      </c>
      <c r="D33" s="167" t="n">
        <v>1</v>
      </c>
      <c r="E33" s="167" t="n">
        <v>2</v>
      </c>
      <c r="F33" s="167" t="n">
        <v>3</v>
      </c>
      <c r="G33" s="168" t="s">
        <v>158</v>
      </c>
      <c r="H33" s="18"/>
      <c r="I33" s="166" t="s">
        <v>155</v>
      </c>
      <c r="J33" s="166" t="s">
        <v>157</v>
      </c>
      <c r="K33" s="18"/>
      <c r="L33" s="18"/>
      <c r="M33" s="18"/>
      <c r="N33" s="18"/>
      <c r="V33" s="169" t="str">
        <f aca="false">T34</f>
        <v>Governance</v>
      </c>
      <c r="W33" s="169" t="str">
        <f aca="false">T37</f>
        <v>Design</v>
      </c>
      <c r="X33" s="169" t="str">
        <f aca="false">T40</f>
        <v>Implementation</v>
      </c>
      <c r="Y33" s="169" t="str">
        <f aca="false">T43</f>
        <v>Verification</v>
      </c>
      <c r="Z33" s="169" t="str">
        <f aca="false">T46</f>
        <v>Operations</v>
      </c>
    </row>
    <row r="34" customFormat="false" ht="24.75" hidden="false" customHeight="true" outlineLevel="0" collapsed="false">
      <c r="A34" s="170" t="str">
        <f aca="false">Interview!$B$16</f>
        <v>Governance</v>
      </c>
      <c r="B34" s="171" t="str">
        <f aca="false">Interview!$D$17</f>
        <v>Strategy &amp; Metrics</v>
      </c>
      <c r="C34" s="172" t="n">
        <f aca="false">Roadmap!M18</f>
        <v>0.875</v>
      </c>
      <c r="D34" s="172" t="n">
        <f aca="false">Roadmap!L18</f>
        <v>0.125</v>
      </c>
      <c r="E34" s="172" t="n">
        <f aca="false">Roadmap!L19</f>
        <v>0.25</v>
      </c>
      <c r="F34" s="172" t="n">
        <f aca="false">Roadmap!L20</f>
        <v>0.5</v>
      </c>
      <c r="G34" s="63" t="n">
        <f aca="false">(((((IF((C34="0+"),0.5,0)+IF((C34=1),1,0))+IF((C34="1+"),1.5,0))+IF((C34=2),2,0))+IF((C34="2+"),2.5,0))+IF((C34=3),3,0))+IF((C34="3+"),3.5,0)</f>
        <v>0</v>
      </c>
      <c r="H34" s="173"/>
      <c r="I34" s="170" t="str">
        <f aca="false">A34</f>
        <v>Governance</v>
      </c>
      <c r="J34" s="172" t="n">
        <f aca="false">AVERAGE(C34:C36)</f>
        <v>0.291666666666667</v>
      </c>
      <c r="K34" s="18"/>
      <c r="L34" s="18"/>
      <c r="M34" s="18"/>
      <c r="N34" s="18"/>
      <c r="T34" s="170" t="str">
        <f aca="false">Interview!$B$16</f>
        <v>Governance</v>
      </c>
      <c r="U34" s="171" t="str">
        <f aca="false">Interview!$D$17</f>
        <v>Strategy &amp; Metrics</v>
      </c>
      <c r="V34" s="172" t="n">
        <f aca="false">C34</f>
        <v>0.875</v>
      </c>
      <c r="W34" s="172" t="n">
        <v>0</v>
      </c>
      <c r="X34" s="172" t="n">
        <v>0</v>
      </c>
      <c r="Y34" s="172" t="n">
        <v>0</v>
      </c>
      <c r="Z34" s="172" t="n">
        <v>0</v>
      </c>
    </row>
    <row r="35" customFormat="false" ht="24.75" hidden="false" customHeight="true" outlineLevel="0" collapsed="false">
      <c r="A35" s="170" t="str">
        <f aca="false">Interview!$B$16</f>
        <v>Governance</v>
      </c>
      <c r="B35" s="171" t="str">
        <f aca="false">Interview!$B$31</f>
        <v>Policy &amp; Compliance</v>
      </c>
      <c r="C35" s="172" t="n">
        <f aca="false">Roadmap!M27</f>
        <v>0</v>
      </c>
      <c r="D35" s="172" t="n">
        <f aca="false">Roadmap!L27</f>
        <v>0</v>
      </c>
      <c r="E35" s="172" t="n">
        <f aca="false">Roadmap!L28</f>
        <v>0</v>
      </c>
      <c r="F35" s="172" t="n">
        <f aca="false">Roadmap!L29</f>
        <v>0</v>
      </c>
      <c r="G35" s="63" t="n">
        <f aca="false">(((((IF((C35="0+"),0.5,0)+IF((C35=1),1,0))+IF((C35="1+"),1.5,0))+IF((C35=2),2,0))+IF((C35="2+"),2.5,0))+IF((C35=3),3,0))+IF((C35="3+"),3.5,0)</f>
        <v>0</v>
      </c>
      <c r="H35" s="173"/>
      <c r="I35" s="174" t="str">
        <f aca="false">A37</f>
        <v>Design</v>
      </c>
      <c r="J35" s="172" t="n">
        <f aca="false">AVERAGE(C37:C39)</f>
        <v>0</v>
      </c>
      <c r="K35" s="18"/>
      <c r="L35" s="18"/>
      <c r="M35" s="18"/>
      <c r="N35" s="18"/>
      <c r="T35" s="170" t="str">
        <f aca="false">Interview!$B$16</f>
        <v>Governance</v>
      </c>
      <c r="U35" s="171" t="str">
        <f aca="false">Interview!$B$31</f>
        <v>Policy &amp; Compliance</v>
      </c>
      <c r="V35" s="172" t="n">
        <f aca="false">C35</f>
        <v>0</v>
      </c>
      <c r="W35" s="172" t="n">
        <v>0</v>
      </c>
      <c r="X35" s="172" t="n">
        <v>0</v>
      </c>
      <c r="Y35" s="172" t="n">
        <v>0</v>
      </c>
      <c r="Z35" s="172" t="n">
        <v>0</v>
      </c>
    </row>
    <row r="36" customFormat="false" ht="24.75" hidden="false" customHeight="true" outlineLevel="0" collapsed="false">
      <c r="A36" s="170" t="str">
        <f aca="false">Interview!$B$16</f>
        <v>Governance</v>
      </c>
      <c r="B36" s="171" t="str">
        <f aca="false">Interview!$B$45</f>
        <v>Education &amp; Guidance</v>
      </c>
      <c r="C36" s="172" t="n">
        <f aca="false">Roadmap!M36</f>
        <v>0</v>
      </c>
      <c r="D36" s="172" t="n">
        <f aca="false">Roadmap!L36</f>
        <v>0</v>
      </c>
      <c r="E36" s="172" t="n">
        <f aca="false">Roadmap!L37</f>
        <v>0</v>
      </c>
      <c r="F36" s="172" t="n">
        <f aca="false">Roadmap!L38</f>
        <v>0</v>
      </c>
      <c r="G36" s="63" t="n">
        <f aca="false">(((((IF((C36="0+"),0.5,0)+IF((C36=1),1,0))+IF((C36="1+"),1.5,0))+IF((C36=2),2,0))+IF((C36="2+"),2.5,0))+IF((C36=3),3,0))+IF((C36="3+"),3.5,0)</f>
        <v>0</v>
      </c>
      <c r="H36" s="173"/>
      <c r="I36" s="175" t="str">
        <f aca="false">A40</f>
        <v>Implementation</v>
      </c>
      <c r="J36" s="172" t="n">
        <f aca="false">AVERAGE(C40:C42)</f>
        <v>0</v>
      </c>
      <c r="K36" s="18"/>
      <c r="L36" s="18"/>
      <c r="M36" s="18"/>
      <c r="N36" s="18"/>
      <c r="T36" s="170" t="str">
        <f aca="false">Interview!$B$16</f>
        <v>Governance</v>
      </c>
      <c r="U36" s="171" t="str">
        <f aca="false">Interview!$B$45</f>
        <v>Education &amp; Guidance</v>
      </c>
      <c r="V36" s="172" t="n">
        <f aca="false">C36</f>
        <v>0</v>
      </c>
      <c r="W36" s="172" t="n">
        <v>0</v>
      </c>
      <c r="X36" s="172" t="n">
        <v>0</v>
      </c>
      <c r="Y36" s="172" t="n">
        <v>0</v>
      </c>
      <c r="Z36" s="172" t="n">
        <v>0</v>
      </c>
    </row>
    <row r="37" customFormat="false" ht="24.75" hidden="false" customHeight="true" outlineLevel="0" collapsed="false">
      <c r="A37" s="174" t="str">
        <f aca="false">Interview!$B$59</f>
        <v>Design</v>
      </c>
      <c r="B37" s="176" t="str">
        <f aca="false">Interview!$B$60</f>
        <v>Threat Assessment</v>
      </c>
      <c r="C37" s="172" t="n">
        <f aca="false">Roadmap!M46</f>
        <v>0</v>
      </c>
      <c r="D37" s="172" t="n">
        <f aca="false">Roadmap!L46</f>
        <v>0</v>
      </c>
      <c r="E37" s="172" t="n">
        <f aca="false">Roadmap!L47</f>
        <v>0</v>
      </c>
      <c r="F37" s="172" t="n">
        <f aca="false">Roadmap!L48</f>
        <v>0</v>
      </c>
      <c r="G37" s="63" t="n">
        <f aca="false">(((((IF((C37="0+"),0.5,0)+IF((C37=1),1,0))+IF((C37="1+"),1.5,0))+IF((C37=2),2,0))+IF((C37="2+"),2.5,0))+IF((C37=3),3,0))+IF((C37="3+"),3.5,0)</f>
        <v>0</v>
      </c>
      <c r="H37" s="173"/>
      <c r="I37" s="177" t="str">
        <f aca="false">A43</f>
        <v>Verification</v>
      </c>
      <c r="J37" s="172" t="n">
        <f aca="false">AVERAGE(C43:C45)</f>
        <v>0</v>
      </c>
      <c r="K37" s="18"/>
      <c r="L37" s="18"/>
      <c r="M37" s="18"/>
      <c r="N37" s="18"/>
      <c r="T37" s="174" t="str">
        <f aca="false">Interview!$B$59</f>
        <v>Design</v>
      </c>
      <c r="U37" s="176" t="str">
        <f aca="false">Interview!$B$60</f>
        <v>Threat Assessment</v>
      </c>
      <c r="V37" s="172" t="n">
        <v>0</v>
      </c>
      <c r="W37" s="172" t="n">
        <f aca="false">C37</f>
        <v>0</v>
      </c>
      <c r="X37" s="172" t="n">
        <v>0</v>
      </c>
      <c r="Y37" s="172" t="n">
        <v>0</v>
      </c>
      <c r="Z37" s="172" t="n">
        <v>0</v>
      </c>
    </row>
    <row r="38" customFormat="false" ht="24.75" hidden="false" customHeight="true" outlineLevel="0" collapsed="false">
      <c r="A38" s="174" t="str">
        <f aca="false">Interview!$B$59</f>
        <v>Design</v>
      </c>
      <c r="B38" s="176" t="str">
        <f aca="false">Interview!$B$74</f>
        <v>Security Requirements</v>
      </c>
      <c r="C38" s="172" t="n">
        <f aca="false">Roadmap!M55</f>
        <v>0</v>
      </c>
      <c r="D38" s="172" t="n">
        <f aca="false">Roadmap!L55</f>
        <v>0</v>
      </c>
      <c r="E38" s="172" t="n">
        <f aca="false">Roadmap!L56</f>
        <v>0</v>
      </c>
      <c r="F38" s="172" t="n">
        <f aca="false">Roadmap!L57</f>
        <v>0</v>
      </c>
      <c r="G38" s="63" t="n">
        <f aca="false">(((((IF((C38="0+"),0.5,0)+IF((C38=1),1,0))+IF((C38="1+"),1.5,0))+IF((C38=2),2,0))+IF((C38="2+"),2.5,0))+IF((C38=3),3,0))+IF((C38="3+"),3.5,0)</f>
        <v>0</v>
      </c>
      <c r="H38" s="173"/>
      <c r="I38" s="178" t="str">
        <f aca="false">A46</f>
        <v>Operations</v>
      </c>
      <c r="J38" s="172" t="n">
        <f aca="false">AVERAGE(C46:C48)</f>
        <v>0</v>
      </c>
      <c r="K38" s="18"/>
      <c r="L38" s="18"/>
      <c r="M38" s="18"/>
      <c r="N38" s="18"/>
      <c r="T38" s="174" t="str">
        <f aca="false">Interview!$B$59</f>
        <v>Design</v>
      </c>
      <c r="U38" s="176" t="str">
        <f aca="false">Interview!$B$74</f>
        <v>Security Requirements</v>
      </c>
      <c r="V38" s="172" t="n">
        <v>0</v>
      </c>
      <c r="W38" s="172" t="n">
        <f aca="false">C38</f>
        <v>0</v>
      </c>
      <c r="X38" s="172" t="n">
        <v>0</v>
      </c>
      <c r="Y38" s="172" t="n">
        <v>0</v>
      </c>
      <c r="Z38" s="172" t="n">
        <v>0</v>
      </c>
    </row>
    <row r="39" customFormat="false" ht="24.75" hidden="false" customHeight="true" outlineLevel="0" collapsed="false">
      <c r="A39" s="174" t="str">
        <f aca="false">Interview!$B$59</f>
        <v>Design</v>
      </c>
      <c r="B39" s="176" t="str">
        <f aca="false">Interview!$B$88</f>
        <v>Secure Architecture</v>
      </c>
      <c r="C39" s="172" t="n">
        <f aca="false">Roadmap!M64</f>
        <v>0</v>
      </c>
      <c r="D39" s="172" t="n">
        <f aca="false">Roadmap!L64</f>
        <v>0</v>
      </c>
      <c r="E39" s="172" t="n">
        <f aca="false">Roadmap!L65</f>
        <v>0</v>
      </c>
      <c r="F39" s="172" t="n">
        <f aca="false">Roadmap!L66</f>
        <v>0</v>
      </c>
      <c r="G39" s="63" t="n">
        <f aca="false">(((((IF((C39="0+"),0.5,0)+IF((C39=1),1,0))+IF((C39="1+"),1.5,0))+IF((C39=2),2,0))+IF((C39="2+"),2.5,0))+IF((C39=3),3,0))+IF((C39="3+"),3.5,0)</f>
        <v>0</v>
      </c>
      <c r="H39" s="173"/>
      <c r="I39" s="18"/>
      <c r="J39" s="18"/>
      <c r="K39" s="18"/>
      <c r="L39" s="18"/>
      <c r="M39" s="18"/>
      <c r="N39" s="18"/>
      <c r="T39" s="174" t="str">
        <f aca="false">Interview!$B$59</f>
        <v>Design</v>
      </c>
      <c r="U39" s="176" t="str">
        <f aca="false">Interview!$B$88</f>
        <v>Secure Architecture</v>
      </c>
      <c r="V39" s="172" t="n">
        <v>0</v>
      </c>
      <c r="W39" s="172" t="n">
        <f aca="false">C39</f>
        <v>0</v>
      </c>
      <c r="X39" s="172" t="n">
        <v>0</v>
      </c>
      <c r="Y39" s="172" t="n">
        <v>0</v>
      </c>
      <c r="Z39" s="172" t="n">
        <v>0</v>
      </c>
    </row>
    <row r="40" customFormat="false" ht="24.75" hidden="false" customHeight="true" outlineLevel="0" collapsed="false">
      <c r="A40" s="175" t="str">
        <f aca="false">Interview!$B$102</f>
        <v>Implementation</v>
      </c>
      <c r="B40" s="179" t="str">
        <f aca="false">Interview!$B$103</f>
        <v>Secure Build</v>
      </c>
      <c r="C40" s="172" t="n">
        <f aca="false">Roadmap!M74</f>
        <v>0</v>
      </c>
      <c r="D40" s="172" t="n">
        <f aca="false">Roadmap!L74</f>
        <v>0</v>
      </c>
      <c r="E40" s="172" t="n">
        <f aca="false">Roadmap!L75</f>
        <v>0</v>
      </c>
      <c r="F40" s="172" t="n">
        <f aca="false">Roadmap!L76</f>
        <v>0</v>
      </c>
      <c r="G40" s="63"/>
      <c r="H40" s="173"/>
      <c r="I40" s="18"/>
      <c r="J40" s="18"/>
      <c r="K40" s="18"/>
      <c r="L40" s="18"/>
      <c r="M40" s="18"/>
      <c r="N40" s="18"/>
      <c r="T40" s="175" t="str">
        <f aca="false">Interview!$B$102</f>
        <v>Implementation</v>
      </c>
      <c r="U40" s="179" t="str">
        <f aca="false">Interview!$B$103</f>
        <v>Secure Build</v>
      </c>
      <c r="V40" s="172" t="n">
        <v>0</v>
      </c>
      <c r="W40" s="172" t="n">
        <v>0</v>
      </c>
      <c r="X40" s="172" t="n">
        <f aca="false">C40</f>
        <v>0</v>
      </c>
      <c r="Y40" s="172" t="n">
        <v>0</v>
      </c>
      <c r="Z40" s="172" t="n">
        <v>0</v>
      </c>
    </row>
    <row r="41" customFormat="false" ht="24.75" hidden="false" customHeight="true" outlineLevel="0" collapsed="false">
      <c r="A41" s="175" t="str">
        <f aca="false">Interview!$B$102</f>
        <v>Implementation</v>
      </c>
      <c r="B41" s="179" t="str">
        <f aca="false">Interview!$B$117</f>
        <v>Secure Deployment</v>
      </c>
      <c r="C41" s="172" t="n">
        <f aca="false">Roadmap!M83</f>
        <v>0</v>
      </c>
      <c r="D41" s="172" t="n">
        <f aca="false">Roadmap!L83</f>
        <v>0</v>
      </c>
      <c r="E41" s="172" t="n">
        <f aca="false">Roadmap!L84</f>
        <v>0</v>
      </c>
      <c r="F41" s="172" t="n">
        <f aca="false">Roadmap!L85</f>
        <v>0</v>
      </c>
      <c r="G41" s="63"/>
      <c r="H41" s="173"/>
      <c r="I41" s="18"/>
      <c r="J41" s="18"/>
      <c r="K41" s="18"/>
      <c r="L41" s="18"/>
      <c r="M41" s="18"/>
      <c r="N41" s="18"/>
      <c r="T41" s="175" t="str">
        <f aca="false">Interview!$B$102</f>
        <v>Implementation</v>
      </c>
      <c r="U41" s="179" t="str">
        <f aca="false">Interview!$B$117</f>
        <v>Secure Deployment</v>
      </c>
      <c r="V41" s="172" t="n">
        <v>0</v>
      </c>
      <c r="W41" s="172" t="n">
        <v>0</v>
      </c>
      <c r="X41" s="172" t="n">
        <f aca="false">C41</f>
        <v>0</v>
      </c>
      <c r="Y41" s="172" t="n">
        <v>0</v>
      </c>
      <c r="Z41" s="172" t="n">
        <v>0</v>
      </c>
    </row>
    <row r="42" customFormat="false" ht="24.75" hidden="false" customHeight="true" outlineLevel="0" collapsed="false">
      <c r="A42" s="175" t="str">
        <f aca="false">Interview!$B$102</f>
        <v>Implementation</v>
      </c>
      <c r="B42" s="179" t="str">
        <f aca="false">Interview!$B$131</f>
        <v>Defect Management</v>
      </c>
      <c r="C42" s="172" t="n">
        <f aca="false">Roadmap!M92</f>
        <v>0</v>
      </c>
      <c r="D42" s="172" t="n">
        <f aca="false">Roadmap!L92</f>
        <v>0</v>
      </c>
      <c r="E42" s="172" t="n">
        <f aca="false">Roadmap!L93</f>
        <v>0</v>
      </c>
      <c r="F42" s="172" t="n">
        <f aca="false">Roadmap!L94</f>
        <v>0</v>
      </c>
      <c r="G42" s="63"/>
      <c r="H42" s="173"/>
      <c r="I42" s="18"/>
      <c r="J42" s="18"/>
      <c r="K42" s="18"/>
      <c r="L42" s="18"/>
      <c r="M42" s="18"/>
      <c r="N42" s="18"/>
      <c r="T42" s="175" t="str">
        <f aca="false">Interview!$B$102</f>
        <v>Implementation</v>
      </c>
      <c r="U42" s="179" t="str">
        <f aca="false">Interview!$B$131</f>
        <v>Defect Management</v>
      </c>
      <c r="V42" s="172" t="n">
        <v>0</v>
      </c>
      <c r="W42" s="172" t="n">
        <v>0</v>
      </c>
      <c r="X42" s="172" t="n">
        <f aca="false">C42</f>
        <v>0</v>
      </c>
      <c r="Y42" s="172" t="n">
        <v>0</v>
      </c>
      <c r="Z42" s="172" t="n">
        <v>0</v>
      </c>
    </row>
    <row r="43" customFormat="false" ht="24.75" hidden="false" customHeight="true" outlineLevel="0" collapsed="false">
      <c r="A43" s="177" t="str">
        <f aca="false">Interview!$B$145</f>
        <v>Verification</v>
      </c>
      <c r="B43" s="181" t="str">
        <f aca="false">Interview!$B$146</f>
        <v>Architecture Assessment</v>
      </c>
      <c r="C43" s="172" t="n">
        <f aca="false">Roadmap!M102</f>
        <v>0</v>
      </c>
      <c r="D43" s="172" t="n">
        <f aca="false">Roadmap!L102</f>
        <v>0</v>
      </c>
      <c r="E43" s="172" t="n">
        <f aca="false">Roadmap!L103</f>
        <v>0</v>
      </c>
      <c r="F43" s="172" t="n">
        <f aca="false">Roadmap!L104</f>
        <v>0</v>
      </c>
      <c r="G43" s="63" t="n">
        <f aca="false">(((((IF((C43="0+"),0.5,0)+IF((C43=1),1,0))+IF((C43="1+"),1.5,0))+IF((C43=2),2,0))+IF((C43="2+"),2.5,0))+IF((C43=3),3,0))+IF((C43="3+"),3.5,0)</f>
        <v>0</v>
      </c>
      <c r="H43" s="173"/>
      <c r="I43" s="18"/>
      <c r="J43" s="18"/>
      <c r="K43" s="18"/>
      <c r="L43" s="18"/>
      <c r="M43" s="18"/>
      <c r="N43" s="18"/>
      <c r="T43" s="177" t="str">
        <f aca="false">Interview!$B$145</f>
        <v>Verification</v>
      </c>
      <c r="U43" s="181" t="str">
        <f aca="false">Interview!$B$146</f>
        <v>Architecture Assessment</v>
      </c>
      <c r="V43" s="172" t="n">
        <v>0</v>
      </c>
      <c r="W43" s="172" t="n">
        <v>0</v>
      </c>
      <c r="X43" s="172" t="n">
        <v>0</v>
      </c>
      <c r="Y43" s="172" t="n">
        <f aca="false">C43</f>
        <v>0</v>
      </c>
      <c r="Z43" s="172" t="n">
        <v>0</v>
      </c>
    </row>
    <row r="44" customFormat="false" ht="24.75" hidden="false" customHeight="true" outlineLevel="0" collapsed="false">
      <c r="A44" s="177" t="str">
        <f aca="false">Interview!$B$145</f>
        <v>Verification</v>
      </c>
      <c r="B44" s="181" t="str">
        <f aca="false">Interview!$B$160</f>
        <v>Requirements Testing</v>
      </c>
      <c r="C44" s="172" t="n">
        <f aca="false">Roadmap!M111</f>
        <v>0</v>
      </c>
      <c r="D44" s="172" t="n">
        <f aca="false">Roadmap!L111</f>
        <v>0</v>
      </c>
      <c r="E44" s="172" t="n">
        <f aca="false">Roadmap!L112</f>
        <v>0</v>
      </c>
      <c r="F44" s="172" t="n">
        <f aca="false">Roadmap!L113</f>
        <v>0</v>
      </c>
      <c r="G44" s="63" t="n">
        <f aca="false">(((((IF((C44="0+"),0.5,0)+IF((C44=1),1,0))+IF((C44="1+"),1.5,0))+IF((C44=2),2,0))+IF((C44="2+"),2.5,0))+IF((C44=3),3,0))+IF((C44="3+"),3.5,0)</f>
        <v>0</v>
      </c>
      <c r="H44" s="173"/>
      <c r="I44" s="18"/>
      <c r="J44" s="18"/>
      <c r="K44" s="18"/>
      <c r="L44" s="18"/>
      <c r="M44" s="18"/>
      <c r="N44" s="18"/>
      <c r="T44" s="177" t="str">
        <f aca="false">Interview!$B$145</f>
        <v>Verification</v>
      </c>
      <c r="U44" s="181" t="str">
        <f aca="false">Interview!$B$160</f>
        <v>Requirements Testing</v>
      </c>
      <c r="V44" s="172" t="n">
        <v>0</v>
      </c>
      <c r="W44" s="172" t="n">
        <v>0</v>
      </c>
      <c r="X44" s="172" t="n">
        <v>0</v>
      </c>
      <c r="Y44" s="172" t="n">
        <f aca="false">C44</f>
        <v>0</v>
      </c>
      <c r="Z44" s="172" t="n">
        <v>0</v>
      </c>
    </row>
    <row r="45" customFormat="false" ht="24.75" hidden="false" customHeight="true" outlineLevel="0" collapsed="false">
      <c r="A45" s="177" t="str">
        <f aca="false">Interview!$B$145</f>
        <v>Verification</v>
      </c>
      <c r="B45" s="181" t="str">
        <f aca="false">Interview!$B$174</f>
        <v>Security Testing</v>
      </c>
      <c r="C45" s="172" t="n">
        <f aca="false">Roadmap!M120</f>
        <v>0</v>
      </c>
      <c r="D45" s="172" t="n">
        <f aca="false">Roadmap!L120</f>
        <v>0</v>
      </c>
      <c r="E45" s="172" t="n">
        <f aca="false">Roadmap!L121</f>
        <v>0</v>
      </c>
      <c r="F45" s="172" t="n">
        <f aca="false">Roadmap!L122</f>
        <v>0</v>
      </c>
      <c r="G45" s="63" t="n">
        <f aca="false">(((((IF((C45="0+"),0.5,0)+IF((C45=1),1,0))+IF((C45="1+"),1.5,0))+IF((C45=2),2,0))+IF((C45="2+"),2.5,0))+IF((C45=3),3,0))+IF((C45="3+"),3.5,0)</f>
        <v>0</v>
      </c>
      <c r="H45" s="173"/>
      <c r="I45" s="18"/>
      <c r="J45" s="18"/>
      <c r="K45" s="18"/>
      <c r="L45" s="18"/>
      <c r="M45" s="18"/>
      <c r="N45" s="18"/>
      <c r="T45" s="177" t="str">
        <f aca="false">Interview!$B$145</f>
        <v>Verification</v>
      </c>
      <c r="U45" s="181" t="str">
        <f aca="false">Interview!$B$174</f>
        <v>Security Testing</v>
      </c>
      <c r="V45" s="172" t="n">
        <v>0</v>
      </c>
      <c r="W45" s="172" t="n">
        <v>0</v>
      </c>
      <c r="X45" s="172" t="n">
        <v>0</v>
      </c>
      <c r="Y45" s="172" t="n">
        <f aca="false">C45</f>
        <v>0</v>
      </c>
      <c r="Z45" s="172" t="n">
        <v>0</v>
      </c>
    </row>
    <row r="46" customFormat="false" ht="24.75" hidden="false" customHeight="true" outlineLevel="0" collapsed="false">
      <c r="A46" s="178" t="str">
        <f aca="false">Interview!$B$188</f>
        <v>Operations</v>
      </c>
      <c r="B46" s="182" t="str">
        <f aca="false">Interview!$B$189</f>
        <v>Incident Management</v>
      </c>
      <c r="C46" s="172" t="n">
        <f aca="false">Roadmap!M130</f>
        <v>0</v>
      </c>
      <c r="D46" s="172" t="n">
        <f aca="false">Roadmap!L130</f>
        <v>0</v>
      </c>
      <c r="E46" s="172" t="n">
        <f aca="false">Roadmap!L131</f>
        <v>0</v>
      </c>
      <c r="F46" s="172" t="n">
        <f aca="false">Roadmap!L132</f>
        <v>0</v>
      </c>
      <c r="G46" s="63" t="n">
        <f aca="false">(((((IF((C46="0+"),0.5,0)+IF((C46=1),1,0))+IF((C46="1+"),1.5,0))+IF((C46=2),2,0))+IF((C46="2+"),2.5,0))+IF((C46=3),3,0))+IF((C46="3+"),3.5,0)</f>
        <v>0</v>
      </c>
      <c r="H46" s="173"/>
      <c r="I46" s="18"/>
      <c r="J46" s="18"/>
      <c r="K46" s="18"/>
      <c r="L46" s="18"/>
      <c r="M46" s="18"/>
      <c r="N46" s="18"/>
      <c r="T46" s="178" t="str">
        <f aca="false">Interview!$B$188</f>
        <v>Operations</v>
      </c>
      <c r="U46" s="182" t="str">
        <f aca="false">Interview!$B$189</f>
        <v>Incident Management</v>
      </c>
      <c r="V46" s="172" t="n">
        <v>0</v>
      </c>
      <c r="W46" s="172" t="n">
        <v>0</v>
      </c>
      <c r="X46" s="172" t="n">
        <v>0</v>
      </c>
      <c r="Y46" s="172" t="n">
        <v>0</v>
      </c>
      <c r="Z46" s="172" t="n">
        <f aca="false">C46</f>
        <v>0</v>
      </c>
    </row>
    <row r="47" customFormat="false" ht="24.75" hidden="false" customHeight="true" outlineLevel="0" collapsed="false">
      <c r="A47" s="178" t="str">
        <f aca="false">Interview!$B$188</f>
        <v>Operations</v>
      </c>
      <c r="B47" s="182" t="str">
        <f aca="false">Interview!$B$203</f>
        <v>Environment Management</v>
      </c>
      <c r="C47" s="172" t="n">
        <f aca="false">Roadmap!M139</f>
        <v>0</v>
      </c>
      <c r="D47" s="172" t="n">
        <f aca="false">Roadmap!L139</f>
        <v>0</v>
      </c>
      <c r="E47" s="172" t="n">
        <f aca="false">Roadmap!L140</f>
        <v>0</v>
      </c>
      <c r="F47" s="172" t="n">
        <f aca="false">Roadmap!L141</f>
        <v>0</v>
      </c>
      <c r="G47" s="63" t="n">
        <f aca="false">(((((IF((C47="0+"),0.5,0)+IF((C47=1),1,0))+IF((C47="1+"),1.5,0))+IF((C47=2),2,0))+IF((C47="2+"),2.5,0))+IF((C47=3),3,0))+IF((C47="3+"),3.5,0)</f>
        <v>0</v>
      </c>
      <c r="H47" s="173"/>
      <c r="I47" s="18"/>
      <c r="J47" s="18"/>
      <c r="K47" s="18"/>
      <c r="L47" s="18"/>
      <c r="M47" s="18"/>
      <c r="N47" s="18"/>
      <c r="T47" s="178" t="str">
        <f aca="false">Interview!$B$188</f>
        <v>Operations</v>
      </c>
      <c r="U47" s="182" t="str">
        <f aca="false">Interview!$B$203</f>
        <v>Environment Management</v>
      </c>
      <c r="V47" s="172" t="n">
        <v>0</v>
      </c>
      <c r="W47" s="172" t="n">
        <v>0</v>
      </c>
      <c r="X47" s="172" t="n">
        <v>0</v>
      </c>
      <c r="Y47" s="172" t="n">
        <v>0</v>
      </c>
      <c r="Z47" s="172" t="n">
        <f aca="false">C47</f>
        <v>0</v>
      </c>
    </row>
    <row r="48" customFormat="false" ht="24.75" hidden="false" customHeight="true" outlineLevel="0" collapsed="false">
      <c r="A48" s="178" t="str">
        <f aca="false">Interview!$B$188</f>
        <v>Operations</v>
      </c>
      <c r="B48" s="182" t="str">
        <f aca="false">Interview!$B$217</f>
        <v>Operational Management</v>
      </c>
      <c r="C48" s="172" t="n">
        <f aca="false">Roadmap!M148</f>
        <v>0</v>
      </c>
      <c r="D48" s="172" t="n">
        <f aca="false">Roadmap!L148</f>
        <v>0</v>
      </c>
      <c r="E48" s="172" t="n">
        <f aca="false">Roadmap!L149</f>
        <v>0</v>
      </c>
      <c r="F48" s="172" t="n">
        <f aca="false">Roadmap!L150</f>
        <v>0</v>
      </c>
      <c r="G48" s="63" t="n">
        <f aca="false">(((((IF((C48="0+"),0.5,0)+IF((C48=1),1,0))+IF((C48="1+"),1.5,0))+IF((C48=2),2,0))+IF((C48="2+"),2.5,0))+IF((C48=3),3,0))+IF((C48="3+"),3.5,0)</f>
        <v>0</v>
      </c>
      <c r="H48" s="173"/>
      <c r="I48" s="18"/>
      <c r="J48" s="18"/>
      <c r="K48" s="18"/>
      <c r="L48" s="18"/>
      <c r="M48" s="18"/>
      <c r="N48" s="18"/>
      <c r="T48" s="178" t="str">
        <f aca="false">Interview!$B$188</f>
        <v>Operations</v>
      </c>
      <c r="U48" s="182" t="str">
        <f aca="false">Interview!$B$217</f>
        <v>Operational Management</v>
      </c>
      <c r="V48" s="172" t="n">
        <v>0</v>
      </c>
      <c r="W48" s="172" t="n">
        <v>0</v>
      </c>
      <c r="X48" s="172" t="n">
        <v>0</v>
      </c>
      <c r="Y48" s="172" t="n">
        <v>0</v>
      </c>
      <c r="Z48" s="172" t="n">
        <f aca="false">C48</f>
        <v>0</v>
      </c>
    </row>
    <row r="49" customFormat="false" ht="12.75" hidden="false" customHeight="true" outlineLevel="0" collapsed="false">
      <c r="A49" s="18"/>
      <c r="B49" s="18"/>
      <c r="C49" s="18"/>
      <c r="D49" s="18"/>
      <c r="E49" s="18"/>
      <c r="F49" s="18"/>
      <c r="G49" s="18"/>
      <c r="H49" s="18"/>
      <c r="I49" s="18"/>
      <c r="J49" s="18"/>
      <c r="K49" s="18"/>
      <c r="L49" s="18"/>
      <c r="M49" s="18"/>
      <c r="N49" s="18"/>
    </row>
    <row r="50" customFormat="false" ht="12.75" hidden="false" customHeight="true" outlineLevel="0" collapsed="false">
      <c r="K50" s="18"/>
    </row>
    <row r="51" customFormat="false" ht="24.75" hidden="false" customHeight="true" outlineLevel="0" collapsed="false">
      <c r="A51" s="163" t="s">
        <v>160</v>
      </c>
      <c r="B51" s="163"/>
      <c r="C51" s="163"/>
      <c r="D51" s="163"/>
      <c r="E51" s="163"/>
      <c r="F51" s="163"/>
      <c r="G51" s="163"/>
      <c r="H51" s="163"/>
      <c r="I51" s="163"/>
      <c r="J51" s="163"/>
      <c r="K51" s="18"/>
      <c r="L51" s="163" t="s">
        <v>160</v>
      </c>
      <c r="M51" s="163"/>
      <c r="N51" s="163"/>
      <c r="O51" s="163"/>
      <c r="P51" s="163"/>
      <c r="Q51" s="163"/>
      <c r="R51" s="163"/>
      <c r="T51" s="164" t="s">
        <v>160</v>
      </c>
      <c r="U51" s="164"/>
      <c r="V51" s="164"/>
      <c r="W51" s="164"/>
      <c r="X51" s="164"/>
      <c r="Y51" s="164"/>
      <c r="Z51" s="164"/>
    </row>
    <row r="52" customFormat="false" ht="12" hidden="false" customHeight="true" outlineLevel="0" collapsed="false">
      <c r="A52" s="155"/>
      <c r="B52" s="155"/>
      <c r="C52" s="155"/>
      <c r="D52" s="165" t="s">
        <v>154</v>
      </c>
      <c r="E52" s="165"/>
      <c r="F52" s="165"/>
      <c r="G52" s="18"/>
      <c r="H52" s="18"/>
      <c r="I52" s="18"/>
      <c r="J52" s="18"/>
      <c r="K52" s="18"/>
      <c r="L52" s="18"/>
      <c r="M52" s="18"/>
      <c r="N52" s="18"/>
    </row>
    <row r="53" customFormat="false" ht="24.75" hidden="false" customHeight="true" outlineLevel="0" collapsed="false">
      <c r="A53" s="166" t="s">
        <v>155</v>
      </c>
      <c r="B53" s="166" t="s">
        <v>156</v>
      </c>
      <c r="C53" s="166" t="s">
        <v>157</v>
      </c>
      <c r="D53" s="167" t="n">
        <v>1</v>
      </c>
      <c r="E53" s="167" t="n">
        <v>2</v>
      </c>
      <c r="F53" s="167" t="n">
        <v>3</v>
      </c>
      <c r="G53" s="168" t="s">
        <v>158</v>
      </c>
      <c r="H53" s="18"/>
      <c r="I53" s="166" t="s">
        <v>155</v>
      </c>
      <c r="J53" s="166" t="s">
        <v>157</v>
      </c>
      <c r="K53" s="18"/>
      <c r="L53" s="18"/>
      <c r="M53" s="18"/>
      <c r="N53" s="18"/>
      <c r="V53" s="169" t="str">
        <f aca="false">T54</f>
        <v>Governance</v>
      </c>
      <c r="W53" s="169" t="str">
        <f aca="false">T57</f>
        <v>Design</v>
      </c>
      <c r="X53" s="169" t="str">
        <f aca="false">T60</f>
        <v>Implementation</v>
      </c>
      <c r="Y53" s="169" t="str">
        <f aca="false">T63</f>
        <v>Verification</v>
      </c>
      <c r="Z53" s="169" t="str">
        <f aca="false">T66</f>
        <v>Operations</v>
      </c>
    </row>
    <row r="54" customFormat="false" ht="24.75" hidden="false" customHeight="true" outlineLevel="0" collapsed="false">
      <c r="A54" s="170" t="str">
        <f aca="false">Interview!$B$16</f>
        <v>Governance</v>
      </c>
      <c r="B54" s="171" t="str">
        <f aca="false">Interview!$D$17</f>
        <v>Strategy &amp; Metrics</v>
      </c>
      <c r="C54" s="172" t="n">
        <f aca="false">Roadmap!Q18</f>
        <v>0.875</v>
      </c>
      <c r="D54" s="172" t="n">
        <f aca="false">Roadmap!P18</f>
        <v>0.125</v>
      </c>
      <c r="E54" s="172" t="n">
        <f aca="false">Roadmap!P19</f>
        <v>0.25</v>
      </c>
      <c r="F54" s="172" t="n">
        <f aca="false">Roadmap!P20</f>
        <v>0.5</v>
      </c>
      <c r="G54" s="63" t="n">
        <f aca="false">(((((IF((C54="0+"),0.5,0)+IF((C54=1),1,0))+IF((C54="1+"),1.5,0))+IF((C54=2),2,0))+IF((C54="2+"),2.5,0))+IF((C54=3),3,0))+IF((C54="3+"),3.5,0)</f>
        <v>0</v>
      </c>
      <c r="H54" s="173"/>
      <c r="I54" s="170" t="str">
        <f aca="false">A54</f>
        <v>Governance</v>
      </c>
      <c r="J54" s="172" t="n">
        <f aca="false">AVERAGE(C54:C56)</f>
        <v>0.291666666666667</v>
      </c>
      <c r="K54" s="18"/>
      <c r="L54" s="18"/>
      <c r="M54" s="18"/>
      <c r="N54" s="18"/>
      <c r="T54" s="170" t="str">
        <f aca="false">Interview!$B$16</f>
        <v>Governance</v>
      </c>
      <c r="U54" s="171" t="str">
        <f aca="false">Interview!$D$17</f>
        <v>Strategy &amp; Metrics</v>
      </c>
      <c r="V54" s="172" t="n">
        <f aca="false">C54</f>
        <v>0.875</v>
      </c>
      <c r="W54" s="172" t="n">
        <v>0</v>
      </c>
      <c r="X54" s="172" t="n">
        <v>0</v>
      </c>
      <c r="Y54" s="172" t="n">
        <v>0</v>
      </c>
      <c r="Z54" s="172" t="n">
        <v>0</v>
      </c>
    </row>
    <row r="55" customFormat="false" ht="24.75" hidden="false" customHeight="true" outlineLevel="0" collapsed="false">
      <c r="A55" s="170" t="str">
        <f aca="false">Interview!$B$16</f>
        <v>Governance</v>
      </c>
      <c r="B55" s="171" t="str">
        <f aca="false">Interview!$B$31</f>
        <v>Policy &amp; Compliance</v>
      </c>
      <c r="C55" s="172" t="n">
        <f aca="false">Roadmap!Q27</f>
        <v>0</v>
      </c>
      <c r="D55" s="172" t="n">
        <f aca="false">Roadmap!P27</f>
        <v>0</v>
      </c>
      <c r="E55" s="172" t="n">
        <f aca="false">Roadmap!P28</f>
        <v>0</v>
      </c>
      <c r="F55" s="172" t="n">
        <f aca="false">Roadmap!P29</f>
        <v>0</v>
      </c>
      <c r="G55" s="63" t="n">
        <f aca="false">(((((IF((C55="0+"),0.5,0)+IF((C55=1),1,0))+IF((C55="1+"),1.5,0))+IF((C55=2),2,0))+IF((C55="2+"),2.5,0))+IF((C55=3),3,0))+IF((C55="3+"),3.5,0)</f>
        <v>0</v>
      </c>
      <c r="H55" s="173"/>
      <c r="I55" s="174" t="str">
        <f aca="false">A57</f>
        <v>Design</v>
      </c>
      <c r="J55" s="172" t="n">
        <f aca="false">AVERAGE(C57:C59)</f>
        <v>0</v>
      </c>
      <c r="K55" s="18"/>
      <c r="L55" s="18"/>
      <c r="M55" s="18"/>
      <c r="N55" s="18"/>
      <c r="T55" s="170" t="str">
        <f aca="false">Interview!$B$16</f>
        <v>Governance</v>
      </c>
      <c r="U55" s="171" t="str">
        <f aca="false">Interview!$B$31</f>
        <v>Policy &amp; Compliance</v>
      </c>
      <c r="V55" s="172" t="n">
        <f aca="false">C55</f>
        <v>0</v>
      </c>
      <c r="W55" s="172" t="n">
        <v>0</v>
      </c>
      <c r="X55" s="172" t="n">
        <v>0</v>
      </c>
      <c r="Y55" s="172" t="n">
        <v>0</v>
      </c>
      <c r="Z55" s="172" t="n">
        <v>0</v>
      </c>
    </row>
    <row r="56" customFormat="false" ht="24.75" hidden="false" customHeight="true" outlineLevel="0" collapsed="false">
      <c r="A56" s="170" t="str">
        <f aca="false">Interview!$B$16</f>
        <v>Governance</v>
      </c>
      <c r="B56" s="171" t="str">
        <f aca="false">Interview!$B$45</f>
        <v>Education &amp; Guidance</v>
      </c>
      <c r="C56" s="172" t="n">
        <f aca="false">Roadmap!Q36</f>
        <v>0</v>
      </c>
      <c r="D56" s="172" t="n">
        <f aca="false">Roadmap!P36</f>
        <v>0</v>
      </c>
      <c r="E56" s="172" t="n">
        <f aca="false">Roadmap!P37</f>
        <v>0</v>
      </c>
      <c r="F56" s="172" t="n">
        <f aca="false">Roadmap!P38</f>
        <v>0</v>
      </c>
      <c r="G56" s="63" t="n">
        <f aca="false">(((((IF((C56="0+"),0.5,0)+IF((C56=1),1,0))+IF((C56="1+"),1.5,0))+IF((C56=2),2,0))+IF((C56="2+"),2.5,0))+IF((C56=3),3,0))+IF((C56="3+"),3.5,0)</f>
        <v>0</v>
      </c>
      <c r="H56" s="173"/>
      <c r="I56" s="175" t="str">
        <f aca="false">A60</f>
        <v>Implementation</v>
      </c>
      <c r="J56" s="172" t="n">
        <f aca="false">AVERAGE(C60:C62)</f>
        <v>0</v>
      </c>
      <c r="K56" s="18"/>
      <c r="L56" s="18"/>
      <c r="M56" s="18"/>
      <c r="N56" s="18"/>
      <c r="T56" s="170" t="str">
        <f aca="false">Interview!$B$16</f>
        <v>Governance</v>
      </c>
      <c r="U56" s="171" t="str">
        <f aca="false">Interview!$B$45</f>
        <v>Education &amp; Guidance</v>
      </c>
      <c r="V56" s="172" t="n">
        <f aca="false">C56</f>
        <v>0</v>
      </c>
      <c r="W56" s="172" t="n">
        <v>0</v>
      </c>
      <c r="X56" s="172" t="n">
        <v>0</v>
      </c>
      <c r="Y56" s="172" t="n">
        <v>0</v>
      </c>
      <c r="Z56" s="172" t="n">
        <v>0</v>
      </c>
    </row>
    <row r="57" customFormat="false" ht="24.75" hidden="false" customHeight="true" outlineLevel="0" collapsed="false">
      <c r="A57" s="174" t="str">
        <f aca="false">Interview!$B$59</f>
        <v>Design</v>
      </c>
      <c r="B57" s="176" t="str">
        <f aca="false">Interview!$B$60</f>
        <v>Threat Assessment</v>
      </c>
      <c r="C57" s="172" t="n">
        <f aca="false">Roadmap!Q46</f>
        <v>0</v>
      </c>
      <c r="D57" s="172" t="n">
        <f aca="false">Roadmap!P46</f>
        <v>0</v>
      </c>
      <c r="E57" s="172" t="n">
        <f aca="false">Roadmap!P47</f>
        <v>0</v>
      </c>
      <c r="F57" s="172" t="n">
        <f aca="false">Roadmap!P48</f>
        <v>0</v>
      </c>
      <c r="G57" s="63" t="n">
        <f aca="false">(((((IF((C57="0+"),0.5,0)+IF((C57=1),1,0))+IF((C57="1+"),1.5,0))+IF((C57=2),2,0))+IF((C57="2+"),2.5,0))+IF((C57=3),3,0))+IF((C57="3+"),3.5,0)</f>
        <v>0</v>
      </c>
      <c r="H57" s="173"/>
      <c r="I57" s="177" t="str">
        <f aca="false">A63</f>
        <v>Verification</v>
      </c>
      <c r="J57" s="172" t="n">
        <f aca="false">AVERAGE(C63:C65)</f>
        <v>0</v>
      </c>
      <c r="K57" s="18"/>
      <c r="L57" s="18"/>
      <c r="M57" s="18"/>
      <c r="N57" s="18"/>
      <c r="T57" s="174" t="str">
        <f aca="false">Interview!$B$59</f>
        <v>Design</v>
      </c>
      <c r="U57" s="176" t="str">
        <f aca="false">Interview!$B$60</f>
        <v>Threat Assessment</v>
      </c>
      <c r="V57" s="172" t="n">
        <v>0</v>
      </c>
      <c r="W57" s="172" t="n">
        <f aca="false">C57</f>
        <v>0</v>
      </c>
      <c r="X57" s="172" t="n">
        <v>0</v>
      </c>
      <c r="Y57" s="172" t="n">
        <v>0</v>
      </c>
      <c r="Z57" s="172" t="n">
        <v>0</v>
      </c>
    </row>
    <row r="58" customFormat="false" ht="24.75" hidden="false" customHeight="true" outlineLevel="0" collapsed="false">
      <c r="A58" s="174" t="str">
        <f aca="false">Interview!$B$59</f>
        <v>Design</v>
      </c>
      <c r="B58" s="176" t="str">
        <f aca="false">Interview!$B$74</f>
        <v>Security Requirements</v>
      </c>
      <c r="C58" s="172" t="n">
        <f aca="false">Roadmap!Q55</f>
        <v>0</v>
      </c>
      <c r="D58" s="172" t="n">
        <f aca="false">Roadmap!P55</f>
        <v>0</v>
      </c>
      <c r="E58" s="172" t="n">
        <f aca="false">Roadmap!P56</f>
        <v>0</v>
      </c>
      <c r="F58" s="172" t="n">
        <f aca="false">Roadmap!P57</f>
        <v>0</v>
      </c>
      <c r="G58" s="63" t="n">
        <f aca="false">(((((IF((C58="0+"),0.5,0)+IF((C58=1),1,0))+IF((C58="1+"),1.5,0))+IF((C58=2),2,0))+IF((C58="2+"),2.5,0))+IF((C58=3),3,0))+IF((C58="3+"),3.5,0)</f>
        <v>0</v>
      </c>
      <c r="H58" s="173"/>
      <c r="I58" s="178" t="str">
        <f aca="false">A66</f>
        <v>Operations</v>
      </c>
      <c r="J58" s="172" t="n">
        <f aca="false">AVERAGE(C66:C68)</f>
        <v>0</v>
      </c>
      <c r="K58" s="18"/>
      <c r="L58" s="18"/>
      <c r="M58" s="18"/>
      <c r="N58" s="18"/>
      <c r="T58" s="174" t="str">
        <f aca="false">Interview!$B$59</f>
        <v>Design</v>
      </c>
      <c r="U58" s="176" t="str">
        <f aca="false">Interview!$B$74</f>
        <v>Security Requirements</v>
      </c>
      <c r="V58" s="172" t="n">
        <v>0</v>
      </c>
      <c r="W58" s="172" t="n">
        <f aca="false">C58</f>
        <v>0</v>
      </c>
      <c r="X58" s="172" t="n">
        <v>0</v>
      </c>
      <c r="Y58" s="172" t="n">
        <v>0</v>
      </c>
      <c r="Z58" s="172" t="n">
        <v>0</v>
      </c>
    </row>
    <row r="59" customFormat="false" ht="24.75" hidden="false" customHeight="true" outlineLevel="0" collapsed="false">
      <c r="A59" s="174" t="str">
        <f aca="false">Interview!$B$59</f>
        <v>Design</v>
      </c>
      <c r="B59" s="176" t="str">
        <f aca="false">Interview!$B$88</f>
        <v>Secure Architecture</v>
      </c>
      <c r="C59" s="172" t="n">
        <f aca="false">Roadmap!Q64</f>
        <v>0</v>
      </c>
      <c r="D59" s="172" t="n">
        <f aca="false">Roadmap!P64</f>
        <v>0</v>
      </c>
      <c r="E59" s="172" t="n">
        <f aca="false">Roadmap!P65</f>
        <v>0</v>
      </c>
      <c r="F59" s="172" t="n">
        <f aca="false">Roadmap!P66</f>
        <v>0</v>
      </c>
      <c r="G59" s="63" t="n">
        <f aca="false">(((((IF((C59="0+"),0.5,0)+IF((C59=1),1,0))+IF((C59="1+"),1.5,0))+IF((C59=2),2,0))+IF((C59="2+"),2.5,0))+IF((C59=3),3,0))+IF((C59="3+"),3.5,0)</f>
        <v>0</v>
      </c>
      <c r="H59" s="173"/>
      <c r="I59" s="18"/>
      <c r="J59" s="18"/>
      <c r="K59" s="18"/>
      <c r="L59" s="18"/>
      <c r="M59" s="18"/>
      <c r="N59" s="18"/>
      <c r="T59" s="174" t="str">
        <f aca="false">Interview!$B$59</f>
        <v>Design</v>
      </c>
      <c r="U59" s="176" t="str">
        <f aca="false">Interview!$B$88</f>
        <v>Secure Architecture</v>
      </c>
      <c r="V59" s="172" t="n">
        <v>0</v>
      </c>
      <c r="W59" s="172" t="n">
        <f aca="false">C59</f>
        <v>0</v>
      </c>
      <c r="X59" s="172" t="n">
        <v>0</v>
      </c>
      <c r="Y59" s="172" t="n">
        <v>0</v>
      </c>
      <c r="Z59" s="172" t="n">
        <v>0</v>
      </c>
    </row>
    <row r="60" customFormat="false" ht="24.75" hidden="false" customHeight="true" outlineLevel="0" collapsed="false">
      <c r="A60" s="175" t="str">
        <f aca="false">Interview!$B$102</f>
        <v>Implementation</v>
      </c>
      <c r="B60" s="179" t="str">
        <f aca="false">Interview!$B$103</f>
        <v>Secure Build</v>
      </c>
      <c r="C60" s="172" t="n">
        <f aca="false">Roadmap!Q74</f>
        <v>0</v>
      </c>
      <c r="D60" s="172" t="n">
        <f aca="false">Roadmap!P74</f>
        <v>0</v>
      </c>
      <c r="E60" s="172" t="n">
        <f aca="false">Roadmap!P75</f>
        <v>0</v>
      </c>
      <c r="F60" s="172" t="n">
        <f aca="false">Roadmap!P76</f>
        <v>0</v>
      </c>
      <c r="G60" s="63"/>
      <c r="H60" s="173"/>
      <c r="I60" s="18"/>
      <c r="J60" s="18"/>
      <c r="K60" s="18"/>
      <c r="L60" s="18"/>
      <c r="M60" s="18"/>
      <c r="N60" s="18"/>
      <c r="T60" s="175" t="str">
        <f aca="false">Interview!$B$102</f>
        <v>Implementation</v>
      </c>
      <c r="U60" s="179" t="str">
        <f aca="false">Interview!$B$103</f>
        <v>Secure Build</v>
      </c>
      <c r="V60" s="172" t="n">
        <v>0</v>
      </c>
      <c r="W60" s="172" t="n">
        <v>0</v>
      </c>
      <c r="X60" s="172" t="n">
        <f aca="false">C60</f>
        <v>0</v>
      </c>
      <c r="Y60" s="172" t="n">
        <v>0</v>
      </c>
      <c r="Z60" s="172" t="n">
        <v>0</v>
      </c>
    </row>
    <row r="61" customFormat="false" ht="24.75" hidden="false" customHeight="true" outlineLevel="0" collapsed="false">
      <c r="A61" s="175" t="str">
        <f aca="false">Interview!$B$102</f>
        <v>Implementation</v>
      </c>
      <c r="B61" s="179" t="str">
        <f aca="false">Interview!$B$117</f>
        <v>Secure Deployment</v>
      </c>
      <c r="C61" s="172" t="n">
        <f aca="false">Roadmap!Q83</f>
        <v>0</v>
      </c>
      <c r="D61" s="172" t="n">
        <f aca="false">Roadmap!P83</f>
        <v>0</v>
      </c>
      <c r="E61" s="172" t="n">
        <f aca="false">Roadmap!P84</f>
        <v>0</v>
      </c>
      <c r="F61" s="172" t="n">
        <f aca="false">Roadmap!P85</f>
        <v>0</v>
      </c>
      <c r="G61" s="63"/>
      <c r="H61" s="173"/>
      <c r="I61" s="18"/>
      <c r="J61" s="18"/>
      <c r="K61" s="18"/>
      <c r="L61" s="18"/>
      <c r="M61" s="18"/>
      <c r="N61" s="18"/>
      <c r="T61" s="175" t="str">
        <f aca="false">Interview!$B$102</f>
        <v>Implementation</v>
      </c>
      <c r="U61" s="179" t="str">
        <f aca="false">Interview!$B$117</f>
        <v>Secure Deployment</v>
      </c>
      <c r="V61" s="172" t="n">
        <v>0</v>
      </c>
      <c r="W61" s="172" t="n">
        <v>0</v>
      </c>
      <c r="X61" s="172" t="n">
        <f aca="false">C61</f>
        <v>0</v>
      </c>
      <c r="Y61" s="172" t="n">
        <v>0</v>
      </c>
      <c r="Z61" s="172" t="n">
        <v>0</v>
      </c>
    </row>
    <row r="62" customFormat="false" ht="24.75" hidden="false" customHeight="true" outlineLevel="0" collapsed="false">
      <c r="A62" s="175" t="str">
        <f aca="false">Interview!$B$102</f>
        <v>Implementation</v>
      </c>
      <c r="B62" s="179" t="str">
        <f aca="false">Interview!$B$131</f>
        <v>Defect Management</v>
      </c>
      <c r="C62" s="172" t="n">
        <f aca="false">Roadmap!Q92</f>
        <v>0</v>
      </c>
      <c r="D62" s="172" t="n">
        <f aca="false">Roadmap!P92</f>
        <v>0</v>
      </c>
      <c r="E62" s="172" t="n">
        <f aca="false">Roadmap!P93</f>
        <v>0</v>
      </c>
      <c r="F62" s="172" t="n">
        <f aca="false">Roadmap!P94</f>
        <v>0</v>
      </c>
      <c r="G62" s="63"/>
      <c r="H62" s="173"/>
      <c r="I62" s="18"/>
      <c r="J62" s="18"/>
      <c r="K62" s="18"/>
      <c r="L62" s="18"/>
      <c r="M62" s="18"/>
      <c r="N62" s="18"/>
      <c r="T62" s="175" t="str">
        <f aca="false">Interview!$B$102</f>
        <v>Implementation</v>
      </c>
      <c r="U62" s="179" t="str">
        <f aca="false">Interview!$B$131</f>
        <v>Defect Management</v>
      </c>
      <c r="V62" s="172" t="n">
        <v>0</v>
      </c>
      <c r="W62" s="172" t="n">
        <v>0</v>
      </c>
      <c r="X62" s="172" t="n">
        <f aca="false">C62</f>
        <v>0</v>
      </c>
      <c r="Y62" s="172" t="n">
        <v>0</v>
      </c>
      <c r="Z62" s="172" t="n">
        <v>0</v>
      </c>
    </row>
    <row r="63" customFormat="false" ht="24.75" hidden="false" customHeight="true" outlineLevel="0" collapsed="false">
      <c r="A63" s="177" t="str">
        <f aca="false">Interview!$B$145</f>
        <v>Verification</v>
      </c>
      <c r="B63" s="181" t="str">
        <f aca="false">Interview!$B$146</f>
        <v>Architecture Assessment</v>
      </c>
      <c r="C63" s="172" t="n">
        <f aca="false">Roadmap!Q102</f>
        <v>0</v>
      </c>
      <c r="D63" s="172" t="n">
        <f aca="false">Roadmap!P102</f>
        <v>0</v>
      </c>
      <c r="E63" s="172" t="n">
        <f aca="false">Roadmap!P103</f>
        <v>0</v>
      </c>
      <c r="F63" s="172" t="n">
        <f aca="false">Roadmap!P104</f>
        <v>0</v>
      </c>
      <c r="G63" s="63" t="n">
        <f aca="false">(((((IF((C63="0+"),0.5,0)+IF((C63=1),1,0))+IF((C63="1+"),1.5,0))+IF((C63=2),2,0))+IF((C63="2+"),2.5,0))+IF((C63=3),3,0))+IF((C63="3+"),3.5,0)</f>
        <v>0</v>
      </c>
      <c r="H63" s="173"/>
      <c r="I63" s="18"/>
      <c r="J63" s="18"/>
      <c r="K63" s="18"/>
      <c r="L63" s="18"/>
      <c r="M63" s="18"/>
      <c r="N63" s="18"/>
      <c r="T63" s="177" t="str">
        <f aca="false">Interview!$B$145</f>
        <v>Verification</v>
      </c>
      <c r="U63" s="181" t="str">
        <f aca="false">Interview!$B$146</f>
        <v>Architecture Assessment</v>
      </c>
      <c r="V63" s="172" t="n">
        <v>0</v>
      </c>
      <c r="W63" s="172" t="n">
        <v>0</v>
      </c>
      <c r="X63" s="172" t="n">
        <v>0</v>
      </c>
      <c r="Y63" s="172" t="n">
        <f aca="false">C63</f>
        <v>0</v>
      </c>
      <c r="Z63" s="172" t="n">
        <v>0</v>
      </c>
    </row>
    <row r="64" customFormat="false" ht="24.75" hidden="false" customHeight="true" outlineLevel="0" collapsed="false">
      <c r="A64" s="177" t="str">
        <f aca="false">Interview!$B$145</f>
        <v>Verification</v>
      </c>
      <c r="B64" s="181" t="str">
        <f aca="false">Interview!$B$160</f>
        <v>Requirements Testing</v>
      </c>
      <c r="C64" s="172" t="n">
        <f aca="false">Roadmap!Q111</f>
        <v>0</v>
      </c>
      <c r="D64" s="172" t="n">
        <f aca="false">Roadmap!P111</f>
        <v>0</v>
      </c>
      <c r="E64" s="172" t="n">
        <f aca="false">Roadmap!P112</f>
        <v>0</v>
      </c>
      <c r="F64" s="172" t="n">
        <f aca="false">Roadmap!P113</f>
        <v>0</v>
      </c>
      <c r="G64" s="63" t="n">
        <f aca="false">(((((IF((C64="0+"),0.5,0)+IF((C64=1),1,0))+IF((C64="1+"),1.5,0))+IF((C64=2),2,0))+IF((C64="2+"),2.5,0))+IF((C64=3),3,0))+IF((C64="3+"),3.5,0)</f>
        <v>0</v>
      </c>
      <c r="H64" s="173"/>
      <c r="I64" s="18"/>
      <c r="J64" s="18"/>
      <c r="K64" s="18"/>
      <c r="L64" s="18"/>
      <c r="M64" s="18"/>
      <c r="N64" s="18"/>
      <c r="T64" s="177" t="str">
        <f aca="false">Interview!$B$145</f>
        <v>Verification</v>
      </c>
      <c r="U64" s="181" t="str">
        <f aca="false">Interview!$B$160</f>
        <v>Requirements Testing</v>
      </c>
      <c r="V64" s="172" t="n">
        <v>0</v>
      </c>
      <c r="W64" s="172" t="n">
        <v>0</v>
      </c>
      <c r="X64" s="172" t="n">
        <v>0</v>
      </c>
      <c r="Y64" s="172" t="n">
        <f aca="false">C64</f>
        <v>0</v>
      </c>
      <c r="Z64" s="172" t="n">
        <v>0</v>
      </c>
    </row>
    <row r="65" customFormat="false" ht="24.75" hidden="false" customHeight="true" outlineLevel="0" collapsed="false">
      <c r="A65" s="177" t="str">
        <f aca="false">Interview!$B$145</f>
        <v>Verification</v>
      </c>
      <c r="B65" s="181" t="str">
        <f aca="false">Interview!$B$174</f>
        <v>Security Testing</v>
      </c>
      <c r="C65" s="172" t="n">
        <f aca="false">Roadmap!Q120</f>
        <v>0</v>
      </c>
      <c r="D65" s="172" t="n">
        <f aca="false">Roadmap!P120</f>
        <v>0</v>
      </c>
      <c r="E65" s="172" t="n">
        <f aca="false">Roadmap!P121</f>
        <v>0</v>
      </c>
      <c r="F65" s="172" t="n">
        <f aca="false">Roadmap!P122</f>
        <v>0</v>
      </c>
      <c r="G65" s="63" t="n">
        <f aca="false">(((((IF((C65="0+"),0.5,0)+IF((C65=1),1,0))+IF((C65="1+"),1.5,0))+IF((C65=2),2,0))+IF((C65="2+"),2.5,0))+IF((C65=3),3,0))+IF((C65="3+"),3.5,0)</f>
        <v>0</v>
      </c>
      <c r="H65" s="173"/>
      <c r="I65" s="18"/>
      <c r="J65" s="18"/>
      <c r="K65" s="18"/>
      <c r="L65" s="18"/>
      <c r="M65" s="18"/>
      <c r="N65" s="18"/>
      <c r="T65" s="177" t="str">
        <f aca="false">Interview!$B$145</f>
        <v>Verification</v>
      </c>
      <c r="U65" s="181" t="str">
        <f aca="false">Interview!$B$174</f>
        <v>Security Testing</v>
      </c>
      <c r="V65" s="172" t="n">
        <v>0</v>
      </c>
      <c r="W65" s="172" t="n">
        <v>0</v>
      </c>
      <c r="X65" s="172" t="n">
        <v>0</v>
      </c>
      <c r="Y65" s="172" t="n">
        <f aca="false">C65</f>
        <v>0</v>
      </c>
      <c r="Z65" s="172" t="n">
        <v>0</v>
      </c>
    </row>
    <row r="66" customFormat="false" ht="24.75" hidden="false" customHeight="true" outlineLevel="0" collapsed="false">
      <c r="A66" s="178" t="str">
        <f aca="false">Interview!$B$188</f>
        <v>Operations</v>
      </c>
      <c r="B66" s="182" t="str">
        <f aca="false">Interview!$B$189</f>
        <v>Incident Management</v>
      </c>
      <c r="C66" s="172" t="n">
        <f aca="false">Roadmap!Q130</f>
        <v>0</v>
      </c>
      <c r="D66" s="172" t="n">
        <f aca="false">Roadmap!P130</f>
        <v>0</v>
      </c>
      <c r="E66" s="172" t="n">
        <f aca="false">Roadmap!P131</f>
        <v>0</v>
      </c>
      <c r="F66" s="172" t="n">
        <f aca="false">Roadmap!P132</f>
        <v>0</v>
      </c>
      <c r="G66" s="63" t="n">
        <f aca="false">(((((IF((C66="0+"),0.5,0)+IF((C66=1),1,0))+IF((C66="1+"),1.5,0))+IF((C66=2),2,0))+IF((C66="2+"),2.5,0))+IF((C66=3),3,0))+IF((C66="3+"),3.5,0)</f>
        <v>0</v>
      </c>
      <c r="H66" s="173"/>
      <c r="I66" s="18"/>
      <c r="J66" s="18"/>
      <c r="K66" s="18"/>
      <c r="L66" s="18"/>
      <c r="M66" s="18"/>
      <c r="N66" s="18"/>
      <c r="T66" s="178" t="str">
        <f aca="false">Interview!$B$188</f>
        <v>Operations</v>
      </c>
      <c r="U66" s="182" t="str">
        <f aca="false">Interview!$B$189</f>
        <v>Incident Management</v>
      </c>
      <c r="V66" s="172" t="n">
        <v>0</v>
      </c>
      <c r="W66" s="172" t="n">
        <v>0</v>
      </c>
      <c r="X66" s="172" t="n">
        <v>0</v>
      </c>
      <c r="Y66" s="172" t="n">
        <v>0</v>
      </c>
      <c r="Z66" s="172" t="n">
        <f aca="false">C66</f>
        <v>0</v>
      </c>
    </row>
    <row r="67" customFormat="false" ht="24.75" hidden="false" customHeight="true" outlineLevel="0" collapsed="false">
      <c r="A67" s="178" t="str">
        <f aca="false">Interview!$B$188</f>
        <v>Operations</v>
      </c>
      <c r="B67" s="182" t="str">
        <f aca="false">Interview!$B$203</f>
        <v>Environment Management</v>
      </c>
      <c r="C67" s="172" t="n">
        <f aca="false">Roadmap!Q139</f>
        <v>0</v>
      </c>
      <c r="D67" s="172" t="n">
        <f aca="false">Roadmap!P139</f>
        <v>0</v>
      </c>
      <c r="E67" s="172" t="n">
        <f aca="false">Roadmap!P140</f>
        <v>0</v>
      </c>
      <c r="F67" s="172" t="n">
        <f aca="false">Roadmap!P141</f>
        <v>0</v>
      </c>
      <c r="G67" s="63" t="n">
        <f aca="false">(((((IF((C67="0+"),0.5,0)+IF((C67=1),1,0))+IF((C67="1+"),1.5,0))+IF((C67=2),2,0))+IF((C67="2+"),2.5,0))+IF((C67=3),3,0))+IF((C67="3+"),3.5,0)</f>
        <v>0</v>
      </c>
      <c r="H67" s="173"/>
      <c r="I67" s="18"/>
      <c r="J67" s="18"/>
      <c r="K67" s="18"/>
      <c r="L67" s="18"/>
      <c r="M67" s="18"/>
      <c r="N67" s="18"/>
      <c r="T67" s="178" t="str">
        <f aca="false">Interview!$B$188</f>
        <v>Operations</v>
      </c>
      <c r="U67" s="182" t="str">
        <f aca="false">Interview!$B$203</f>
        <v>Environment Management</v>
      </c>
      <c r="V67" s="172" t="n">
        <v>0</v>
      </c>
      <c r="W67" s="172" t="n">
        <v>0</v>
      </c>
      <c r="X67" s="172" t="n">
        <v>0</v>
      </c>
      <c r="Y67" s="172" t="n">
        <v>0</v>
      </c>
      <c r="Z67" s="172" t="n">
        <f aca="false">C67</f>
        <v>0</v>
      </c>
    </row>
    <row r="68" customFormat="false" ht="24.75" hidden="false" customHeight="true" outlineLevel="0" collapsed="false">
      <c r="A68" s="178" t="str">
        <f aca="false">Interview!$B$188</f>
        <v>Operations</v>
      </c>
      <c r="B68" s="182" t="str">
        <f aca="false">Interview!$B$217</f>
        <v>Operational Management</v>
      </c>
      <c r="C68" s="172" t="n">
        <f aca="false">Roadmap!Q148</f>
        <v>0</v>
      </c>
      <c r="D68" s="172" t="n">
        <f aca="false">Roadmap!P148</f>
        <v>0</v>
      </c>
      <c r="E68" s="172" t="n">
        <f aca="false">Roadmap!P149</f>
        <v>0</v>
      </c>
      <c r="F68" s="172" t="n">
        <f aca="false">Roadmap!P150</f>
        <v>0</v>
      </c>
      <c r="G68" s="63" t="n">
        <f aca="false">(((((IF((C68="0+"),0.5,0)+IF((C68=1),1,0))+IF((C68="1+"),1.5,0))+IF((C68=2),2,0))+IF((C68="2+"),2.5,0))+IF((C68=3),3,0))+IF((C68="3+"),3.5,0)</f>
        <v>0</v>
      </c>
      <c r="H68" s="173"/>
      <c r="I68" s="18"/>
      <c r="J68" s="18"/>
      <c r="K68" s="18"/>
      <c r="L68" s="18"/>
      <c r="M68" s="18"/>
      <c r="N68" s="18"/>
      <c r="T68" s="178" t="str">
        <f aca="false">Interview!$B$188</f>
        <v>Operations</v>
      </c>
      <c r="U68" s="182" t="str">
        <f aca="false">Interview!$B$217</f>
        <v>Operational Management</v>
      </c>
      <c r="V68" s="172" t="n">
        <v>0</v>
      </c>
      <c r="W68" s="172" t="n">
        <v>0</v>
      </c>
      <c r="X68" s="172" t="n">
        <v>0</v>
      </c>
      <c r="Y68" s="172" t="n">
        <v>0</v>
      </c>
      <c r="Z68" s="172" t="n">
        <f aca="false">C68</f>
        <v>0</v>
      </c>
    </row>
    <row r="69" customFormat="false" ht="12.75" hidden="false" customHeight="true" outlineLevel="0" collapsed="false">
      <c r="K69" s="18"/>
    </row>
    <row r="70" customFormat="false" ht="24.75" hidden="false" customHeight="true" outlineLevel="0" collapsed="false">
      <c r="A70" s="163" t="s">
        <v>161</v>
      </c>
      <c r="B70" s="163"/>
      <c r="C70" s="163"/>
      <c r="D70" s="163"/>
      <c r="E70" s="163"/>
      <c r="F70" s="163"/>
      <c r="G70" s="163"/>
      <c r="H70" s="163"/>
      <c r="I70" s="163"/>
      <c r="J70" s="163"/>
      <c r="K70" s="18"/>
      <c r="L70" s="163" t="s">
        <v>161</v>
      </c>
      <c r="M70" s="163"/>
      <c r="N70" s="163"/>
      <c r="O70" s="163"/>
      <c r="P70" s="163"/>
      <c r="Q70" s="163"/>
      <c r="R70" s="163"/>
      <c r="T70" s="164" t="s">
        <v>161</v>
      </c>
      <c r="U70" s="164"/>
      <c r="V70" s="164"/>
      <c r="W70" s="164"/>
      <c r="X70" s="164"/>
      <c r="Y70" s="164"/>
      <c r="Z70" s="164"/>
    </row>
    <row r="71" customFormat="false" ht="12" hidden="false" customHeight="true" outlineLevel="0" collapsed="false">
      <c r="A71" s="155"/>
      <c r="B71" s="155"/>
      <c r="C71" s="155"/>
      <c r="D71" s="165" t="s">
        <v>154</v>
      </c>
      <c r="E71" s="165"/>
      <c r="F71" s="165"/>
      <c r="G71" s="18"/>
      <c r="H71" s="18"/>
      <c r="I71" s="18"/>
      <c r="J71" s="18"/>
      <c r="K71" s="18"/>
      <c r="L71" s="18"/>
      <c r="M71" s="18"/>
      <c r="N71" s="18"/>
    </row>
    <row r="72" customFormat="false" ht="24.75" hidden="false" customHeight="true" outlineLevel="0" collapsed="false">
      <c r="A72" s="166" t="s">
        <v>155</v>
      </c>
      <c r="B72" s="166" t="s">
        <v>156</v>
      </c>
      <c r="C72" s="166" t="s">
        <v>157</v>
      </c>
      <c r="D72" s="167" t="n">
        <v>1</v>
      </c>
      <c r="E72" s="167" t="n">
        <v>2</v>
      </c>
      <c r="F72" s="167" t="n">
        <v>3</v>
      </c>
      <c r="G72" s="168" t="s">
        <v>158</v>
      </c>
      <c r="H72" s="18"/>
      <c r="I72" s="166" t="s">
        <v>155</v>
      </c>
      <c r="J72" s="166" t="s">
        <v>157</v>
      </c>
      <c r="K72" s="18"/>
      <c r="L72" s="18"/>
      <c r="M72" s="18"/>
      <c r="N72" s="18"/>
      <c r="V72" s="169" t="str">
        <f aca="false">T73</f>
        <v>Governance</v>
      </c>
      <c r="W72" s="169" t="str">
        <f aca="false">T76</f>
        <v>Design</v>
      </c>
      <c r="X72" s="169" t="str">
        <f aca="false">T79</f>
        <v>Implementation</v>
      </c>
      <c r="Y72" s="169" t="str">
        <f aca="false">T82</f>
        <v>Verification</v>
      </c>
      <c r="Z72" s="169" t="str">
        <f aca="false">T85</f>
        <v>Operations</v>
      </c>
    </row>
    <row r="73" customFormat="false" ht="24.75" hidden="false" customHeight="true" outlineLevel="0" collapsed="false">
      <c r="A73" s="170" t="str">
        <f aca="false">Interview!$B$16</f>
        <v>Governance</v>
      </c>
      <c r="B73" s="171" t="str">
        <f aca="false">Interview!$D$17</f>
        <v>Strategy &amp; Metrics</v>
      </c>
      <c r="C73" s="172" t="n">
        <f aca="false">Roadmap!U18</f>
        <v>0.875</v>
      </c>
      <c r="D73" s="172" t="n">
        <f aca="false">Roadmap!T18</f>
        <v>0.125</v>
      </c>
      <c r="E73" s="172" t="n">
        <f aca="false">Roadmap!T19</f>
        <v>0.25</v>
      </c>
      <c r="F73" s="172" t="n">
        <f aca="false">Roadmap!T20</f>
        <v>0.5</v>
      </c>
      <c r="G73" s="63" t="n">
        <f aca="false">(((((IF((C73="0+"),0.5,0)+IF((C73=1),1,0))+IF((C73="1+"),1.5,0))+IF((C73=2),2,0))+IF((C73="2+"),2.5,0))+IF((C73=3),3,0))+IF((C73="3+"),3.5,0)</f>
        <v>0</v>
      </c>
      <c r="H73" s="173"/>
      <c r="I73" s="170" t="str">
        <f aca="false">A73</f>
        <v>Governance</v>
      </c>
      <c r="J73" s="172" t="n">
        <f aca="false">AVERAGE(C73:C75)</f>
        <v>0.291666666666667</v>
      </c>
      <c r="K73" s="18"/>
      <c r="L73" s="18"/>
      <c r="M73" s="18"/>
      <c r="N73" s="18"/>
      <c r="T73" s="170" t="str">
        <f aca="false">Interview!$B$16</f>
        <v>Governance</v>
      </c>
      <c r="U73" s="171" t="str">
        <f aca="false">Interview!$D$17</f>
        <v>Strategy &amp; Metrics</v>
      </c>
      <c r="V73" s="172" t="n">
        <f aca="false">C73</f>
        <v>0.875</v>
      </c>
      <c r="W73" s="172" t="n">
        <v>0</v>
      </c>
      <c r="X73" s="172" t="n">
        <v>0</v>
      </c>
      <c r="Y73" s="172" t="n">
        <v>0</v>
      </c>
      <c r="Z73" s="172" t="n">
        <v>0</v>
      </c>
    </row>
    <row r="74" customFormat="false" ht="24.75" hidden="false" customHeight="true" outlineLevel="0" collapsed="false">
      <c r="A74" s="170" t="str">
        <f aca="false">Interview!$B$16</f>
        <v>Governance</v>
      </c>
      <c r="B74" s="171" t="str">
        <f aca="false">Interview!$B$31</f>
        <v>Policy &amp; Compliance</v>
      </c>
      <c r="C74" s="172" t="n">
        <f aca="false">Roadmap!U27</f>
        <v>0</v>
      </c>
      <c r="D74" s="172" t="n">
        <f aca="false">Roadmap!T27</f>
        <v>0</v>
      </c>
      <c r="E74" s="172" t="n">
        <f aca="false">Roadmap!T28</f>
        <v>0</v>
      </c>
      <c r="F74" s="172" t="n">
        <f aca="false">Roadmap!T29</f>
        <v>0</v>
      </c>
      <c r="G74" s="63" t="n">
        <f aca="false">(((((IF((C74="0+"),0.5,0)+IF((C74=1),1,0))+IF((C74="1+"),1.5,0))+IF((C74=2),2,0))+IF((C74="2+"),2.5,0))+IF((C74=3),3,0))+IF((C74="3+"),3.5,0)</f>
        <v>0</v>
      </c>
      <c r="H74" s="173"/>
      <c r="I74" s="174" t="str">
        <f aca="false">A76</f>
        <v>Design</v>
      </c>
      <c r="J74" s="172" t="n">
        <f aca="false">AVERAGE(C76:C78)</f>
        <v>0</v>
      </c>
      <c r="K74" s="18"/>
      <c r="L74" s="18"/>
      <c r="M74" s="18"/>
      <c r="N74" s="18"/>
      <c r="T74" s="170" t="str">
        <f aca="false">Interview!$B$16</f>
        <v>Governance</v>
      </c>
      <c r="U74" s="171" t="str">
        <f aca="false">Interview!$B$31</f>
        <v>Policy &amp; Compliance</v>
      </c>
      <c r="V74" s="172" t="n">
        <f aca="false">C74</f>
        <v>0</v>
      </c>
      <c r="W74" s="172" t="n">
        <v>0</v>
      </c>
      <c r="X74" s="172" t="n">
        <v>0</v>
      </c>
      <c r="Y74" s="172" t="n">
        <v>0</v>
      </c>
      <c r="Z74" s="172" t="n">
        <v>0</v>
      </c>
    </row>
    <row r="75" customFormat="false" ht="24.75" hidden="false" customHeight="true" outlineLevel="0" collapsed="false">
      <c r="A75" s="170" t="str">
        <f aca="false">Interview!$B$16</f>
        <v>Governance</v>
      </c>
      <c r="B75" s="171" t="str">
        <f aca="false">Interview!$B$45</f>
        <v>Education &amp; Guidance</v>
      </c>
      <c r="C75" s="172" t="n">
        <f aca="false">Roadmap!U36</f>
        <v>0</v>
      </c>
      <c r="D75" s="172" t="n">
        <f aca="false">Roadmap!T36</f>
        <v>0</v>
      </c>
      <c r="E75" s="172" t="n">
        <f aca="false">Roadmap!T37</f>
        <v>0</v>
      </c>
      <c r="F75" s="172" t="n">
        <f aca="false">Roadmap!T38</f>
        <v>0</v>
      </c>
      <c r="G75" s="63" t="n">
        <f aca="false">(((((IF((C75="0+"),0.5,0)+IF((C75=1),1,0))+IF((C75="1+"),1.5,0))+IF((C75=2),2,0))+IF((C75="2+"),2.5,0))+IF((C75=3),3,0))+IF((C75="3+"),3.5,0)</f>
        <v>0</v>
      </c>
      <c r="H75" s="173"/>
      <c r="I75" s="175" t="str">
        <f aca="false">A79</f>
        <v>Implementation</v>
      </c>
      <c r="J75" s="172" t="n">
        <f aca="false">AVERAGE(C79:C81)</f>
        <v>0</v>
      </c>
      <c r="K75" s="18"/>
      <c r="L75" s="18"/>
      <c r="M75" s="18"/>
      <c r="N75" s="18"/>
      <c r="T75" s="170" t="str">
        <f aca="false">Interview!$B$16</f>
        <v>Governance</v>
      </c>
      <c r="U75" s="171" t="str">
        <f aca="false">Interview!$B$45</f>
        <v>Education &amp; Guidance</v>
      </c>
      <c r="V75" s="172" t="n">
        <f aca="false">C75</f>
        <v>0</v>
      </c>
      <c r="W75" s="172" t="n">
        <v>0</v>
      </c>
      <c r="X75" s="172" t="n">
        <v>0</v>
      </c>
      <c r="Y75" s="172" t="n">
        <v>0</v>
      </c>
      <c r="Z75" s="172" t="n">
        <v>0</v>
      </c>
    </row>
    <row r="76" customFormat="false" ht="24.75" hidden="false" customHeight="true" outlineLevel="0" collapsed="false">
      <c r="A76" s="174" t="str">
        <f aca="false">Interview!$B$59</f>
        <v>Design</v>
      </c>
      <c r="B76" s="176" t="str">
        <f aca="false">Interview!$B$60</f>
        <v>Threat Assessment</v>
      </c>
      <c r="C76" s="172" t="n">
        <f aca="false">Roadmap!U46</f>
        <v>0</v>
      </c>
      <c r="D76" s="172" t="n">
        <f aca="false">Roadmap!T46</f>
        <v>0</v>
      </c>
      <c r="E76" s="172" t="n">
        <f aca="false">Roadmap!T47</f>
        <v>0</v>
      </c>
      <c r="F76" s="172" t="n">
        <f aca="false">Roadmap!T48</f>
        <v>0</v>
      </c>
      <c r="G76" s="63" t="n">
        <f aca="false">(((((IF((C76="0+"),0.5,0)+IF((C76=1),1,0))+IF((C76="1+"),1.5,0))+IF((C76=2),2,0))+IF((C76="2+"),2.5,0))+IF((C76=3),3,0))+IF((C76="3+"),3.5,0)</f>
        <v>0</v>
      </c>
      <c r="H76" s="173"/>
      <c r="I76" s="177" t="str">
        <f aca="false">A82</f>
        <v>Verification</v>
      </c>
      <c r="J76" s="172" t="n">
        <f aca="false">AVERAGE(C82:C84)</f>
        <v>0</v>
      </c>
      <c r="K76" s="18"/>
      <c r="L76" s="18"/>
      <c r="M76" s="18"/>
      <c r="N76" s="18"/>
      <c r="T76" s="174" t="str">
        <f aca="false">Interview!$B$59</f>
        <v>Design</v>
      </c>
      <c r="U76" s="176" t="str">
        <f aca="false">Interview!$B$60</f>
        <v>Threat Assessment</v>
      </c>
      <c r="V76" s="172" t="n">
        <v>0</v>
      </c>
      <c r="W76" s="172" t="n">
        <f aca="false">C76</f>
        <v>0</v>
      </c>
      <c r="X76" s="172" t="n">
        <v>0</v>
      </c>
      <c r="Y76" s="172" t="n">
        <v>0</v>
      </c>
      <c r="Z76" s="172" t="n">
        <v>0</v>
      </c>
    </row>
    <row r="77" customFormat="false" ht="24.75" hidden="false" customHeight="true" outlineLevel="0" collapsed="false">
      <c r="A77" s="174" t="str">
        <f aca="false">Interview!$B$59</f>
        <v>Design</v>
      </c>
      <c r="B77" s="176" t="str">
        <f aca="false">Interview!$B$74</f>
        <v>Security Requirements</v>
      </c>
      <c r="C77" s="172" t="n">
        <f aca="false">Roadmap!U55</f>
        <v>0</v>
      </c>
      <c r="D77" s="172" t="n">
        <f aca="false">Roadmap!T55</f>
        <v>0</v>
      </c>
      <c r="E77" s="172" t="n">
        <f aca="false">Roadmap!T56</f>
        <v>0</v>
      </c>
      <c r="F77" s="172" t="n">
        <f aca="false">Roadmap!T57</f>
        <v>0</v>
      </c>
      <c r="G77" s="63" t="n">
        <f aca="false">(((((IF((C77="0+"),0.5,0)+IF((C77=1),1,0))+IF((C77="1+"),1.5,0))+IF((C77=2),2,0))+IF((C77="2+"),2.5,0))+IF((C77=3),3,0))+IF((C77="3+"),3.5,0)</f>
        <v>0</v>
      </c>
      <c r="H77" s="173"/>
      <c r="I77" s="178" t="str">
        <f aca="false">A85</f>
        <v>Operations</v>
      </c>
      <c r="J77" s="172" t="n">
        <f aca="false">AVERAGE(C85:C87)</f>
        <v>0</v>
      </c>
      <c r="K77" s="18"/>
      <c r="L77" s="18"/>
      <c r="M77" s="18"/>
      <c r="N77" s="18"/>
      <c r="T77" s="174" t="str">
        <f aca="false">Interview!$B$59</f>
        <v>Design</v>
      </c>
      <c r="U77" s="176" t="str">
        <f aca="false">Interview!$B$74</f>
        <v>Security Requirements</v>
      </c>
      <c r="V77" s="172" t="n">
        <v>0</v>
      </c>
      <c r="W77" s="172" t="n">
        <f aca="false">C77</f>
        <v>0</v>
      </c>
      <c r="X77" s="172" t="n">
        <v>0</v>
      </c>
      <c r="Y77" s="172" t="n">
        <v>0</v>
      </c>
      <c r="Z77" s="172" t="n">
        <v>0</v>
      </c>
    </row>
    <row r="78" customFormat="false" ht="24.75" hidden="false" customHeight="true" outlineLevel="0" collapsed="false">
      <c r="A78" s="174" t="str">
        <f aca="false">Interview!$B$59</f>
        <v>Design</v>
      </c>
      <c r="B78" s="176" t="str">
        <f aca="false">Interview!$B$88</f>
        <v>Secure Architecture</v>
      </c>
      <c r="C78" s="172" t="n">
        <f aca="false">Roadmap!U64</f>
        <v>0</v>
      </c>
      <c r="D78" s="172" t="n">
        <f aca="false">Roadmap!T64</f>
        <v>0</v>
      </c>
      <c r="E78" s="172" t="n">
        <f aca="false">Roadmap!T65</f>
        <v>0</v>
      </c>
      <c r="F78" s="172" t="n">
        <f aca="false">Roadmap!T66</f>
        <v>0</v>
      </c>
      <c r="G78" s="63" t="n">
        <f aca="false">(((((IF((C78="0+"),0.5,0)+IF((C78=1),1,0))+IF((C78="1+"),1.5,0))+IF((C78=2),2,0))+IF((C78="2+"),2.5,0))+IF((C78=3),3,0))+IF((C78="3+"),3.5,0)</f>
        <v>0</v>
      </c>
      <c r="H78" s="173"/>
      <c r="I78" s="18"/>
      <c r="J78" s="18"/>
      <c r="K78" s="18"/>
      <c r="L78" s="18"/>
      <c r="M78" s="18"/>
      <c r="N78" s="18"/>
      <c r="T78" s="174" t="str">
        <f aca="false">Interview!$B$59</f>
        <v>Design</v>
      </c>
      <c r="U78" s="176" t="str">
        <f aca="false">Interview!$B$88</f>
        <v>Secure Architecture</v>
      </c>
      <c r="V78" s="172" t="n">
        <v>0</v>
      </c>
      <c r="W78" s="172" t="n">
        <f aca="false">C78</f>
        <v>0</v>
      </c>
      <c r="X78" s="172" t="n">
        <v>0</v>
      </c>
      <c r="Y78" s="172" t="n">
        <v>0</v>
      </c>
      <c r="Z78" s="172" t="n">
        <v>0</v>
      </c>
    </row>
    <row r="79" customFormat="false" ht="24.75" hidden="false" customHeight="true" outlineLevel="0" collapsed="false">
      <c r="A79" s="175" t="str">
        <f aca="false">Interview!$B$102</f>
        <v>Implementation</v>
      </c>
      <c r="B79" s="179" t="str">
        <f aca="false">Interview!$B$103</f>
        <v>Secure Build</v>
      </c>
      <c r="C79" s="172" t="n">
        <f aca="false">Roadmap!U74</f>
        <v>0</v>
      </c>
      <c r="D79" s="172" t="n">
        <f aca="false">Roadmap!T74</f>
        <v>0</v>
      </c>
      <c r="E79" s="172" t="n">
        <f aca="false">Roadmap!T75</f>
        <v>0</v>
      </c>
      <c r="F79" s="172" t="n">
        <f aca="false">Roadmap!T76</f>
        <v>0</v>
      </c>
      <c r="G79" s="63"/>
      <c r="H79" s="173"/>
      <c r="I79" s="18"/>
      <c r="J79" s="18"/>
      <c r="K79" s="18"/>
      <c r="L79" s="18"/>
      <c r="M79" s="18"/>
      <c r="N79" s="18"/>
      <c r="T79" s="175" t="str">
        <f aca="false">Interview!$B$102</f>
        <v>Implementation</v>
      </c>
      <c r="U79" s="179" t="str">
        <f aca="false">Interview!$B$103</f>
        <v>Secure Build</v>
      </c>
      <c r="V79" s="172" t="n">
        <v>0</v>
      </c>
      <c r="W79" s="172" t="n">
        <v>0</v>
      </c>
      <c r="X79" s="172" t="n">
        <f aca="false">C79</f>
        <v>0</v>
      </c>
      <c r="Y79" s="172" t="n">
        <v>0</v>
      </c>
      <c r="Z79" s="172" t="n">
        <v>0</v>
      </c>
    </row>
    <row r="80" customFormat="false" ht="24.75" hidden="false" customHeight="true" outlineLevel="0" collapsed="false">
      <c r="A80" s="175" t="str">
        <f aca="false">Interview!$B$102</f>
        <v>Implementation</v>
      </c>
      <c r="B80" s="179" t="str">
        <f aca="false">Interview!$B$117</f>
        <v>Secure Deployment</v>
      </c>
      <c r="C80" s="172" t="n">
        <f aca="false">Roadmap!U83</f>
        <v>0</v>
      </c>
      <c r="D80" s="172" t="n">
        <f aca="false">Roadmap!T83</f>
        <v>0</v>
      </c>
      <c r="E80" s="172" t="n">
        <f aca="false">Roadmap!T84</f>
        <v>0</v>
      </c>
      <c r="F80" s="172" t="n">
        <f aca="false">Roadmap!T85</f>
        <v>0</v>
      </c>
      <c r="G80" s="63"/>
      <c r="H80" s="173"/>
      <c r="I80" s="18"/>
      <c r="J80" s="18"/>
      <c r="K80" s="18"/>
      <c r="L80" s="18"/>
      <c r="M80" s="18"/>
      <c r="N80" s="18"/>
      <c r="T80" s="175" t="str">
        <f aca="false">Interview!$B$102</f>
        <v>Implementation</v>
      </c>
      <c r="U80" s="179" t="str">
        <f aca="false">Interview!$B$117</f>
        <v>Secure Deployment</v>
      </c>
      <c r="V80" s="172" t="n">
        <v>0</v>
      </c>
      <c r="W80" s="172" t="n">
        <v>0</v>
      </c>
      <c r="X80" s="172" t="n">
        <f aca="false">C80</f>
        <v>0</v>
      </c>
      <c r="Y80" s="172" t="n">
        <v>0</v>
      </c>
      <c r="Z80" s="172" t="n">
        <v>0</v>
      </c>
    </row>
    <row r="81" customFormat="false" ht="24.75" hidden="false" customHeight="true" outlineLevel="0" collapsed="false">
      <c r="A81" s="175" t="str">
        <f aca="false">Interview!$B$102</f>
        <v>Implementation</v>
      </c>
      <c r="B81" s="179" t="str">
        <f aca="false">Interview!$B$131</f>
        <v>Defect Management</v>
      </c>
      <c r="C81" s="172" t="n">
        <f aca="false">Roadmap!U92</f>
        <v>0</v>
      </c>
      <c r="D81" s="172" t="n">
        <f aca="false">Roadmap!T92</f>
        <v>0</v>
      </c>
      <c r="E81" s="172" t="n">
        <f aca="false">Roadmap!T93</f>
        <v>0</v>
      </c>
      <c r="F81" s="172" t="n">
        <f aca="false">Roadmap!T94</f>
        <v>0</v>
      </c>
      <c r="G81" s="63"/>
      <c r="H81" s="173"/>
      <c r="I81" s="18"/>
      <c r="J81" s="18"/>
      <c r="K81" s="18"/>
      <c r="L81" s="18"/>
      <c r="M81" s="18"/>
      <c r="N81" s="18"/>
      <c r="T81" s="175" t="str">
        <f aca="false">Interview!$B$102</f>
        <v>Implementation</v>
      </c>
      <c r="U81" s="179" t="str">
        <f aca="false">Interview!$B$131</f>
        <v>Defect Management</v>
      </c>
      <c r="V81" s="172" t="n">
        <v>0</v>
      </c>
      <c r="W81" s="172" t="n">
        <v>0</v>
      </c>
      <c r="X81" s="172" t="n">
        <f aca="false">C81</f>
        <v>0</v>
      </c>
      <c r="Y81" s="172" t="n">
        <v>0</v>
      </c>
      <c r="Z81" s="172" t="n">
        <v>0</v>
      </c>
    </row>
    <row r="82" customFormat="false" ht="24.75" hidden="false" customHeight="true" outlineLevel="0" collapsed="false">
      <c r="A82" s="177" t="str">
        <f aca="false">Interview!$B$145</f>
        <v>Verification</v>
      </c>
      <c r="B82" s="181" t="str">
        <f aca="false">Interview!$B$146</f>
        <v>Architecture Assessment</v>
      </c>
      <c r="C82" s="172" t="n">
        <f aca="false">Roadmap!U102</f>
        <v>0</v>
      </c>
      <c r="D82" s="172" t="n">
        <f aca="false">Roadmap!T102</f>
        <v>0</v>
      </c>
      <c r="E82" s="172" t="n">
        <f aca="false">Roadmap!T103</f>
        <v>0</v>
      </c>
      <c r="F82" s="172" t="n">
        <f aca="false">Roadmap!T104</f>
        <v>0</v>
      </c>
      <c r="G82" s="63" t="n">
        <f aca="false">(((((IF((C82="0+"),0.5,0)+IF((C82=1),1,0))+IF((C82="1+"),1.5,0))+IF((C82=2),2,0))+IF((C82="2+"),2.5,0))+IF((C82=3),3,0))+IF((C82="3+"),3.5,0)</f>
        <v>0</v>
      </c>
      <c r="H82" s="173"/>
      <c r="I82" s="18"/>
      <c r="J82" s="18"/>
      <c r="K82" s="18"/>
      <c r="L82" s="18"/>
      <c r="M82" s="18"/>
      <c r="N82" s="18"/>
      <c r="T82" s="177" t="str">
        <f aca="false">Interview!$B$145</f>
        <v>Verification</v>
      </c>
      <c r="U82" s="181" t="str">
        <f aca="false">Interview!$B$146</f>
        <v>Architecture Assessment</v>
      </c>
      <c r="V82" s="172" t="n">
        <v>0</v>
      </c>
      <c r="W82" s="172" t="n">
        <v>0</v>
      </c>
      <c r="X82" s="172" t="n">
        <v>0</v>
      </c>
      <c r="Y82" s="172" t="n">
        <f aca="false">C82</f>
        <v>0</v>
      </c>
      <c r="Z82" s="172" t="n">
        <v>0</v>
      </c>
    </row>
    <row r="83" customFormat="false" ht="24.75" hidden="false" customHeight="true" outlineLevel="0" collapsed="false">
      <c r="A83" s="177" t="str">
        <f aca="false">Interview!$B$145</f>
        <v>Verification</v>
      </c>
      <c r="B83" s="181" t="str">
        <f aca="false">Interview!$B$160</f>
        <v>Requirements Testing</v>
      </c>
      <c r="C83" s="172" t="n">
        <f aca="false">Roadmap!U111</f>
        <v>0</v>
      </c>
      <c r="D83" s="172" t="n">
        <f aca="false">Roadmap!T111</f>
        <v>0</v>
      </c>
      <c r="E83" s="172" t="n">
        <f aca="false">Roadmap!T112</f>
        <v>0</v>
      </c>
      <c r="F83" s="172" t="n">
        <f aca="false">Roadmap!T113</f>
        <v>0</v>
      </c>
      <c r="G83" s="63" t="n">
        <f aca="false">(((((IF((C83="0+"),0.5,0)+IF((C83=1),1,0))+IF((C83="1+"),1.5,0))+IF((C83=2),2,0))+IF((C83="2+"),2.5,0))+IF((C83=3),3,0))+IF((C83="3+"),3.5,0)</f>
        <v>0</v>
      </c>
      <c r="H83" s="173"/>
      <c r="I83" s="18"/>
      <c r="J83" s="18"/>
      <c r="K83" s="18"/>
      <c r="L83" s="18"/>
      <c r="M83" s="18"/>
      <c r="N83" s="18"/>
      <c r="T83" s="177" t="str">
        <f aca="false">Interview!$B$145</f>
        <v>Verification</v>
      </c>
      <c r="U83" s="181" t="str">
        <f aca="false">Interview!$B$160</f>
        <v>Requirements Testing</v>
      </c>
      <c r="V83" s="172" t="n">
        <v>0</v>
      </c>
      <c r="W83" s="172" t="n">
        <v>0</v>
      </c>
      <c r="X83" s="172" t="n">
        <v>0</v>
      </c>
      <c r="Y83" s="172" t="n">
        <f aca="false">C83</f>
        <v>0</v>
      </c>
      <c r="Z83" s="172" t="n">
        <v>0</v>
      </c>
    </row>
    <row r="84" customFormat="false" ht="24.75" hidden="false" customHeight="true" outlineLevel="0" collapsed="false">
      <c r="A84" s="177" t="str">
        <f aca="false">Interview!$B$145</f>
        <v>Verification</v>
      </c>
      <c r="B84" s="181" t="str">
        <f aca="false">Interview!$B$174</f>
        <v>Security Testing</v>
      </c>
      <c r="C84" s="172" t="n">
        <f aca="false">Roadmap!U120</f>
        <v>0</v>
      </c>
      <c r="D84" s="172" t="n">
        <f aca="false">Roadmap!T120</f>
        <v>0</v>
      </c>
      <c r="E84" s="172" t="n">
        <f aca="false">Roadmap!T121</f>
        <v>0</v>
      </c>
      <c r="F84" s="172" t="n">
        <f aca="false">Roadmap!T122</f>
        <v>0</v>
      </c>
      <c r="G84" s="63" t="n">
        <f aca="false">(((((IF((C84="0+"),0.5,0)+IF((C84=1),1,0))+IF((C84="1+"),1.5,0))+IF((C84=2),2,0))+IF((C84="2+"),2.5,0))+IF((C84=3),3,0))+IF((C84="3+"),3.5,0)</f>
        <v>0</v>
      </c>
      <c r="H84" s="173"/>
      <c r="I84" s="18"/>
      <c r="J84" s="18"/>
      <c r="K84" s="18"/>
      <c r="L84" s="18"/>
      <c r="M84" s="18"/>
      <c r="N84" s="18"/>
      <c r="T84" s="177" t="str">
        <f aca="false">Interview!$B$145</f>
        <v>Verification</v>
      </c>
      <c r="U84" s="181" t="str">
        <f aca="false">Interview!$B$174</f>
        <v>Security Testing</v>
      </c>
      <c r="V84" s="172" t="n">
        <v>0</v>
      </c>
      <c r="W84" s="172" t="n">
        <v>0</v>
      </c>
      <c r="X84" s="172" t="n">
        <v>0</v>
      </c>
      <c r="Y84" s="172" t="n">
        <f aca="false">C84</f>
        <v>0</v>
      </c>
      <c r="Z84" s="172" t="n">
        <v>0</v>
      </c>
    </row>
    <row r="85" customFormat="false" ht="24.75" hidden="false" customHeight="true" outlineLevel="0" collapsed="false">
      <c r="A85" s="178" t="str">
        <f aca="false">Interview!$B$188</f>
        <v>Operations</v>
      </c>
      <c r="B85" s="182" t="str">
        <f aca="false">Interview!$B$189</f>
        <v>Incident Management</v>
      </c>
      <c r="C85" s="172" t="n">
        <f aca="false">Roadmap!U130</f>
        <v>0</v>
      </c>
      <c r="D85" s="172" t="n">
        <f aca="false">Roadmap!T130</f>
        <v>0</v>
      </c>
      <c r="E85" s="172" t="n">
        <f aca="false">Roadmap!T131</f>
        <v>0</v>
      </c>
      <c r="F85" s="172" t="n">
        <f aca="false">Roadmap!T132</f>
        <v>0</v>
      </c>
      <c r="G85" s="63" t="n">
        <f aca="false">(((((IF((C85="0+"),0.5,0)+IF((C85=1),1,0))+IF((C85="1+"),1.5,0))+IF((C85=2),2,0))+IF((C85="2+"),2.5,0))+IF((C85=3),3,0))+IF((C85="3+"),3.5,0)</f>
        <v>0</v>
      </c>
      <c r="H85" s="173"/>
      <c r="I85" s="18"/>
      <c r="J85" s="18"/>
      <c r="K85" s="18"/>
      <c r="L85" s="18"/>
      <c r="M85" s="18"/>
      <c r="N85" s="18"/>
      <c r="T85" s="178" t="str">
        <f aca="false">Interview!$B$188</f>
        <v>Operations</v>
      </c>
      <c r="U85" s="182" t="str">
        <f aca="false">Interview!$B$189</f>
        <v>Incident Management</v>
      </c>
      <c r="V85" s="172" t="n">
        <v>0</v>
      </c>
      <c r="W85" s="172" t="n">
        <v>0</v>
      </c>
      <c r="X85" s="172" t="n">
        <v>0</v>
      </c>
      <c r="Y85" s="172" t="n">
        <v>0</v>
      </c>
      <c r="Z85" s="172" t="n">
        <f aca="false">C85</f>
        <v>0</v>
      </c>
    </row>
    <row r="86" customFormat="false" ht="24.75" hidden="false" customHeight="true" outlineLevel="0" collapsed="false">
      <c r="A86" s="178" t="str">
        <f aca="false">Interview!$B$188</f>
        <v>Operations</v>
      </c>
      <c r="B86" s="182" t="str">
        <f aca="false">Interview!$B$203</f>
        <v>Environment Management</v>
      </c>
      <c r="C86" s="172" t="n">
        <f aca="false">Roadmap!U139</f>
        <v>0</v>
      </c>
      <c r="D86" s="172" t="n">
        <f aca="false">Roadmap!T139</f>
        <v>0</v>
      </c>
      <c r="E86" s="172" t="n">
        <f aca="false">Roadmap!T140</f>
        <v>0</v>
      </c>
      <c r="F86" s="172" t="n">
        <f aca="false">Roadmap!T141</f>
        <v>0</v>
      </c>
      <c r="G86" s="63" t="n">
        <f aca="false">(((((IF((C86="0+"),0.5,0)+IF((C86=1),1,0))+IF((C86="1+"),1.5,0))+IF((C86=2),2,0))+IF((C86="2+"),2.5,0))+IF((C86=3),3,0))+IF((C86="3+"),3.5,0)</f>
        <v>0</v>
      </c>
      <c r="H86" s="173"/>
      <c r="I86" s="18"/>
      <c r="J86" s="18"/>
      <c r="K86" s="18"/>
      <c r="L86" s="18"/>
      <c r="M86" s="18"/>
      <c r="N86" s="18"/>
      <c r="T86" s="178" t="str">
        <f aca="false">Interview!$B$188</f>
        <v>Operations</v>
      </c>
      <c r="U86" s="182" t="str">
        <f aca="false">Interview!$B$203</f>
        <v>Environment Management</v>
      </c>
      <c r="V86" s="172" t="n">
        <v>0</v>
      </c>
      <c r="W86" s="172" t="n">
        <v>0</v>
      </c>
      <c r="X86" s="172" t="n">
        <v>0</v>
      </c>
      <c r="Y86" s="172" t="n">
        <v>0</v>
      </c>
      <c r="Z86" s="172" t="n">
        <f aca="false">C86</f>
        <v>0</v>
      </c>
    </row>
    <row r="87" customFormat="false" ht="24.75" hidden="false" customHeight="true" outlineLevel="0" collapsed="false">
      <c r="A87" s="178" t="str">
        <f aca="false">Interview!$B$188</f>
        <v>Operations</v>
      </c>
      <c r="B87" s="182" t="str">
        <f aca="false">Interview!$B$217</f>
        <v>Operational Management</v>
      </c>
      <c r="C87" s="172" t="n">
        <f aca="false">Roadmap!U148</f>
        <v>0</v>
      </c>
      <c r="D87" s="172" t="n">
        <f aca="false">Roadmap!T148</f>
        <v>0</v>
      </c>
      <c r="E87" s="172" t="n">
        <f aca="false">Roadmap!T149</f>
        <v>0</v>
      </c>
      <c r="F87" s="172" t="n">
        <f aca="false">Roadmap!T150</f>
        <v>0</v>
      </c>
      <c r="G87" s="63" t="n">
        <f aca="false">(((((IF((C87="0+"),0.5,0)+IF((C87=1),1,0))+IF((C87="1+"),1.5,0))+IF((C87=2),2,0))+IF((C87="2+"),2.5,0))+IF((C87=3),3,0))+IF((C87="3+"),3.5,0)</f>
        <v>0</v>
      </c>
      <c r="H87" s="173"/>
      <c r="I87" s="18"/>
      <c r="J87" s="18"/>
      <c r="K87" s="18"/>
      <c r="L87" s="18"/>
      <c r="M87" s="18"/>
      <c r="N87" s="18"/>
      <c r="T87" s="178" t="str">
        <f aca="false">Interview!$B$188</f>
        <v>Operations</v>
      </c>
      <c r="U87" s="182" t="str">
        <f aca="false">Interview!$B$217</f>
        <v>Operational Management</v>
      </c>
      <c r="V87" s="172" t="n">
        <v>0</v>
      </c>
      <c r="W87" s="172" t="n">
        <v>0</v>
      </c>
      <c r="X87" s="172" t="n">
        <v>0</v>
      </c>
      <c r="Y87" s="172" t="n">
        <v>0</v>
      </c>
      <c r="Z87" s="172" t="n">
        <f aca="false">C87</f>
        <v>0</v>
      </c>
    </row>
    <row r="88" customFormat="false" ht="12.75" hidden="false" customHeight="true" outlineLevel="0" collapsed="false">
      <c r="A88" s="18"/>
      <c r="B88" s="18"/>
      <c r="C88" s="18"/>
      <c r="D88" s="18"/>
      <c r="E88" s="18"/>
      <c r="F88" s="18"/>
      <c r="G88" s="18"/>
      <c r="H88" s="18"/>
      <c r="I88" s="18"/>
      <c r="J88" s="18"/>
      <c r="K88" s="18"/>
      <c r="L88" s="18"/>
      <c r="M88" s="18"/>
      <c r="N88" s="18"/>
    </row>
    <row r="89" customFormat="false" ht="12.75" hidden="false" customHeight="true" outlineLevel="0" collapsed="false">
      <c r="A89" s="18"/>
      <c r="B89" s="18"/>
      <c r="C89" s="18"/>
      <c r="D89" s="18"/>
      <c r="E89" s="18"/>
      <c r="F89" s="18"/>
      <c r="G89" s="18"/>
      <c r="H89" s="18"/>
      <c r="I89" s="18"/>
      <c r="J89" s="18"/>
      <c r="K89" s="18"/>
      <c r="L89" s="18"/>
      <c r="M89" s="18"/>
      <c r="N89" s="18"/>
    </row>
    <row r="90" customFormat="false" ht="12.75" hidden="false" customHeight="true" outlineLevel="0" collapsed="false">
      <c r="K90" s="18"/>
    </row>
    <row r="91" customFormat="false" ht="24.75" hidden="false" customHeight="true" outlineLevel="0" collapsed="false">
      <c r="A91" s="163" t="s">
        <v>162</v>
      </c>
      <c r="B91" s="163"/>
      <c r="C91" s="163"/>
      <c r="D91" s="163"/>
      <c r="E91" s="163"/>
      <c r="F91" s="163"/>
      <c r="G91" s="163"/>
      <c r="H91" s="163"/>
      <c r="I91" s="163"/>
      <c r="J91" s="163"/>
      <c r="K91" s="18"/>
      <c r="L91" s="163" t="s">
        <v>162</v>
      </c>
      <c r="M91" s="163"/>
      <c r="N91" s="163"/>
      <c r="O91" s="163"/>
      <c r="P91" s="163"/>
      <c r="Q91" s="163"/>
      <c r="R91" s="163"/>
      <c r="T91" s="164" t="s">
        <v>162</v>
      </c>
      <c r="U91" s="164"/>
      <c r="V91" s="164"/>
      <c r="W91" s="164"/>
      <c r="X91" s="164"/>
      <c r="Y91" s="164"/>
      <c r="Z91" s="164"/>
    </row>
    <row r="92" customFormat="false" ht="12" hidden="false" customHeight="true" outlineLevel="0" collapsed="false">
      <c r="A92" s="155"/>
      <c r="B92" s="155"/>
      <c r="C92" s="155"/>
      <c r="D92" s="165" t="s">
        <v>154</v>
      </c>
      <c r="E92" s="165"/>
      <c r="F92" s="165"/>
      <c r="G92" s="18"/>
      <c r="H92" s="18"/>
      <c r="I92" s="18"/>
      <c r="J92" s="18"/>
      <c r="K92" s="18"/>
      <c r="L92" s="18"/>
      <c r="M92" s="18"/>
      <c r="N92" s="18"/>
    </row>
    <row r="93" customFormat="false" ht="24.75" hidden="false" customHeight="true" outlineLevel="0" collapsed="false">
      <c r="A93" s="166" t="s">
        <v>155</v>
      </c>
      <c r="B93" s="166" t="s">
        <v>156</v>
      </c>
      <c r="C93" s="166" t="s">
        <v>157</v>
      </c>
      <c r="D93" s="167" t="n">
        <v>1</v>
      </c>
      <c r="E93" s="167" t="n">
        <v>2</v>
      </c>
      <c r="F93" s="167" t="n">
        <v>3</v>
      </c>
      <c r="G93" s="168" t="s">
        <v>158</v>
      </c>
      <c r="H93" s="18"/>
      <c r="I93" s="166" t="s">
        <v>155</v>
      </c>
      <c r="J93" s="166" t="s">
        <v>157</v>
      </c>
      <c r="K93" s="18"/>
      <c r="L93" s="18"/>
      <c r="M93" s="18"/>
      <c r="N93" s="18"/>
      <c r="V93" s="169" t="str">
        <f aca="false">T94</f>
        <v>Governance</v>
      </c>
      <c r="W93" s="169" t="str">
        <f aca="false">T97</f>
        <v>Design</v>
      </c>
      <c r="X93" s="169" t="str">
        <f aca="false">T100</f>
        <v>Implementation</v>
      </c>
      <c r="Y93" s="169" t="str">
        <f aca="false">T103</f>
        <v>Verification</v>
      </c>
      <c r="Z93" s="169" t="str">
        <f aca="false">T106</f>
        <v>Operations</v>
      </c>
    </row>
    <row r="94" customFormat="false" ht="24.75" hidden="false" customHeight="true" outlineLevel="0" collapsed="false">
      <c r="A94" s="170" t="str">
        <f aca="false">Interview!$B$16</f>
        <v>Governance</v>
      </c>
      <c r="B94" s="171" t="str">
        <f aca="false">Interview!$D$17</f>
        <v>Strategy &amp; Metrics</v>
      </c>
      <c r="C94" s="172" t="n">
        <f aca="false">Roadmap!Y18</f>
        <v>0.875</v>
      </c>
      <c r="D94" s="172" t="n">
        <f aca="false">Roadmap!X18</f>
        <v>0.125</v>
      </c>
      <c r="E94" s="172" t="n">
        <f aca="false">Roadmap!X19</f>
        <v>0.25</v>
      </c>
      <c r="F94" s="172" t="n">
        <f aca="false">Roadmap!X20</f>
        <v>0.5</v>
      </c>
      <c r="G94" s="63" t="n">
        <f aca="false">(((((IF((C94="0+"),0.5,0)+IF((C94=1),1,0))+IF((C94="1+"),1.5,0))+IF((C94=2),2,0))+IF((C94="2+"),2.5,0))+IF((C94=3),3,0))+IF((C94="3+"),3.5,0)</f>
        <v>0</v>
      </c>
      <c r="H94" s="173"/>
      <c r="I94" s="170" t="str">
        <f aca="false">A94</f>
        <v>Governance</v>
      </c>
      <c r="J94" s="172" t="n">
        <f aca="false">AVERAGE(C94:C96)</f>
        <v>0.291666666666667</v>
      </c>
      <c r="K94" s="18"/>
      <c r="L94" s="18"/>
      <c r="M94" s="18"/>
      <c r="N94" s="18"/>
      <c r="T94" s="170" t="str">
        <f aca="false">Interview!$B$16</f>
        <v>Governance</v>
      </c>
      <c r="U94" s="171" t="str">
        <f aca="false">Interview!$D$17</f>
        <v>Strategy &amp; Metrics</v>
      </c>
      <c r="V94" s="172" t="n">
        <f aca="false">C94</f>
        <v>0.875</v>
      </c>
      <c r="W94" s="172" t="n">
        <v>0</v>
      </c>
      <c r="X94" s="172" t="n">
        <v>0</v>
      </c>
      <c r="Y94" s="172" t="n">
        <v>0</v>
      </c>
      <c r="Z94" s="172" t="n">
        <v>0</v>
      </c>
    </row>
    <row r="95" customFormat="false" ht="24.75" hidden="false" customHeight="true" outlineLevel="0" collapsed="false">
      <c r="A95" s="170" t="str">
        <f aca="false">Interview!$B$16</f>
        <v>Governance</v>
      </c>
      <c r="B95" s="171" t="str">
        <f aca="false">Interview!$B$31</f>
        <v>Policy &amp; Compliance</v>
      </c>
      <c r="C95" s="172" t="n">
        <f aca="false">Roadmap!Y27</f>
        <v>0</v>
      </c>
      <c r="D95" s="172" t="n">
        <f aca="false">Roadmap!X27</f>
        <v>0</v>
      </c>
      <c r="E95" s="172" t="n">
        <f aca="false">Roadmap!X28</f>
        <v>0</v>
      </c>
      <c r="F95" s="172" t="n">
        <f aca="false">Roadmap!X29</f>
        <v>0</v>
      </c>
      <c r="G95" s="63" t="n">
        <f aca="false">(((((IF((C95="0+"),0.5,0)+IF((C95=1),1,0))+IF((C95="1+"),1.5,0))+IF((C95=2),2,0))+IF((C95="2+"),2.5,0))+IF((C95=3),3,0))+IF((C95="3+"),3.5,0)</f>
        <v>0</v>
      </c>
      <c r="H95" s="173"/>
      <c r="I95" s="174" t="str">
        <f aca="false">A97</f>
        <v>Design</v>
      </c>
      <c r="J95" s="172" t="n">
        <f aca="false">AVERAGE(C97:C99)</f>
        <v>0</v>
      </c>
      <c r="K95" s="18"/>
      <c r="L95" s="18"/>
      <c r="M95" s="18"/>
      <c r="N95" s="18"/>
      <c r="T95" s="170" t="str">
        <f aca="false">Interview!$B$16</f>
        <v>Governance</v>
      </c>
      <c r="U95" s="171" t="str">
        <f aca="false">Interview!$B$31</f>
        <v>Policy &amp; Compliance</v>
      </c>
      <c r="V95" s="172" t="n">
        <f aca="false">C95</f>
        <v>0</v>
      </c>
      <c r="W95" s="172" t="n">
        <v>0</v>
      </c>
      <c r="X95" s="172" t="n">
        <v>0</v>
      </c>
      <c r="Y95" s="172" t="n">
        <v>0</v>
      </c>
      <c r="Z95" s="172" t="n">
        <v>0</v>
      </c>
    </row>
    <row r="96" customFormat="false" ht="24.75" hidden="false" customHeight="true" outlineLevel="0" collapsed="false">
      <c r="A96" s="170" t="str">
        <f aca="false">Interview!$B$16</f>
        <v>Governance</v>
      </c>
      <c r="B96" s="171" t="str">
        <f aca="false">Interview!$B$45</f>
        <v>Education &amp; Guidance</v>
      </c>
      <c r="C96" s="172" t="n">
        <f aca="false">Roadmap!Y36</f>
        <v>0</v>
      </c>
      <c r="D96" s="172" t="n">
        <f aca="false">Roadmap!X36</f>
        <v>0</v>
      </c>
      <c r="E96" s="172" t="n">
        <f aca="false">Roadmap!X37</f>
        <v>0</v>
      </c>
      <c r="F96" s="172" t="n">
        <f aca="false">Roadmap!X38</f>
        <v>0</v>
      </c>
      <c r="G96" s="63" t="n">
        <f aca="false">(((((IF((C96="0+"),0.5,0)+IF((C96=1),1,0))+IF((C96="1+"),1.5,0))+IF((C96=2),2,0))+IF((C96="2+"),2.5,0))+IF((C96=3),3,0))+IF((C96="3+"),3.5,0)</f>
        <v>0</v>
      </c>
      <c r="H96" s="173"/>
      <c r="I96" s="175" t="str">
        <f aca="false">A100</f>
        <v>Implementation</v>
      </c>
      <c r="J96" s="172" t="n">
        <f aca="false">AVERAGE(C100:C102)</f>
        <v>0</v>
      </c>
      <c r="K96" s="18"/>
      <c r="L96" s="18"/>
      <c r="M96" s="18"/>
      <c r="N96" s="18"/>
      <c r="T96" s="170" t="str">
        <f aca="false">Interview!$B$16</f>
        <v>Governance</v>
      </c>
      <c r="U96" s="171" t="str">
        <f aca="false">Interview!$B$45</f>
        <v>Education &amp; Guidance</v>
      </c>
      <c r="V96" s="172" t="n">
        <f aca="false">C96</f>
        <v>0</v>
      </c>
      <c r="W96" s="172" t="n">
        <v>0</v>
      </c>
      <c r="X96" s="172" t="n">
        <v>0</v>
      </c>
      <c r="Y96" s="172" t="n">
        <v>0</v>
      </c>
      <c r="Z96" s="172" t="n">
        <v>0</v>
      </c>
    </row>
    <row r="97" customFormat="false" ht="24.75" hidden="false" customHeight="true" outlineLevel="0" collapsed="false">
      <c r="A97" s="174" t="str">
        <f aca="false">Interview!$B$59</f>
        <v>Design</v>
      </c>
      <c r="B97" s="176" t="str">
        <f aca="false">Interview!$B$60</f>
        <v>Threat Assessment</v>
      </c>
      <c r="C97" s="172" t="n">
        <f aca="false">Roadmap!Y46</f>
        <v>0</v>
      </c>
      <c r="D97" s="172" t="n">
        <f aca="false">Roadmap!X46</f>
        <v>0</v>
      </c>
      <c r="E97" s="172" t="n">
        <f aca="false">Roadmap!X47</f>
        <v>0</v>
      </c>
      <c r="F97" s="172" t="n">
        <f aca="false">Roadmap!X48</f>
        <v>0</v>
      </c>
      <c r="G97" s="63" t="n">
        <f aca="false">(((((IF((C97="0+"),0.5,0)+IF((C97=1),1,0))+IF((C97="1+"),1.5,0))+IF((C97=2),2,0))+IF((C97="2+"),2.5,0))+IF((C97=3),3,0))+IF((C97="3+"),3.5,0)</f>
        <v>0</v>
      </c>
      <c r="H97" s="173"/>
      <c r="I97" s="177" t="str">
        <f aca="false">A103</f>
        <v>Verification</v>
      </c>
      <c r="J97" s="172" t="n">
        <f aca="false">AVERAGE(C103:C105)</f>
        <v>0</v>
      </c>
      <c r="K97" s="18"/>
      <c r="L97" s="18"/>
      <c r="M97" s="18"/>
      <c r="N97" s="18"/>
      <c r="T97" s="174" t="str">
        <f aca="false">Interview!$B$59</f>
        <v>Design</v>
      </c>
      <c r="U97" s="176" t="str">
        <f aca="false">Interview!$B$60</f>
        <v>Threat Assessment</v>
      </c>
      <c r="V97" s="172" t="n">
        <v>0</v>
      </c>
      <c r="W97" s="172" t="n">
        <f aca="false">C97</f>
        <v>0</v>
      </c>
      <c r="X97" s="172" t="n">
        <v>0</v>
      </c>
      <c r="Y97" s="172" t="n">
        <v>0</v>
      </c>
      <c r="Z97" s="172" t="n">
        <v>0</v>
      </c>
    </row>
    <row r="98" customFormat="false" ht="24.75" hidden="false" customHeight="true" outlineLevel="0" collapsed="false">
      <c r="A98" s="174" t="str">
        <f aca="false">Interview!$B$59</f>
        <v>Design</v>
      </c>
      <c r="B98" s="176" t="str">
        <f aca="false">Interview!$B$74</f>
        <v>Security Requirements</v>
      </c>
      <c r="C98" s="172" t="n">
        <f aca="false">Roadmap!Y55</f>
        <v>0</v>
      </c>
      <c r="D98" s="172" t="n">
        <f aca="false">Roadmap!X55</f>
        <v>0</v>
      </c>
      <c r="E98" s="172" t="n">
        <f aca="false">Roadmap!X56</f>
        <v>0</v>
      </c>
      <c r="F98" s="172" t="n">
        <f aca="false">Roadmap!X57</f>
        <v>0</v>
      </c>
      <c r="G98" s="63" t="n">
        <f aca="false">(((((IF((C98="0+"),0.5,0)+IF((C98=1),1,0))+IF((C98="1+"),1.5,0))+IF((C98=2),2,0))+IF((C98="2+"),2.5,0))+IF((C98=3),3,0))+IF((C98="3+"),3.5,0)</f>
        <v>0</v>
      </c>
      <c r="H98" s="173"/>
      <c r="I98" s="178" t="str">
        <f aca="false">A106</f>
        <v>Operations</v>
      </c>
      <c r="J98" s="172" t="n">
        <f aca="false">AVERAGE(C106:C108)</f>
        <v>0</v>
      </c>
      <c r="K98" s="18"/>
      <c r="L98" s="18"/>
      <c r="M98" s="18"/>
      <c r="N98" s="18"/>
      <c r="T98" s="174" t="str">
        <f aca="false">Interview!$B$59</f>
        <v>Design</v>
      </c>
      <c r="U98" s="176" t="str">
        <f aca="false">Interview!$B$74</f>
        <v>Security Requirements</v>
      </c>
      <c r="V98" s="172" t="n">
        <v>0</v>
      </c>
      <c r="W98" s="172" t="n">
        <f aca="false">C98</f>
        <v>0</v>
      </c>
      <c r="X98" s="172" t="n">
        <v>0</v>
      </c>
      <c r="Y98" s="172" t="n">
        <v>0</v>
      </c>
      <c r="Z98" s="172" t="n">
        <v>0</v>
      </c>
    </row>
    <row r="99" customFormat="false" ht="24.75" hidden="false" customHeight="true" outlineLevel="0" collapsed="false">
      <c r="A99" s="174" t="str">
        <f aca="false">Interview!$B$59</f>
        <v>Design</v>
      </c>
      <c r="B99" s="176" t="str">
        <f aca="false">Interview!$B$88</f>
        <v>Secure Architecture</v>
      </c>
      <c r="C99" s="172" t="n">
        <f aca="false">Roadmap!Y64</f>
        <v>0</v>
      </c>
      <c r="D99" s="172" t="n">
        <f aca="false">Roadmap!X64</f>
        <v>0</v>
      </c>
      <c r="E99" s="172" t="n">
        <f aca="false">Roadmap!X65</f>
        <v>0</v>
      </c>
      <c r="F99" s="172" t="n">
        <f aca="false">Roadmap!X66</f>
        <v>0</v>
      </c>
      <c r="G99" s="63" t="n">
        <f aca="false">(((((IF((C99="0+"),0.5,0)+IF((C99=1),1,0))+IF((C99="1+"),1.5,0))+IF((C99=2),2,0))+IF((C99="2+"),2.5,0))+IF((C99=3),3,0))+IF((C99="3+"),3.5,0)</f>
        <v>0</v>
      </c>
      <c r="H99" s="173"/>
      <c r="I99" s="18"/>
      <c r="J99" s="18"/>
      <c r="K99" s="18"/>
      <c r="L99" s="18"/>
      <c r="M99" s="18"/>
      <c r="N99" s="18"/>
      <c r="T99" s="174" t="str">
        <f aca="false">Interview!$B$59</f>
        <v>Design</v>
      </c>
      <c r="U99" s="176" t="str">
        <f aca="false">Interview!$B$88</f>
        <v>Secure Architecture</v>
      </c>
      <c r="V99" s="172" t="n">
        <v>0</v>
      </c>
      <c r="W99" s="172" t="n">
        <f aca="false">C99</f>
        <v>0</v>
      </c>
      <c r="X99" s="172" t="n">
        <v>0</v>
      </c>
      <c r="Y99" s="172" t="n">
        <v>0</v>
      </c>
      <c r="Z99" s="172" t="n">
        <v>0</v>
      </c>
    </row>
    <row r="100" customFormat="false" ht="24.75" hidden="false" customHeight="true" outlineLevel="0" collapsed="false">
      <c r="A100" s="175" t="str">
        <f aca="false">Interview!$B$102</f>
        <v>Implementation</v>
      </c>
      <c r="B100" s="179" t="str">
        <f aca="false">Interview!$B$103</f>
        <v>Secure Build</v>
      </c>
      <c r="C100" s="172" t="n">
        <f aca="false">Roadmap!Y74</f>
        <v>0</v>
      </c>
      <c r="D100" s="172" t="n">
        <f aca="false">Roadmap!X74</f>
        <v>0</v>
      </c>
      <c r="E100" s="172" t="n">
        <f aca="false">Roadmap!X75</f>
        <v>0</v>
      </c>
      <c r="F100" s="172" t="n">
        <f aca="false">Roadmap!X76</f>
        <v>0</v>
      </c>
      <c r="G100" s="63"/>
      <c r="H100" s="173"/>
      <c r="I100" s="18"/>
      <c r="J100" s="18"/>
      <c r="K100" s="18"/>
      <c r="L100" s="18"/>
      <c r="M100" s="18"/>
      <c r="N100" s="18"/>
      <c r="T100" s="175" t="str">
        <f aca="false">Interview!$B$102</f>
        <v>Implementation</v>
      </c>
      <c r="U100" s="179" t="str">
        <f aca="false">Interview!$B$103</f>
        <v>Secure Build</v>
      </c>
      <c r="V100" s="172" t="n">
        <v>0</v>
      </c>
      <c r="W100" s="172" t="n">
        <v>0</v>
      </c>
      <c r="X100" s="172" t="n">
        <f aca="false">C100</f>
        <v>0</v>
      </c>
      <c r="Y100" s="172" t="n">
        <v>0</v>
      </c>
      <c r="Z100" s="172" t="n">
        <v>0</v>
      </c>
    </row>
    <row r="101" customFormat="false" ht="24.75" hidden="false" customHeight="true" outlineLevel="0" collapsed="false">
      <c r="A101" s="175" t="str">
        <f aca="false">Interview!$B$102</f>
        <v>Implementation</v>
      </c>
      <c r="B101" s="179" t="str">
        <f aca="false">Interview!$B$117</f>
        <v>Secure Deployment</v>
      </c>
      <c r="C101" s="172" t="n">
        <f aca="false">Roadmap!Y83</f>
        <v>0</v>
      </c>
      <c r="D101" s="172" t="n">
        <f aca="false">Roadmap!X83</f>
        <v>0</v>
      </c>
      <c r="E101" s="172" t="n">
        <f aca="false">Roadmap!X84</f>
        <v>0</v>
      </c>
      <c r="F101" s="172" t="n">
        <f aca="false">Roadmap!X85</f>
        <v>0</v>
      </c>
      <c r="G101" s="63"/>
      <c r="H101" s="173"/>
      <c r="I101" s="18"/>
      <c r="J101" s="18"/>
      <c r="K101" s="18"/>
      <c r="L101" s="18"/>
      <c r="M101" s="18"/>
      <c r="N101" s="18"/>
      <c r="T101" s="175" t="str">
        <f aca="false">Interview!$B$102</f>
        <v>Implementation</v>
      </c>
      <c r="U101" s="179" t="str">
        <f aca="false">Interview!$B$117</f>
        <v>Secure Deployment</v>
      </c>
      <c r="V101" s="172" t="n">
        <v>0</v>
      </c>
      <c r="W101" s="172" t="n">
        <v>0</v>
      </c>
      <c r="X101" s="172" t="n">
        <f aca="false">C101</f>
        <v>0</v>
      </c>
      <c r="Y101" s="172" t="n">
        <v>0</v>
      </c>
      <c r="Z101" s="172" t="n">
        <v>0</v>
      </c>
    </row>
    <row r="102" customFormat="false" ht="24.75" hidden="false" customHeight="true" outlineLevel="0" collapsed="false">
      <c r="A102" s="175" t="str">
        <f aca="false">Interview!$B$102</f>
        <v>Implementation</v>
      </c>
      <c r="B102" s="179" t="str">
        <f aca="false">Interview!$B$131</f>
        <v>Defect Management</v>
      </c>
      <c r="C102" s="172" t="n">
        <f aca="false">Roadmap!Y92</f>
        <v>0</v>
      </c>
      <c r="D102" s="172" t="n">
        <f aca="false">Roadmap!X92</f>
        <v>0</v>
      </c>
      <c r="E102" s="172" t="n">
        <f aca="false">Roadmap!X93</f>
        <v>0</v>
      </c>
      <c r="F102" s="172" t="n">
        <f aca="false">Roadmap!X94</f>
        <v>0</v>
      </c>
      <c r="G102" s="63"/>
      <c r="H102" s="173"/>
      <c r="I102" s="18"/>
      <c r="J102" s="18"/>
      <c r="K102" s="18"/>
      <c r="L102" s="18"/>
      <c r="M102" s="18"/>
      <c r="N102" s="18"/>
      <c r="T102" s="175" t="str">
        <f aca="false">Interview!$B$102</f>
        <v>Implementation</v>
      </c>
      <c r="U102" s="179" t="str">
        <f aca="false">Interview!$B$131</f>
        <v>Defect Management</v>
      </c>
      <c r="V102" s="172" t="n">
        <v>0</v>
      </c>
      <c r="W102" s="172" t="n">
        <v>0</v>
      </c>
      <c r="X102" s="172" t="n">
        <f aca="false">C102</f>
        <v>0</v>
      </c>
      <c r="Y102" s="172" t="n">
        <v>0</v>
      </c>
      <c r="Z102" s="172" t="n">
        <v>0</v>
      </c>
    </row>
    <row r="103" customFormat="false" ht="24.75" hidden="false" customHeight="true" outlineLevel="0" collapsed="false">
      <c r="A103" s="177" t="str">
        <f aca="false">Interview!$B$145</f>
        <v>Verification</v>
      </c>
      <c r="B103" s="181" t="str">
        <f aca="false">Interview!$B$146</f>
        <v>Architecture Assessment</v>
      </c>
      <c r="C103" s="172" t="n">
        <f aca="false">Roadmap!Y102</f>
        <v>0</v>
      </c>
      <c r="D103" s="172" t="n">
        <f aca="false">Roadmap!X102</f>
        <v>0</v>
      </c>
      <c r="E103" s="172" t="n">
        <f aca="false">Roadmap!X103</f>
        <v>0</v>
      </c>
      <c r="F103" s="172" t="n">
        <f aca="false">Roadmap!X104</f>
        <v>0</v>
      </c>
      <c r="G103" s="63" t="n">
        <f aca="false">(((((IF((C103="0+"),0.5,0)+IF((C103=1),1,0))+IF((C103="1+"),1.5,0))+IF((C103=2),2,0))+IF((C103="2+"),2.5,0))+IF((C103=3),3,0))+IF((C103="3+"),3.5,0)</f>
        <v>0</v>
      </c>
      <c r="H103" s="173"/>
      <c r="I103" s="18"/>
      <c r="J103" s="18"/>
      <c r="K103" s="18"/>
      <c r="L103" s="18"/>
      <c r="M103" s="18"/>
      <c r="N103" s="18"/>
      <c r="T103" s="177" t="str">
        <f aca="false">Interview!$B$145</f>
        <v>Verification</v>
      </c>
      <c r="U103" s="181" t="str">
        <f aca="false">Interview!$B$146</f>
        <v>Architecture Assessment</v>
      </c>
      <c r="V103" s="172" t="n">
        <v>0</v>
      </c>
      <c r="W103" s="172" t="n">
        <v>0</v>
      </c>
      <c r="X103" s="172" t="n">
        <v>0</v>
      </c>
      <c r="Y103" s="172" t="n">
        <f aca="false">C103</f>
        <v>0</v>
      </c>
      <c r="Z103" s="172" t="n">
        <v>0</v>
      </c>
    </row>
    <row r="104" customFormat="false" ht="24.75" hidden="false" customHeight="true" outlineLevel="0" collapsed="false">
      <c r="A104" s="177" t="str">
        <f aca="false">Interview!$B$145</f>
        <v>Verification</v>
      </c>
      <c r="B104" s="181" t="str">
        <f aca="false">Interview!$B$160</f>
        <v>Requirements Testing</v>
      </c>
      <c r="C104" s="172" t="n">
        <f aca="false">Roadmap!Y111</f>
        <v>0</v>
      </c>
      <c r="D104" s="172" t="n">
        <f aca="false">Roadmap!X111</f>
        <v>0</v>
      </c>
      <c r="E104" s="172" t="n">
        <f aca="false">Roadmap!X112</f>
        <v>0</v>
      </c>
      <c r="F104" s="172" t="n">
        <f aca="false">Roadmap!X113</f>
        <v>0</v>
      </c>
      <c r="G104" s="63" t="n">
        <f aca="false">(((((IF((C104="0+"),0.5,0)+IF((C104=1),1,0))+IF((C104="1+"),1.5,0))+IF((C104=2),2,0))+IF((C104="2+"),2.5,0))+IF((C104=3),3,0))+IF((C104="3+"),3.5,0)</f>
        <v>0</v>
      </c>
      <c r="H104" s="173"/>
      <c r="I104" s="18"/>
      <c r="J104" s="18"/>
      <c r="K104" s="18"/>
      <c r="L104" s="18"/>
      <c r="M104" s="18"/>
      <c r="N104" s="18"/>
      <c r="T104" s="177" t="str">
        <f aca="false">Interview!$B$145</f>
        <v>Verification</v>
      </c>
      <c r="U104" s="181" t="str">
        <f aca="false">Interview!$B$160</f>
        <v>Requirements Testing</v>
      </c>
      <c r="V104" s="172" t="n">
        <v>0</v>
      </c>
      <c r="W104" s="172" t="n">
        <v>0</v>
      </c>
      <c r="X104" s="172" t="n">
        <v>0</v>
      </c>
      <c r="Y104" s="172" t="n">
        <f aca="false">C104</f>
        <v>0</v>
      </c>
      <c r="Z104" s="172" t="n">
        <v>0</v>
      </c>
    </row>
    <row r="105" customFormat="false" ht="24.75" hidden="false" customHeight="true" outlineLevel="0" collapsed="false">
      <c r="A105" s="177" t="str">
        <f aca="false">Interview!$B$145</f>
        <v>Verification</v>
      </c>
      <c r="B105" s="181" t="str">
        <f aca="false">Interview!$B$174</f>
        <v>Security Testing</v>
      </c>
      <c r="C105" s="172" t="n">
        <f aca="false">Roadmap!Y120</f>
        <v>0</v>
      </c>
      <c r="D105" s="172" t="n">
        <f aca="false">Roadmap!X120</f>
        <v>0</v>
      </c>
      <c r="E105" s="172" t="n">
        <f aca="false">Roadmap!X121</f>
        <v>0</v>
      </c>
      <c r="F105" s="172" t="n">
        <f aca="false">Roadmap!X122</f>
        <v>0</v>
      </c>
      <c r="G105" s="63" t="n">
        <f aca="false">(((((IF((C105="0+"),0.5,0)+IF((C105=1),1,0))+IF((C105="1+"),1.5,0))+IF((C105=2),2,0))+IF((C105="2+"),2.5,0))+IF((C105=3),3,0))+IF((C105="3+"),3.5,0)</f>
        <v>0</v>
      </c>
      <c r="H105" s="173"/>
      <c r="I105" s="18"/>
      <c r="J105" s="18"/>
      <c r="K105" s="18"/>
      <c r="L105" s="18"/>
      <c r="M105" s="18"/>
      <c r="N105" s="18"/>
      <c r="T105" s="177" t="str">
        <f aca="false">Interview!$B$145</f>
        <v>Verification</v>
      </c>
      <c r="U105" s="181" t="str">
        <f aca="false">Interview!$B$174</f>
        <v>Security Testing</v>
      </c>
      <c r="V105" s="172" t="n">
        <v>0</v>
      </c>
      <c r="W105" s="172" t="n">
        <v>0</v>
      </c>
      <c r="X105" s="172" t="n">
        <v>0</v>
      </c>
      <c r="Y105" s="172" t="n">
        <f aca="false">C105</f>
        <v>0</v>
      </c>
      <c r="Z105" s="172" t="n">
        <v>0</v>
      </c>
    </row>
    <row r="106" customFormat="false" ht="24.75" hidden="false" customHeight="true" outlineLevel="0" collapsed="false">
      <c r="A106" s="178" t="str">
        <f aca="false">Interview!$B$188</f>
        <v>Operations</v>
      </c>
      <c r="B106" s="182" t="str">
        <f aca="false">Interview!$B$189</f>
        <v>Incident Management</v>
      </c>
      <c r="C106" s="172" t="n">
        <f aca="false">Roadmap!Y130</f>
        <v>0</v>
      </c>
      <c r="D106" s="172" t="n">
        <f aca="false">Roadmap!X130</f>
        <v>0</v>
      </c>
      <c r="E106" s="172" t="n">
        <f aca="false">Roadmap!X131</f>
        <v>0</v>
      </c>
      <c r="F106" s="172" t="n">
        <f aca="false">Roadmap!X132</f>
        <v>0</v>
      </c>
      <c r="G106" s="63" t="n">
        <f aca="false">(((((IF((C106="0+"),0.5,0)+IF((C106=1),1,0))+IF((C106="1+"),1.5,0))+IF((C106=2),2,0))+IF((C106="2+"),2.5,0))+IF((C106=3),3,0))+IF((C106="3+"),3.5,0)</f>
        <v>0</v>
      </c>
      <c r="H106" s="173"/>
      <c r="I106" s="18"/>
      <c r="J106" s="18"/>
      <c r="K106" s="18"/>
      <c r="L106" s="18"/>
      <c r="M106" s="18"/>
      <c r="N106" s="18"/>
      <c r="T106" s="178" t="str">
        <f aca="false">Interview!$B$188</f>
        <v>Operations</v>
      </c>
      <c r="U106" s="182" t="str">
        <f aca="false">Interview!$B$189</f>
        <v>Incident Management</v>
      </c>
      <c r="V106" s="172" t="n">
        <v>0</v>
      </c>
      <c r="W106" s="172" t="n">
        <v>0</v>
      </c>
      <c r="X106" s="172" t="n">
        <v>0</v>
      </c>
      <c r="Y106" s="172" t="n">
        <v>0</v>
      </c>
      <c r="Z106" s="172" t="n">
        <f aca="false">C106</f>
        <v>0</v>
      </c>
    </row>
    <row r="107" customFormat="false" ht="24.75" hidden="false" customHeight="true" outlineLevel="0" collapsed="false">
      <c r="A107" s="178" t="str">
        <f aca="false">Interview!$B$188</f>
        <v>Operations</v>
      </c>
      <c r="B107" s="182" t="str">
        <f aca="false">Interview!$B$203</f>
        <v>Environment Management</v>
      </c>
      <c r="C107" s="172" t="n">
        <f aca="false">Roadmap!Y139</f>
        <v>0</v>
      </c>
      <c r="D107" s="172" t="n">
        <f aca="false">Roadmap!X139</f>
        <v>0</v>
      </c>
      <c r="E107" s="172" t="n">
        <f aca="false">Roadmap!X140</f>
        <v>0</v>
      </c>
      <c r="F107" s="172" t="n">
        <f aca="false">Roadmap!X141</f>
        <v>0</v>
      </c>
      <c r="G107" s="63" t="n">
        <f aca="false">(((((IF((C107="0+"),0.5,0)+IF((C107=1),1,0))+IF((C107="1+"),1.5,0))+IF((C107=2),2,0))+IF((C107="2+"),2.5,0))+IF((C107=3),3,0))+IF((C107="3+"),3.5,0)</f>
        <v>0</v>
      </c>
      <c r="H107" s="173"/>
      <c r="I107" s="18"/>
      <c r="J107" s="18"/>
      <c r="K107" s="18"/>
      <c r="L107" s="18"/>
      <c r="M107" s="18"/>
      <c r="N107" s="18"/>
      <c r="T107" s="178" t="str">
        <f aca="false">Interview!$B$188</f>
        <v>Operations</v>
      </c>
      <c r="U107" s="182" t="str">
        <f aca="false">Interview!$B$203</f>
        <v>Environment Management</v>
      </c>
      <c r="V107" s="172" t="n">
        <v>0</v>
      </c>
      <c r="W107" s="172" t="n">
        <v>0</v>
      </c>
      <c r="X107" s="172" t="n">
        <v>0</v>
      </c>
      <c r="Y107" s="172" t="n">
        <v>0</v>
      </c>
      <c r="Z107" s="172" t="n">
        <f aca="false">C107</f>
        <v>0</v>
      </c>
    </row>
    <row r="108" customFormat="false" ht="24.75" hidden="false" customHeight="true" outlineLevel="0" collapsed="false">
      <c r="A108" s="178" t="str">
        <f aca="false">Interview!$B$188</f>
        <v>Operations</v>
      </c>
      <c r="B108" s="182" t="str">
        <f aca="false">Interview!$B$217</f>
        <v>Operational Management</v>
      </c>
      <c r="C108" s="172" t="n">
        <f aca="false">Roadmap!Y148</f>
        <v>0</v>
      </c>
      <c r="D108" s="172" t="n">
        <f aca="false">Roadmap!X148</f>
        <v>0</v>
      </c>
      <c r="E108" s="172" t="n">
        <f aca="false">Roadmap!X149</f>
        <v>0</v>
      </c>
      <c r="F108" s="172" t="n">
        <f aca="false">Roadmap!X150</f>
        <v>0</v>
      </c>
      <c r="G108" s="63" t="n">
        <f aca="false">(((((IF((C108="0+"),0.5,0)+IF((C108=1),1,0))+IF((C108="1+"),1.5,0))+IF((C108=2),2,0))+IF((C108="2+"),2.5,0))+IF((C108=3),3,0))+IF((C108="3+"),3.5,0)</f>
        <v>0</v>
      </c>
      <c r="H108" s="173"/>
      <c r="I108" s="18"/>
      <c r="J108" s="18"/>
      <c r="K108" s="18"/>
      <c r="L108" s="18"/>
      <c r="M108" s="18"/>
      <c r="N108" s="18"/>
      <c r="T108" s="178" t="str">
        <f aca="false">Interview!$B$188</f>
        <v>Operations</v>
      </c>
      <c r="U108" s="182" t="str">
        <f aca="false">Interview!$B$217</f>
        <v>Operational Management</v>
      </c>
      <c r="V108" s="172" t="n">
        <v>0</v>
      </c>
      <c r="W108" s="172" t="n">
        <v>0</v>
      </c>
      <c r="X108" s="172" t="n">
        <v>0</v>
      </c>
      <c r="Y108" s="172" t="n">
        <v>0</v>
      </c>
      <c r="Z108" s="172" t="n">
        <f aca="false">C108</f>
        <v>0</v>
      </c>
    </row>
    <row r="109" customFormat="false" ht="12.75" hidden="false" customHeight="true" outlineLevel="0" collapsed="false">
      <c r="A109" s="18"/>
      <c r="B109" s="18"/>
      <c r="C109" s="18"/>
      <c r="D109" s="18"/>
      <c r="E109" s="18"/>
      <c r="F109" s="18"/>
      <c r="G109" s="18"/>
      <c r="H109" s="18"/>
      <c r="I109" s="18"/>
      <c r="J109" s="18"/>
      <c r="K109" s="18"/>
      <c r="L109" s="18"/>
      <c r="M109" s="18"/>
      <c r="N109" s="18"/>
    </row>
    <row r="110" customFormat="false" ht="12.75" hidden="false" customHeight="true" outlineLevel="0" collapsed="false">
      <c r="A110" s="18"/>
      <c r="B110" s="18"/>
      <c r="C110" s="18"/>
      <c r="D110" s="18"/>
      <c r="E110" s="18"/>
      <c r="F110" s="18"/>
      <c r="G110" s="18"/>
      <c r="H110" s="18"/>
      <c r="I110" s="18"/>
      <c r="J110" s="18"/>
      <c r="K110" s="18"/>
      <c r="L110" s="18"/>
      <c r="M110" s="18"/>
      <c r="N110" s="18"/>
    </row>
    <row r="111" customFormat="false" ht="12.75" hidden="false" customHeight="true" outlineLevel="0" collapsed="false">
      <c r="A111" s="18"/>
      <c r="B111" s="18"/>
      <c r="C111" s="18"/>
      <c r="D111" s="18"/>
      <c r="E111" s="18"/>
      <c r="F111" s="18"/>
      <c r="G111" s="18"/>
      <c r="H111" s="18"/>
      <c r="I111" s="18"/>
      <c r="J111" s="18"/>
      <c r="K111" s="18"/>
      <c r="L111" s="18"/>
      <c r="M111" s="18"/>
      <c r="N111" s="18"/>
    </row>
    <row r="112" customFormat="false" ht="12.75" hidden="false" customHeight="true" outlineLevel="0" collapsed="false">
      <c r="A112" s="18"/>
      <c r="B112" s="18"/>
      <c r="C112" s="18"/>
      <c r="D112" s="18"/>
      <c r="E112" s="18"/>
      <c r="F112" s="18"/>
      <c r="G112" s="18"/>
      <c r="H112" s="18"/>
      <c r="I112" s="18"/>
      <c r="J112" s="18"/>
      <c r="K112" s="18"/>
      <c r="L112" s="18"/>
      <c r="M112" s="18"/>
      <c r="N112" s="18"/>
    </row>
    <row r="113" customFormat="false" ht="12.75" hidden="false" customHeight="true" outlineLevel="0" collapsed="false">
      <c r="A113" s="18"/>
      <c r="B113" s="18"/>
      <c r="C113" s="18"/>
      <c r="D113" s="18"/>
      <c r="E113" s="18"/>
      <c r="F113" s="18"/>
      <c r="G113" s="18"/>
      <c r="H113" s="18"/>
      <c r="I113" s="18"/>
      <c r="J113" s="18"/>
      <c r="K113" s="18"/>
      <c r="L113" s="18"/>
      <c r="M113" s="18"/>
      <c r="N113" s="18"/>
    </row>
    <row r="114" customFormat="false" ht="12.75" hidden="false" customHeight="true" outlineLevel="0" collapsed="false">
      <c r="A114" s="18"/>
      <c r="B114" s="18"/>
      <c r="C114" s="18"/>
      <c r="D114" s="18"/>
      <c r="E114" s="18"/>
      <c r="F114" s="18"/>
      <c r="G114" s="18"/>
      <c r="H114" s="18"/>
      <c r="I114" s="18"/>
      <c r="J114" s="18"/>
      <c r="K114" s="18"/>
      <c r="L114" s="18"/>
      <c r="M114" s="18"/>
      <c r="N114" s="18"/>
    </row>
    <row r="115" customFormat="false" ht="12.75" hidden="false" customHeight="true" outlineLevel="0" collapsed="false">
      <c r="A115" s="18"/>
      <c r="B115" s="18"/>
      <c r="C115" s="18"/>
      <c r="D115" s="18"/>
      <c r="E115" s="18"/>
      <c r="F115" s="18"/>
      <c r="G115" s="18"/>
      <c r="H115" s="18"/>
      <c r="I115" s="18"/>
      <c r="J115" s="18"/>
      <c r="K115" s="18"/>
      <c r="L115" s="18"/>
      <c r="M115" s="18"/>
      <c r="N115" s="18"/>
    </row>
    <row r="116" customFormat="false" ht="12.75" hidden="false" customHeight="true" outlineLevel="0" collapsed="false">
      <c r="A116" s="18"/>
      <c r="B116" s="18"/>
      <c r="C116" s="18"/>
      <c r="D116" s="18"/>
      <c r="E116" s="18"/>
      <c r="F116" s="18"/>
      <c r="G116" s="18"/>
      <c r="H116" s="18"/>
      <c r="I116" s="18"/>
      <c r="J116" s="18"/>
      <c r="K116" s="18"/>
      <c r="L116" s="18"/>
      <c r="M116" s="18"/>
      <c r="N116" s="18"/>
    </row>
    <row r="117" customFormat="false" ht="12.75" hidden="false" customHeight="true" outlineLevel="0" collapsed="false">
      <c r="A117" s="18"/>
      <c r="B117" s="18"/>
      <c r="C117" s="18"/>
      <c r="D117" s="18"/>
      <c r="E117" s="18"/>
      <c r="F117" s="18"/>
      <c r="G117" s="18"/>
      <c r="H117" s="18"/>
      <c r="I117" s="18"/>
      <c r="J117" s="18"/>
      <c r="K117" s="18"/>
      <c r="L117" s="18"/>
      <c r="M117" s="18"/>
      <c r="N117" s="18"/>
    </row>
    <row r="118" customFormat="false" ht="12.75" hidden="false" customHeight="true" outlineLevel="0" collapsed="false">
      <c r="A118" s="18"/>
      <c r="B118" s="18"/>
      <c r="C118" s="18"/>
      <c r="D118" s="18"/>
      <c r="E118" s="18"/>
      <c r="F118" s="18"/>
      <c r="G118" s="18"/>
      <c r="H118" s="18"/>
      <c r="I118" s="18"/>
      <c r="J118" s="18"/>
      <c r="K118" s="18"/>
      <c r="L118" s="18"/>
      <c r="M118" s="18"/>
      <c r="N118" s="18"/>
    </row>
    <row r="119" customFormat="false" ht="12.75" hidden="false" customHeight="true" outlineLevel="0" collapsed="false">
      <c r="A119" s="18"/>
      <c r="B119" s="18"/>
      <c r="C119" s="18"/>
      <c r="D119" s="18"/>
      <c r="E119" s="18"/>
      <c r="F119" s="18"/>
      <c r="G119" s="18"/>
      <c r="H119" s="18"/>
      <c r="I119" s="18"/>
      <c r="J119" s="18"/>
      <c r="K119" s="18"/>
      <c r="L119" s="18"/>
      <c r="M119" s="18"/>
      <c r="N119" s="18"/>
    </row>
    <row r="120" customFormat="false" ht="12.75" hidden="false" customHeight="true" outlineLevel="0" collapsed="false">
      <c r="A120" s="18"/>
      <c r="B120" s="18"/>
      <c r="C120" s="18"/>
      <c r="D120" s="18"/>
      <c r="E120" s="18"/>
      <c r="F120" s="18"/>
      <c r="G120" s="18"/>
      <c r="H120" s="18"/>
      <c r="I120" s="18"/>
      <c r="J120" s="18"/>
      <c r="K120" s="18"/>
      <c r="L120" s="18"/>
      <c r="M120" s="18"/>
      <c r="N120" s="18"/>
    </row>
    <row r="121" customFormat="false" ht="12.75" hidden="false" customHeight="true" outlineLevel="0" collapsed="false">
      <c r="A121" s="18"/>
      <c r="B121" s="18"/>
      <c r="C121" s="18"/>
      <c r="D121" s="18"/>
      <c r="E121" s="18"/>
      <c r="F121" s="18"/>
      <c r="G121" s="18"/>
      <c r="H121" s="18"/>
      <c r="I121" s="18"/>
      <c r="J121" s="18"/>
      <c r="K121" s="18"/>
      <c r="L121" s="18"/>
      <c r="M121" s="18"/>
      <c r="N121" s="18"/>
    </row>
    <row r="122" customFormat="false" ht="12.75" hidden="false" customHeight="true" outlineLevel="0" collapsed="false">
      <c r="A122" s="18"/>
      <c r="B122" s="18"/>
      <c r="C122" s="18"/>
      <c r="D122" s="18"/>
      <c r="E122" s="18"/>
      <c r="F122" s="18"/>
      <c r="G122" s="18"/>
      <c r="H122" s="18"/>
      <c r="I122" s="18"/>
      <c r="J122" s="18"/>
      <c r="K122" s="18"/>
      <c r="L122" s="18"/>
      <c r="M122" s="18"/>
      <c r="N122" s="18"/>
    </row>
    <row r="123" customFormat="false" ht="12.75" hidden="false" customHeight="true" outlineLevel="0" collapsed="false">
      <c r="A123" s="18"/>
      <c r="B123" s="18"/>
      <c r="C123" s="18"/>
      <c r="D123" s="18"/>
      <c r="E123" s="18"/>
      <c r="F123" s="18"/>
      <c r="G123" s="18"/>
      <c r="H123" s="18"/>
      <c r="I123" s="18"/>
      <c r="J123" s="18"/>
      <c r="K123" s="18"/>
      <c r="L123" s="18"/>
      <c r="M123" s="18"/>
      <c r="N123" s="18"/>
    </row>
    <row r="124" customFormat="false" ht="12.75" hidden="false" customHeight="true" outlineLevel="0" collapsed="false">
      <c r="A124" s="18"/>
      <c r="B124" s="18"/>
      <c r="C124" s="18"/>
      <c r="D124" s="18"/>
      <c r="E124" s="18"/>
      <c r="F124" s="18"/>
      <c r="G124" s="18"/>
      <c r="H124" s="18"/>
      <c r="I124" s="18"/>
      <c r="J124" s="18"/>
      <c r="K124" s="18"/>
      <c r="L124" s="18"/>
      <c r="M124" s="18"/>
      <c r="N124" s="18"/>
    </row>
    <row r="125" customFormat="false" ht="12.75" hidden="false" customHeight="true" outlineLevel="0" collapsed="false">
      <c r="A125" s="18"/>
      <c r="B125" s="18"/>
      <c r="C125" s="18"/>
      <c r="D125" s="18"/>
      <c r="E125" s="18"/>
      <c r="F125" s="18"/>
      <c r="G125" s="18"/>
      <c r="H125" s="18"/>
      <c r="I125" s="18"/>
      <c r="J125" s="18"/>
      <c r="K125" s="18"/>
      <c r="L125" s="18"/>
      <c r="M125" s="18"/>
      <c r="N125" s="18"/>
    </row>
    <row r="126" customFormat="false" ht="12.75" hidden="false" customHeight="true" outlineLevel="0" collapsed="false">
      <c r="A126" s="18"/>
      <c r="B126" s="18"/>
      <c r="C126" s="18"/>
      <c r="D126" s="18"/>
      <c r="E126" s="18"/>
      <c r="F126" s="18"/>
      <c r="G126" s="18"/>
      <c r="H126" s="18"/>
      <c r="I126" s="18"/>
      <c r="J126" s="18"/>
      <c r="K126" s="18"/>
      <c r="L126" s="18"/>
      <c r="M126" s="18"/>
      <c r="N126" s="18"/>
    </row>
    <row r="127" customFormat="false" ht="12.75" hidden="false" customHeight="true" outlineLevel="0" collapsed="false">
      <c r="A127" s="18"/>
      <c r="B127" s="18"/>
      <c r="C127" s="18"/>
      <c r="D127" s="18"/>
      <c r="E127" s="18"/>
      <c r="F127" s="18"/>
      <c r="G127" s="18"/>
      <c r="H127" s="18"/>
      <c r="I127" s="18"/>
      <c r="J127" s="18"/>
      <c r="K127" s="18"/>
      <c r="L127" s="18"/>
      <c r="M127" s="18"/>
      <c r="N127" s="18"/>
    </row>
    <row r="128" customFormat="false" ht="12.75" hidden="false" customHeight="true" outlineLevel="0" collapsed="false">
      <c r="A128" s="18"/>
      <c r="B128" s="18"/>
      <c r="C128" s="18"/>
      <c r="D128" s="18"/>
      <c r="E128" s="18"/>
      <c r="F128" s="18"/>
      <c r="G128" s="18"/>
      <c r="H128" s="18"/>
      <c r="I128" s="18"/>
      <c r="J128" s="18"/>
      <c r="K128" s="18"/>
      <c r="L128" s="18"/>
      <c r="M128" s="18"/>
      <c r="N128" s="18"/>
    </row>
    <row r="129" customFormat="false" ht="12.75" hidden="false" customHeight="true" outlineLevel="0" collapsed="false">
      <c r="A129" s="18"/>
      <c r="B129" s="18"/>
      <c r="C129" s="18"/>
      <c r="D129" s="18"/>
      <c r="E129" s="18"/>
      <c r="F129" s="18"/>
      <c r="G129" s="18"/>
      <c r="H129" s="18"/>
      <c r="I129" s="18"/>
      <c r="J129" s="18"/>
      <c r="K129" s="18"/>
      <c r="L129" s="18"/>
      <c r="M129" s="18"/>
      <c r="N129" s="18"/>
    </row>
    <row r="130" customFormat="false" ht="12.75" hidden="false" customHeight="true" outlineLevel="0" collapsed="false">
      <c r="A130" s="18"/>
      <c r="B130" s="18"/>
      <c r="C130" s="18"/>
      <c r="D130" s="18"/>
      <c r="E130" s="18"/>
      <c r="F130" s="18"/>
      <c r="G130" s="18"/>
      <c r="H130" s="18"/>
      <c r="I130" s="18"/>
      <c r="J130" s="18"/>
      <c r="K130" s="18"/>
      <c r="L130" s="18"/>
      <c r="M130" s="18"/>
      <c r="N130" s="18"/>
    </row>
    <row r="131" customFormat="false" ht="12.75" hidden="false" customHeight="true" outlineLevel="0" collapsed="false">
      <c r="A131" s="18"/>
      <c r="B131" s="18"/>
      <c r="C131" s="18"/>
      <c r="D131" s="18"/>
      <c r="E131" s="18"/>
      <c r="F131" s="18"/>
      <c r="G131" s="18"/>
      <c r="H131" s="18"/>
      <c r="I131" s="18"/>
      <c r="J131" s="18"/>
      <c r="K131" s="18"/>
      <c r="L131" s="18"/>
      <c r="M131" s="18"/>
      <c r="N131" s="18"/>
    </row>
    <row r="132" customFormat="false" ht="12.75" hidden="false" customHeight="true" outlineLevel="0" collapsed="false">
      <c r="A132" s="18"/>
      <c r="B132" s="18"/>
      <c r="C132" s="18"/>
      <c r="D132" s="18"/>
      <c r="E132" s="18"/>
      <c r="F132" s="18"/>
      <c r="G132" s="18"/>
      <c r="H132" s="18"/>
      <c r="I132" s="18"/>
      <c r="J132" s="18"/>
      <c r="K132" s="18"/>
      <c r="L132" s="18"/>
      <c r="M132" s="18"/>
      <c r="N132" s="18"/>
    </row>
    <row r="133" customFormat="false" ht="12.75" hidden="false" customHeight="true" outlineLevel="0" collapsed="false">
      <c r="A133" s="18"/>
      <c r="B133" s="18"/>
      <c r="C133" s="18"/>
      <c r="D133" s="18"/>
      <c r="E133" s="18"/>
      <c r="F133" s="18"/>
      <c r="G133" s="18"/>
      <c r="H133" s="18"/>
      <c r="I133" s="18"/>
      <c r="J133" s="18"/>
      <c r="K133" s="18"/>
      <c r="L133" s="18"/>
      <c r="M133" s="18"/>
      <c r="N133" s="18"/>
    </row>
    <row r="134" customFormat="false" ht="12.75" hidden="false" customHeight="true" outlineLevel="0" collapsed="false">
      <c r="A134" s="18"/>
      <c r="B134" s="18"/>
      <c r="C134" s="18"/>
      <c r="D134" s="18"/>
      <c r="E134" s="18"/>
      <c r="F134" s="18"/>
      <c r="G134" s="18"/>
      <c r="H134" s="18"/>
      <c r="I134" s="18"/>
      <c r="J134" s="18"/>
      <c r="K134" s="18"/>
      <c r="L134" s="18"/>
      <c r="M134" s="18"/>
      <c r="N134" s="18"/>
    </row>
    <row r="135" customFormat="false" ht="12.75" hidden="false" customHeight="true" outlineLevel="0" collapsed="false">
      <c r="A135" s="18"/>
      <c r="B135" s="18"/>
      <c r="C135" s="18"/>
      <c r="D135" s="18"/>
      <c r="E135" s="18"/>
      <c r="F135" s="18"/>
      <c r="G135" s="18"/>
      <c r="H135" s="18"/>
      <c r="I135" s="18"/>
      <c r="J135" s="18"/>
      <c r="K135" s="18"/>
      <c r="L135" s="18"/>
      <c r="M135" s="18"/>
      <c r="N135" s="18"/>
    </row>
    <row r="136" customFormat="false" ht="12.75" hidden="false" customHeight="true" outlineLevel="0" collapsed="false">
      <c r="A136" s="18"/>
      <c r="B136" s="18"/>
      <c r="C136" s="18"/>
      <c r="D136" s="18"/>
      <c r="E136" s="18"/>
      <c r="F136" s="18"/>
      <c r="G136" s="18"/>
      <c r="H136" s="18"/>
      <c r="I136" s="18"/>
      <c r="J136" s="18"/>
      <c r="K136" s="18"/>
      <c r="L136" s="18"/>
      <c r="M136" s="18"/>
      <c r="N136" s="18"/>
    </row>
    <row r="137" customFormat="false" ht="12.75" hidden="false" customHeight="true" outlineLevel="0" collapsed="false">
      <c r="A137" s="18"/>
      <c r="B137" s="18"/>
      <c r="C137" s="18"/>
      <c r="D137" s="18"/>
      <c r="E137" s="18"/>
      <c r="F137" s="18"/>
      <c r="G137" s="18"/>
      <c r="H137" s="18"/>
      <c r="I137" s="18"/>
      <c r="J137" s="18"/>
      <c r="K137" s="18"/>
      <c r="L137" s="18"/>
      <c r="M137" s="18"/>
      <c r="N137" s="18"/>
    </row>
    <row r="138" customFormat="false" ht="12.75" hidden="false" customHeight="true" outlineLevel="0" collapsed="false">
      <c r="A138" s="18"/>
      <c r="B138" s="18"/>
      <c r="C138" s="18"/>
      <c r="D138" s="18"/>
      <c r="E138" s="18"/>
      <c r="F138" s="18"/>
      <c r="G138" s="18"/>
      <c r="H138" s="18"/>
      <c r="I138" s="18"/>
      <c r="J138" s="18"/>
      <c r="K138" s="18"/>
      <c r="L138" s="18"/>
      <c r="M138" s="18"/>
      <c r="N138" s="18"/>
    </row>
    <row r="139" customFormat="false" ht="12.75" hidden="false" customHeight="true" outlineLevel="0" collapsed="false">
      <c r="A139" s="18"/>
      <c r="B139" s="18"/>
      <c r="C139" s="18"/>
      <c r="D139" s="18"/>
      <c r="E139" s="18"/>
      <c r="F139" s="18"/>
      <c r="G139" s="18"/>
      <c r="H139" s="18"/>
      <c r="I139" s="18"/>
      <c r="J139" s="18"/>
      <c r="K139" s="18"/>
      <c r="L139" s="18"/>
      <c r="M139" s="18"/>
      <c r="N139" s="18"/>
    </row>
    <row r="140" customFormat="false" ht="12.75" hidden="false" customHeight="true" outlineLevel="0" collapsed="false">
      <c r="A140" s="18"/>
      <c r="B140" s="18"/>
      <c r="C140" s="18"/>
      <c r="D140" s="18"/>
      <c r="E140" s="18"/>
      <c r="F140" s="18"/>
      <c r="G140" s="18"/>
      <c r="H140" s="18"/>
      <c r="I140" s="18"/>
      <c r="J140" s="18"/>
      <c r="K140" s="18"/>
      <c r="L140" s="18"/>
      <c r="M140" s="18"/>
      <c r="N140" s="18"/>
    </row>
    <row r="141" customFormat="false" ht="12.75" hidden="false" customHeight="true" outlineLevel="0" collapsed="false">
      <c r="A141" s="18"/>
      <c r="B141" s="18"/>
      <c r="C141" s="18"/>
      <c r="D141" s="18"/>
      <c r="E141" s="18"/>
      <c r="F141" s="18"/>
      <c r="G141" s="18"/>
      <c r="H141" s="18"/>
      <c r="I141" s="18"/>
      <c r="J141" s="18"/>
      <c r="K141" s="18"/>
      <c r="L141" s="18"/>
      <c r="M141" s="18"/>
      <c r="N141" s="18"/>
    </row>
    <row r="142" customFormat="false" ht="12.75" hidden="false" customHeight="true" outlineLevel="0" collapsed="false">
      <c r="A142" s="18"/>
      <c r="B142" s="18"/>
      <c r="C142" s="18"/>
      <c r="D142" s="18"/>
      <c r="E142" s="18"/>
      <c r="F142" s="18"/>
      <c r="G142" s="18"/>
      <c r="H142" s="18"/>
      <c r="I142" s="18"/>
      <c r="J142" s="18"/>
      <c r="K142" s="18"/>
      <c r="L142" s="18"/>
      <c r="M142" s="18"/>
      <c r="N142" s="18"/>
    </row>
    <row r="143" customFormat="false" ht="12.75" hidden="false" customHeight="true" outlineLevel="0" collapsed="false">
      <c r="A143" s="18"/>
      <c r="B143" s="18"/>
      <c r="C143" s="18"/>
      <c r="D143" s="18"/>
      <c r="E143" s="18"/>
      <c r="F143" s="18"/>
      <c r="G143" s="18"/>
      <c r="H143" s="18"/>
      <c r="I143" s="18"/>
      <c r="J143" s="18"/>
      <c r="K143" s="18"/>
      <c r="L143" s="18"/>
      <c r="M143" s="18"/>
      <c r="N143" s="18"/>
    </row>
    <row r="144" customFormat="false" ht="12.75" hidden="false" customHeight="true" outlineLevel="0" collapsed="false">
      <c r="A144" s="18"/>
      <c r="B144" s="18"/>
      <c r="C144" s="18"/>
      <c r="D144" s="18"/>
      <c r="E144" s="18"/>
      <c r="F144" s="18"/>
      <c r="G144" s="18"/>
      <c r="H144" s="18"/>
      <c r="I144" s="18"/>
      <c r="J144" s="18"/>
      <c r="K144" s="18"/>
      <c r="L144" s="18"/>
      <c r="M144" s="18"/>
      <c r="N144" s="18"/>
    </row>
  </sheetData>
  <mergeCells count="32">
    <mergeCell ref="A1:J1"/>
    <mergeCell ref="A3:K3"/>
    <mergeCell ref="A5:B5"/>
    <mergeCell ref="C5:F5"/>
    <mergeCell ref="A6:B6"/>
    <mergeCell ref="C6:F6"/>
    <mergeCell ref="A7:B7"/>
    <mergeCell ref="C7:F7"/>
    <mergeCell ref="A8:B8"/>
    <mergeCell ref="C8:F8"/>
    <mergeCell ref="A9:B9"/>
    <mergeCell ref="C9:I9"/>
    <mergeCell ref="A11:J11"/>
    <mergeCell ref="L11:R11"/>
    <mergeCell ref="T11:Z11"/>
    <mergeCell ref="D12:F12"/>
    <mergeCell ref="A31:J31"/>
    <mergeCell ref="L31:R31"/>
    <mergeCell ref="T31:Z31"/>
    <mergeCell ref="D32:F32"/>
    <mergeCell ref="A51:J51"/>
    <mergeCell ref="L51:R51"/>
    <mergeCell ref="T51:Z51"/>
    <mergeCell ref="D52:F52"/>
    <mergeCell ref="A70:J70"/>
    <mergeCell ref="L70:R70"/>
    <mergeCell ref="T70:Z70"/>
    <mergeCell ref="D71:F71"/>
    <mergeCell ref="A91:J91"/>
    <mergeCell ref="L91:R91"/>
    <mergeCell ref="T91:Z91"/>
    <mergeCell ref="D92:F92"/>
  </mergeCells>
  <conditionalFormatting sqref="D108:F108">
    <cfRule type="dataBar" priority="2">
      <dataBar showValue="1" minLength="10" maxLength="90">
        <cfvo type="num" val="0"/>
        <cfvo type="num" val="1"/>
        <color rgb="FF791F17"/>
      </dataBar>
      <extLst>
        <ext xmlns:x14="http://schemas.microsoft.com/office/spreadsheetml/2009/9/main" uri="{B025F937-C7B1-47D3-B67F-A62EFF666E3E}">
          <x14:id>{40BB2FD1-78DD-493D-BE85-9DA2BEAF2486}</x14:id>
        </ext>
      </extLst>
    </cfRule>
  </conditionalFormatting>
  <conditionalFormatting sqref="D107:F107">
    <cfRule type="dataBar" priority="3">
      <dataBar showValue="1" minLength="10" maxLength="90">
        <cfvo type="num" val="0"/>
        <cfvo type="num" val="1"/>
        <color rgb="FF791F17"/>
      </dataBar>
      <extLst>
        <ext xmlns:x14="http://schemas.microsoft.com/office/spreadsheetml/2009/9/main" uri="{B025F937-C7B1-47D3-B67F-A62EFF666E3E}">
          <x14:id>{BB6DCD3E-921B-48BA-8CAC-91736E2BCF58}</x14:id>
        </ext>
      </extLst>
    </cfRule>
  </conditionalFormatting>
  <conditionalFormatting sqref="D106:F106">
    <cfRule type="dataBar" priority="4">
      <dataBar showValue="1" minLength="10" maxLength="90">
        <cfvo type="num" val="0"/>
        <cfvo type="num" val="1"/>
        <color rgb="FF791F17"/>
      </dataBar>
      <extLst>
        <ext xmlns:x14="http://schemas.microsoft.com/office/spreadsheetml/2009/9/main" uri="{B025F937-C7B1-47D3-B67F-A62EFF666E3E}">
          <x14:id>{5A45AFF3-5C54-4018-83F6-DDE087A09AC2}</x14:id>
        </ext>
      </extLst>
    </cfRule>
  </conditionalFormatting>
  <conditionalFormatting sqref="D105:F105">
    <cfRule type="dataBar" priority="5">
      <dataBar showValue="1" minLength="10" maxLength="90">
        <cfvo type="num" val="0"/>
        <cfvo type="num" val="1"/>
        <color rgb="FF37793E"/>
      </dataBar>
      <extLst>
        <ext xmlns:x14="http://schemas.microsoft.com/office/spreadsheetml/2009/9/main" uri="{B025F937-C7B1-47D3-B67F-A62EFF666E3E}">
          <x14:id>{59A0AAF4-90B1-4F35-B98D-813A9CCA6428}</x14:id>
        </ext>
      </extLst>
    </cfRule>
  </conditionalFormatting>
  <conditionalFormatting sqref="D104:F104">
    <cfRule type="dataBar" priority="6">
      <dataBar showValue="1" minLength="10" maxLength="90">
        <cfvo type="num" val="0"/>
        <cfvo type="num" val="1"/>
        <color rgb="FF37793E"/>
      </dataBar>
      <extLst>
        <ext xmlns:x14="http://schemas.microsoft.com/office/spreadsheetml/2009/9/main" uri="{B025F937-C7B1-47D3-B67F-A62EFF666E3E}">
          <x14:id>{8317C287-EB21-476D-AE15-2CE0E02A9530}</x14:id>
        </ext>
      </extLst>
    </cfRule>
  </conditionalFormatting>
  <conditionalFormatting sqref="D103:F103">
    <cfRule type="dataBar" priority="7">
      <dataBar showValue="1" minLength="10" maxLength="90">
        <cfvo type="num" val="0"/>
        <cfvo type="num" val="1"/>
        <color rgb="FF37793E"/>
      </dataBar>
      <extLst>
        <ext xmlns:x14="http://schemas.microsoft.com/office/spreadsheetml/2009/9/main" uri="{B025F937-C7B1-47D3-B67F-A62EFF666E3E}">
          <x14:id>{C3AB2F19-AED5-49C3-B5AF-A33C1AC63352}</x14:id>
        </ext>
      </extLst>
    </cfRule>
  </conditionalFormatting>
  <conditionalFormatting sqref="D102:F102">
    <cfRule type="dataBar" priority="8">
      <dataBar showValue="1" minLength="10" maxLength="90">
        <cfvo type="num" val="0"/>
        <cfvo type="num" val="1"/>
        <color rgb="FFBDBF17"/>
      </dataBar>
      <extLst>
        <ext xmlns:x14="http://schemas.microsoft.com/office/spreadsheetml/2009/9/main" uri="{B025F937-C7B1-47D3-B67F-A62EFF666E3E}">
          <x14:id>{ECA161F3-D965-4FC4-AC7A-AD92639FF1E7}</x14:id>
        </ext>
      </extLst>
    </cfRule>
  </conditionalFormatting>
  <conditionalFormatting sqref="D101:F101">
    <cfRule type="dataBar" priority="9">
      <dataBar showValue="1" minLength="10" maxLength="90">
        <cfvo type="num" val="0"/>
        <cfvo type="num" val="1"/>
        <color rgb="FFBDBF17"/>
      </dataBar>
      <extLst>
        <ext xmlns:x14="http://schemas.microsoft.com/office/spreadsheetml/2009/9/main" uri="{B025F937-C7B1-47D3-B67F-A62EFF666E3E}">
          <x14:id>{145FBFAB-B95E-49EE-A98D-D0132145A690}</x14:id>
        </ext>
      </extLst>
    </cfRule>
  </conditionalFormatting>
  <conditionalFormatting sqref="D100:F100">
    <cfRule type="dataBar" priority="10">
      <dataBar showValue="1" minLength="10" maxLength="90">
        <cfvo type="num" val="0"/>
        <cfvo type="num" val="1"/>
        <color rgb="FFBDBF17"/>
      </dataBar>
      <extLst>
        <ext xmlns:x14="http://schemas.microsoft.com/office/spreadsheetml/2009/9/main" uri="{B025F937-C7B1-47D3-B67F-A62EFF666E3E}">
          <x14:id>{DA10C354-6612-45AC-B230-4D53602FEA33}</x14:id>
        </ext>
      </extLst>
    </cfRule>
  </conditionalFormatting>
  <conditionalFormatting sqref="D99:F99">
    <cfRule type="dataBar" priority="11">
      <dataBar showValue="1" minLength="10" maxLength="90">
        <cfvo type="num" val="0"/>
        <cfvo type="num" val="1"/>
        <color rgb="FFB75727"/>
      </dataBar>
      <extLst>
        <ext xmlns:x14="http://schemas.microsoft.com/office/spreadsheetml/2009/9/main" uri="{B025F937-C7B1-47D3-B67F-A62EFF666E3E}">
          <x14:id>{AE2015CC-55FD-4B75-8C4A-704682895CF5}</x14:id>
        </ext>
      </extLst>
    </cfRule>
  </conditionalFormatting>
  <conditionalFormatting sqref="D98:F98">
    <cfRule type="dataBar" priority="12">
      <dataBar showValue="1" minLength="10" maxLength="90">
        <cfvo type="num" val="0"/>
        <cfvo type="num" val="1"/>
        <color rgb="FFB75727"/>
      </dataBar>
      <extLst>
        <ext xmlns:x14="http://schemas.microsoft.com/office/spreadsheetml/2009/9/main" uri="{B025F937-C7B1-47D3-B67F-A62EFF666E3E}">
          <x14:id>{22CC007D-B236-494A-AF88-808EE5A01A36}</x14:id>
        </ext>
      </extLst>
    </cfRule>
  </conditionalFormatting>
  <conditionalFormatting sqref="D97:F97">
    <cfRule type="dataBar" priority="13">
      <dataBar showValue="1" minLength="10" maxLength="90">
        <cfvo type="num" val="0"/>
        <cfvo type="num" val="1"/>
        <color rgb="FFB75727"/>
      </dataBar>
      <extLst>
        <ext xmlns:x14="http://schemas.microsoft.com/office/spreadsheetml/2009/9/main" uri="{B025F937-C7B1-47D3-B67F-A62EFF666E3E}">
          <x14:id>{6D4C6F90-77C9-4670-BB34-471DA2907A4D}</x14:id>
        </ext>
      </extLst>
    </cfRule>
  </conditionalFormatting>
  <conditionalFormatting sqref="D96:F96">
    <cfRule type="dataBar" priority="14">
      <dataBar showValue="1" minLength="10" maxLength="90">
        <cfvo type="num" val="0"/>
        <cfvo type="num" val="1"/>
        <color rgb="FF3290C4"/>
      </dataBar>
      <extLst>
        <ext xmlns:x14="http://schemas.microsoft.com/office/spreadsheetml/2009/9/main" uri="{B025F937-C7B1-47D3-B67F-A62EFF666E3E}">
          <x14:id>{B2DA67B5-8E77-4F47-807B-626C49DC5EF8}</x14:id>
        </ext>
      </extLst>
    </cfRule>
  </conditionalFormatting>
  <conditionalFormatting sqref="D68:F68">
    <cfRule type="dataBar" priority="15">
      <dataBar showValue="1" minLength="10" maxLength="90">
        <cfvo type="num" val="0"/>
        <cfvo type="num" val="1"/>
        <color rgb="FF791F17"/>
      </dataBar>
      <extLst>
        <ext xmlns:x14="http://schemas.microsoft.com/office/spreadsheetml/2009/9/main" uri="{B025F937-C7B1-47D3-B67F-A62EFF666E3E}">
          <x14:id>{135ABD29-38CF-4CB8-AA33-7C38C7AAD0ED}</x14:id>
        </ext>
      </extLst>
    </cfRule>
  </conditionalFormatting>
  <conditionalFormatting sqref="D67:F67">
    <cfRule type="dataBar" priority="16">
      <dataBar showValue="1" minLength="10" maxLength="90">
        <cfvo type="num" val="0"/>
        <cfvo type="num" val="1"/>
        <color rgb="FF791F17"/>
      </dataBar>
      <extLst>
        <ext xmlns:x14="http://schemas.microsoft.com/office/spreadsheetml/2009/9/main" uri="{B025F937-C7B1-47D3-B67F-A62EFF666E3E}">
          <x14:id>{2CBD9B83-8179-4570-BC83-3043DBB1E0C0}</x14:id>
        </ext>
      </extLst>
    </cfRule>
  </conditionalFormatting>
  <conditionalFormatting sqref="D66:F66">
    <cfRule type="dataBar" priority="17">
      <dataBar showValue="1" minLength="10" maxLength="90">
        <cfvo type="num" val="0"/>
        <cfvo type="num" val="1"/>
        <color rgb="FF791F17"/>
      </dataBar>
      <extLst>
        <ext xmlns:x14="http://schemas.microsoft.com/office/spreadsheetml/2009/9/main" uri="{B025F937-C7B1-47D3-B67F-A62EFF666E3E}">
          <x14:id>{62594276-1FF7-4B6D-84BB-D79D77FF5648}</x14:id>
        </ext>
      </extLst>
    </cfRule>
  </conditionalFormatting>
  <conditionalFormatting sqref="D65:F65">
    <cfRule type="dataBar" priority="18">
      <dataBar showValue="1" minLength="10" maxLength="90">
        <cfvo type="num" val="0"/>
        <cfvo type="num" val="1"/>
        <color rgb="FF37793E"/>
      </dataBar>
      <extLst>
        <ext xmlns:x14="http://schemas.microsoft.com/office/spreadsheetml/2009/9/main" uri="{B025F937-C7B1-47D3-B67F-A62EFF666E3E}">
          <x14:id>{2ECD16E0-39E1-48A8-8FFA-AA30E2849BCF}</x14:id>
        </ext>
      </extLst>
    </cfRule>
  </conditionalFormatting>
  <conditionalFormatting sqref="D64:F64">
    <cfRule type="dataBar" priority="19">
      <dataBar showValue="1" minLength="10" maxLength="90">
        <cfvo type="num" val="0"/>
        <cfvo type="num" val="1"/>
        <color rgb="FF37793E"/>
      </dataBar>
      <extLst>
        <ext xmlns:x14="http://schemas.microsoft.com/office/spreadsheetml/2009/9/main" uri="{B025F937-C7B1-47D3-B67F-A62EFF666E3E}">
          <x14:id>{FBA19334-4697-4E89-86DF-C5FE31A58DA7}</x14:id>
        </ext>
      </extLst>
    </cfRule>
  </conditionalFormatting>
  <conditionalFormatting sqref="D63:F63">
    <cfRule type="dataBar" priority="20">
      <dataBar showValue="1" minLength="10" maxLength="90">
        <cfvo type="num" val="0"/>
        <cfvo type="num" val="1"/>
        <color rgb="FF37793E"/>
      </dataBar>
      <extLst>
        <ext xmlns:x14="http://schemas.microsoft.com/office/spreadsheetml/2009/9/main" uri="{B025F937-C7B1-47D3-B67F-A62EFF666E3E}">
          <x14:id>{6D2F9FFE-DE89-4BC9-AED5-121ED6509395}</x14:id>
        </ext>
      </extLst>
    </cfRule>
  </conditionalFormatting>
  <conditionalFormatting sqref="D87:F87">
    <cfRule type="dataBar" priority="21">
      <dataBar showValue="1" minLength="10" maxLength="90">
        <cfvo type="num" val="0"/>
        <cfvo type="num" val="1"/>
        <color rgb="FF791F17"/>
      </dataBar>
      <extLst>
        <ext xmlns:x14="http://schemas.microsoft.com/office/spreadsheetml/2009/9/main" uri="{B025F937-C7B1-47D3-B67F-A62EFF666E3E}">
          <x14:id>{125CDAA7-BB1E-439D-9E71-AEAAC510FF88}</x14:id>
        </ext>
      </extLst>
    </cfRule>
  </conditionalFormatting>
  <conditionalFormatting sqref="D86:F86">
    <cfRule type="dataBar" priority="22">
      <dataBar showValue="1" minLength="10" maxLength="90">
        <cfvo type="num" val="0"/>
        <cfvo type="num" val="1"/>
        <color rgb="FF791F17"/>
      </dataBar>
      <extLst>
        <ext xmlns:x14="http://schemas.microsoft.com/office/spreadsheetml/2009/9/main" uri="{B025F937-C7B1-47D3-B67F-A62EFF666E3E}">
          <x14:id>{1AEF62C5-AA38-4E6D-9723-6642E1C4D74F}</x14:id>
        </ext>
      </extLst>
    </cfRule>
  </conditionalFormatting>
  <conditionalFormatting sqref="D85:F85">
    <cfRule type="dataBar" priority="23">
      <dataBar showValue="1" minLength="10" maxLength="90">
        <cfvo type="num" val="0"/>
        <cfvo type="num" val="1"/>
        <color rgb="FF791F17"/>
      </dataBar>
      <extLst>
        <ext xmlns:x14="http://schemas.microsoft.com/office/spreadsheetml/2009/9/main" uri="{B025F937-C7B1-47D3-B67F-A62EFF666E3E}">
          <x14:id>{B27045D7-DBD4-43BB-814D-FAAE857F2020}</x14:id>
        </ext>
      </extLst>
    </cfRule>
  </conditionalFormatting>
  <conditionalFormatting sqref="D84:F84">
    <cfRule type="dataBar" priority="24">
      <dataBar showValue="1" minLength="10" maxLength="90">
        <cfvo type="num" val="0"/>
        <cfvo type="num" val="1"/>
        <color rgb="FF37793E"/>
      </dataBar>
      <extLst>
        <ext xmlns:x14="http://schemas.microsoft.com/office/spreadsheetml/2009/9/main" uri="{B025F937-C7B1-47D3-B67F-A62EFF666E3E}">
          <x14:id>{54CFEF74-49C3-4AF0-976D-403278E452D1}</x14:id>
        </ext>
      </extLst>
    </cfRule>
  </conditionalFormatting>
  <conditionalFormatting sqref="D83:F83">
    <cfRule type="dataBar" priority="25">
      <dataBar showValue="1" minLength="10" maxLength="90">
        <cfvo type="num" val="0"/>
        <cfvo type="num" val="1"/>
        <color rgb="FF37793E"/>
      </dataBar>
      <extLst>
        <ext xmlns:x14="http://schemas.microsoft.com/office/spreadsheetml/2009/9/main" uri="{B025F937-C7B1-47D3-B67F-A62EFF666E3E}">
          <x14:id>{46BF5A7D-891B-46AF-B924-7722317981DF}</x14:id>
        </ext>
      </extLst>
    </cfRule>
  </conditionalFormatting>
  <conditionalFormatting sqref="D82:F82">
    <cfRule type="dataBar" priority="26">
      <dataBar showValue="1" minLength="10" maxLength="90">
        <cfvo type="num" val="0"/>
        <cfvo type="num" val="1"/>
        <color rgb="FF37793E"/>
      </dataBar>
      <extLst>
        <ext xmlns:x14="http://schemas.microsoft.com/office/spreadsheetml/2009/9/main" uri="{B025F937-C7B1-47D3-B67F-A62EFF666E3E}">
          <x14:id>{419D2356-F037-4532-B26A-8220426FB0D7}</x14:id>
        </ext>
      </extLst>
    </cfRule>
  </conditionalFormatting>
  <conditionalFormatting sqref="D81:F81">
    <cfRule type="dataBar" priority="27">
      <dataBar showValue="1" minLength="10" maxLength="90">
        <cfvo type="num" val="0"/>
        <cfvo type="num" val="1"/>
        <color rgb="FFBDBF17"/>
      </dataBar>
      <extLst>
        <ext xmlns:x14="http://schemas.microsoft.com/office/spreadsheetml/2009/9/main" uri="{B025F937-C7B1-47D3-B67F-A62EFF666E3E}">
          <x14:id>{2FB021FD-30E2-4F2D-97BE-319D529F6CF0}</x14:id>
        </ext>
      </extLst>
    </cfRule>
  </conditionalFormatting>
  <conditionalFormatting sqref="D80:F80">
    <cfRule type="dataBar" priority="28">
      <dataBar showValue="1" minLength="10" maxLength="90">
        <cfvo type="num" val="0"/>
        <cfvo type="num" val="1"/>
        <color rgb="FFBDBF17"/>
      </dataBar>
      <extLst>
        <ext xmlns:x14="http://schemas.microsoft.com/office/spreadsheetml/2009/9/main" uri="{B025F937-C7B1-47D3-B67F-A62EFF666E3E}">
          <x14:id>{A75340AB-DF9D-4F36-92F3-5EFC37DAAF77}</x14:id>
        </ext>
      </extLst>
    </cfRule>
  </conditionalFormatting>
  <conditionalFormatting sqref="D79:F79">
    <cfRule type="dataBar" priority="29">
      <dataBar showValue="1" minLength="10" maxLength="90">
        <cfvo type="num" val="0"/>
        <cfvo type="num" val="1"/>
        <color rgb="FFBDBF17"/>
      </dataBar>
      <extLst>
        <ext xmlns:x14="http://schemas.microsoft.com/office/spreadsheetml/2009/9/main" uri="{B025F937-C7B1-47D3-B67F-A62EFF666E3E}">
          <x14:id>{A013A152-2F6C-4F5E-A9F0-7BD2698EB024}</x14:id>
        </ext>
      </extLst>
    </cfRule>
  </conditionalFormatting>
  <conditionalFormatting sqref="D78:F78">
    <cfRule type="dataBar" priority="30">
      <dataBar showValue="1" minLength="10" maxLength="90">
        <cfvo type="num" val="0"/>
        <cfvo type="num" val="1"/>
        <color rgb="FFB75727"/>
      </dataBar>
      <extLst>
        <ext xmlns:x14="http://schemas.microsoft.com/office/spreadsheetml/2009/9/main" uri="{B025F937-C7B1-47D3-B67F-A62EFF666E3E}">
          <x14:id>{EBCA76A5-5017-4BA2-B370-37407050A428}</x14:id>
        </ext>
      </extLst>
    </cfRule>
  </conditionalFormatting>
  <conditionalFormatting sqref="D77:F77">
    <cfRule type="dataBar" priority="31">
      <dataBar showValue="1" minLength="10" maxLength="90">
        <cfvo type="num" val="0"/>
        <cfvo type="num" val="1"/>
        <color rgb="FFB75727"/>
      </dataBar>
      <extLst>
        <ext xmlns:x14="http://schemas.microsoft.com/office/spreadsheetml/2009/9/main" uri="{B025F937-C7B1-47D3-B67F-A62EFF666E3E}">
          <x14:id>{1047E05C-D3DE-45BF-A0F0-28FF17EF40F7}</x14:id>
        </ext>
      </extLst>
    </cfRule>
  </conditionalFormatting>
  <conditionalFormatting sqref="D76:F76">
    <cfRule type="dataBar" priority="32">
      <dataBar showValue="1" minLength="10" maxLength="90">
        <cfvo type="num" val="0"/>
        <cfvo type="num" val="1"/>
        <color rgb="FFB75727"/>
      </dataBar>
      <extLst>
        <ext xmlns:x14="http://schemas.microsoft.com/office/spreadsheetml/2009/9/main" uri="{B025F937-C7B1-47D3-B67F-A62EFF666E3E}">
          <x14:id>{16A4A3A9-5070-4898-84C4-306F6CAFA11F}</x14:id>
        </ext>
      </extLst>
    </cfRule>
  </conditionalFormatting>
  <conditionalFormatting sqref="D75:F75">
    <cfRule type="dataBar" priority="33">
      <dataBar showValue="1" minLength="10" maxLength="90">
        <cfvo type="num" val="0"/>
        <cfvo type="num" val="1"/>
        <color rgb="FF3290C4"/>
      </dataBar>
      <extLst>
        <ext xmlns:x14="http://schemas.microsoft.com/office/spreadsheetml/2009/9/main" uri="{B025F937-C7B1-47D3-B67F-A62EFF666E3E}">
          <x14:id>{929AADBC-7B57-4F91-A5A9-A4FA704D1B46}</x14:id>
        </ext>
      </extLst>
    </cfRule>
  </conditionalFormatting>
  <conditionalFormatting sqref="D56:F56">
    <cfRule type="dataBar" priority="34">
      <dataBar showValue="1" minLength="10" maxLength="90">
        <cfvo type="num" val="0"/>
        <cfvo type="num" val="1"/>
        <color rgb="FF3290C4"/>
      </dataBar>
      <extLst>
        <ext xmlns:x14="http://schemas.microsoft.com/office/spreadsheetml/2009/9/main" uri="{B025F937-C7B1-47D3-B67F-A62EFF666E3E}">
          <x14:id>{26BE987A-9DC1-4380-8BB6-4721A6D0D620}</x14:id>
        </ext>
      </extLst>
    </cfRule>
  </conditionalFormatting>
  <conditionalFormatting sqref="D57:F59">
    <cfRule type="dataBar" priority="35">
      <dataBar showValue="1" minLength="10" maxLength="90">
        <cfvo type="num" val="0"/>
        <cfvo type="num" val="1"/>
        <color rgb="FFB75727"/>
      </dataBar>
      <extLst>
        <ext xmlns:x14="http://schemas.microsoft.com/office/spreadsheetml/2009/9/main" uri="{B025F937-C7B1-47D3-B67F-A62EFF666E3E}">
          <x14:id>{1C601782-9951-4952-8F94-7473EDBD12E5}</x14:id>
        </ext>
      </extLst>
    </cfRule>
  </conditionalFormatting>
  <conditionalFormatting sqref="D60:F62">
    <cfRule type="dataBar" priority="36">
      <dataBar showValue="1" minLength="10" maxLength="90">
        <cfvo type="num" val="0"/>
        <cfvo type="num" val="1"/>
        <color rgb="FFBDBF17"/>
      </dataBar>
      <extLst>
        <ext xmlns:x14="http://schemas.microsoft.com/office/spreadsheetml/2009/9/main" uri="{B025F937-C7B1-47D3-B67F-A62EFF666E3E}">
          <x14:id>{57BC61E4-E186-4298-8EE0-17987E3A689A}</x14:id>
        </ext>
      </extLst>
    </cfRule>
  </conditionalFormatting>
  <conditionalFormatting sqref="D54:F55">
    <cfRule type="dataBar" priority="37">
      <dataBar showValue="1" minLength="10" maxLength="90">
        <cfvo type="num" val="0"/>
        <cfvo type="num" val="1"/>
        <color rgb="FF3290C4"/>
      </dataBar>
      <extLst>
        <ext xmlns:x14="http://schemas.microsoft.com/office/spreadsheetml/2009/9/main" uri="{B025F937-C7B1-47D3-B67F-A62EFF666E3E}">
          <x14:id>{8450E9B7-89B0-4357-B6A0-57E72723968B}</x14:id>
        </ext>
      </extLst>
    </cfRule>
  </conditionalFormatting>
  <conditionalFormatting sqref="J96">
    <cfRule type="dataBar" priority="38">
      <dataBar showValue="1" minLength="10" maxLength="90">
        <cfvo type="num" val="0"/>
        <cfvo type="num" val="3"/>
        <color rgb="FFBDBF17"/>
      </dataBar>
      <extLst>
        <ext xmlns:x14="http://schemas.microsoft.com/office/spreadsheetml/2009/9/main" uri="{B025F937-C7B1-47D3-B67F-A62EFF666E3E}">
          <x14:id>{1D194137-8218-4695-BCC3-545554E2F4E2}</x14:id>
        </ext>
      </extLst>
    </cfRule>
  </conditionalFormatting>
  <conditionalFormatting sqref="J98">
    <cfRule type="dataBar" priority="39">
      <dataBar showValue="1" minLength="10" maxLength="90">
        <cfvo type="num" val="0"/>
        <cfvo type="num" val="3"/>
        <color rgb="FF791F17"/>
      </dataBar>
      <extLst>
        <ext xmlns:x14="http://schemas.microsoft.com/office/spreadsheetml/2009/9/main" uri="{B025F937-C7B1-47D3-B67F-A62EFF666E3E}">
          <x14:id>{1D99608B-25FD-4882-927D-94EB17631C2F}</x14:id>
        </ext>
      </extLst>
    </cfRule>
  </conditionalFormatting>
  <conditionalFormatting sqref="J97">
    <cfRule type="dataBar" priority="40">
      <dataBar showValue="1" minLength="10" maxLength="90">
        <cfvo type="num" val="0"/>
        <cfvo type="num" val="3"/>
        <color rgb="FF37793E"/>
      </dataBar>
      <extLst>
        <ext xmlns:x14="http://schemas.microsoft.com/office/spreadsheetml/2009/9/main" uri="{B025F937-C7B1-47D3-B67F-A62EFF666E3E}">
          <x14:id>{9EA03F42-5687-4C65-8F31-89BF6EB0432F}</x14:id>
        </ext>
      </extLst>
    </cfRule>
  </conditionalFormatting>
  <conditionalFormatting sqref="J95">
    <cfRule type="dataBar" priority="41">
      <dataBar showValue="1" minLength="10" maxLength="90">
        <cfvo type="num" val="0"/>
        <cfvo type="num" val="3"/>
        <color rgb="FFB75727"/>
      </dataBar>
      <extLst>
        <ext xmlns:x14="http://schemas.microsoft.com/office/spreadsheetml/2009/9/main" uri="{B025F937-C7B1-47D3-B67F-A62EFF666E3E}">
          <x14:id>{1653DA15-42F2-448B-AC29-8D88CEF3ACB6}</x14:id>
        </ext>
      </extLst>
    </cfRule>
  </conditionalFormatting>
  <conditionalFormatting sqref="J94">
    <cfRule type="dataBar" priority="42">
      <dataBar showValue="1" minLength="10" maxLength="90">
        <cfvo type="num" val="0"/>
        <cfvo type="num" val="3"/>
        <color rgb="FF3290C4"/>
      </dataBar>
      <extLst>
        <ext xmlns:x14="http://schemas.microsoft.com/office/spreadsheetml/2009/9/main" uri="{B025F937-C7B1-47D3-B67F-A62EFF666E3E}">
          <x14:id>{F500756B-F04E-47A6-85E1-B56A8033D78A}</x14:id>
        </ext>
      </extLst>
    </cfRule>
  </conditionalFormatting>
  <conditionalFormatting sqref="J75">
    <cfRule type="dataBar" priority="43">
      <dataBar showValue="1" minLength="10" maxLength="90">
        <cfvo type="num" val="0"/>
        <cfvo type="num" val="3"/>
        <color rgb="FFBDBF17"/>
      </dataBar>
      <extLst>
        <ext xmlns:x14="http://schemas.microsoft.com/office/spreadsheetml/2009/9/main" uri="{B025F937-C7B1-47D3-B67F-A62EFF666E3E}">
          <x14:id>{DA22DACA-197F-446B-AA56-7EA32043BABA}</x14:id>
        </ext>
      </extLst>
    </cfRule>
  </conditionalFormatting>
  <conditionalFormatting sqref="J77">
    <cfRule type="dataBar" priority="44">
      <dataBar showValue="1" minLength="10" maxLength="90">
        <cfvo type="num" val="0"/>
        <cfvo type="num" val="3"/>
        <color rgb="FF791F17"/>
      </dataBar>
      <extLst>
        <ext xmlns:x14="http://schemas.microsoft.com/office/spreadsheetml/2009/9/main" uri="{B025F937-C7B1-47D3-B67F-A62EFF666E3E}">
          <x14:id>{12FC15AA-4137-4E7D-98C3-C14011241EA0}</x14:id>
        </ext>
      </extLst>
    </cfRule>
  </conditionalFormatting>
  <conditionalFormatting sqref="J76">
    <cfRule type="dataBar" priority="45">
      <dataBar showValue="1" minLength="10" maxLength="90">
        <cfvo type="num" val="0"/>
        <cfvo type="num" val="3"/>
        <color rgb="FF37793E"/>
      </dataBar>
      <extLst>
        <ext xmlns:x14="http://schemas.microsoft.com/office/spreadsheetml/2009/9/main" uri="{B025F937-C7B1-47D3-B67F-A62EFF666E3E}">
          <x14:id>{C056E148-E81C-4912-93C3-A8AD8E88B2B0}</x14:id>
        </ext>
      </extLst>
    </cfRule>
  </conditionalFormatting>
  <conditionalFormatting sqref="J74">
    <cfRule type="dataBar" priority="46">
      <dataBar showValue="1" minLength="10" maxLength="90">
        <cfvo type="num" val="0"/>
        <cfvo type="num" val="3"/>
        <color rgb="FFB75727"/>
      </dataBar>
      <extLst>
        <ext xmlns:x14="http://schemas.microsoft.com/office/spreadsheetml/2009/9/main" uri="{B025F937-C7B1-47D3-B67F-A62EFF666E3E}">
          <x14:id>{9EADCAE8-A947-4BEE-8F6B-43A5A0DBB48E}</x14:id>
        </ext>
      </extLst>
    </cfRule>
  </conditionalFormatting>
  <conditionalFormatting sqref="J73">
    <cfRule type="dataBar" priority="47">
      <dataBar showValue="1" minLength="10" maxLength="90">
        <cfvo type="num" val="0"/>
        <cfvo type="num" val="3"/>
        <color rgb="FF3290C4"/>
      </dataBar>
      <extLst>
        <ext xmlns:x14="http://schemas.microsoft.com/office/spreadsheetml/2009/9/main" uri="{B025F937-C7B1-47D3-B67F-A62EFF666E3E}">
          <x14:id>{AB623543-65F3-4A5E-9F17-6571CBBFD66A}</x14:id>
        </ext>
      </extLst>
    </cfRule>
  </conditionalFormatting>
  <conditionalFormatting sqref="J56">
    <cfRule type="dataBar" priority="48">
      <dataBar showValue="1" minLength="10" maxLength="90">
        <cfvo type="num" val="0"/>
        <cfvo type="num" val="3"/>
        <color rgb="FFBDBF17"/>
      </dataBar>
      <extLst>
        <ext xmlns:x14="http://schemas.microsoft.com/office/spreadsheetml/2009/9/main" uri="{B025F937-C7B1-47D3-B67F-A62EFF666E3E}">
          <x14:id>{57F93C32-107D-4727-A836-EBA610F061EE}</x14:id>
        </ext>
      </extLst>
    </cfRule>
  </conditionalFormatting>
  <conditionalFormatting sqref="J58">
    <cfRule type="dataBar" priority="49">
      <dataBar showValue="1" minLength="10" maxLength="90">
        <cfvo type="num" val="0"/>
        <cfvo type="num" val="3"/>
        <color rgb="FF791F17"/>
      </dataBar>
      <extLst>
        <ext xmlns:x14="http://schemas.microsoft.com/office/spreadsheetml/2009/9/main" uri="{B025F937-C7B1-47D3-B67F-A62EFF666E3E}">
          <x14:id>{A73B514E-98C6-439A-A8BA-3C9E13833E46}</x14:id>
        </ext>
      </extLst>
    </cfRule>
  </conditionalFormatting>
  <conditionalFormatting sqref="J57">
    <cfRule type="dataBar" priority="50">
      <dataBar showValue="1" minLength="10" maxLength="90">
        <cfvo type="num" val="0"/>
        <cfvo type="num" val="3"/>
        <color rgb="FF37793E"/>
      </dataBar>
      <extLst>
        <ext xmlns:x14="http://schemas.microsoft.com/office/spreadsheetml/2009/9/main" uri="{B025F937-C7B1-47D3-B67F-A62EFF666E3E}">
          <x14:id>{449E336C-A74E-4B7F-9984-B7AFC7FD5C2D}</x14:id>
        </ext>
      </extLst>
    </cfRule>
  </conditionalFormatting>
  <conditionalFormatting sqref="J55">
    <cfRule type="dataBar" priority="51">
      <dataBar showValue="1" minLength="10" maxLength="90">
        <cfvo type="num" val="0"/>
        <cfvo type="num" val="3"/>
        <color rgb="FFB75727"/>
      </dataBar>
      <extLst>
        <ext xmlns:x14="http://schemas.microsoft.com/office/spreadsheetml/2009/9/main" uri="{B025F937-C7B1-47D3-B67F-A62EFF666E3E}">
          <x14:id>{681D3447-5DA9-4F20-B0B0-AD283DF9C07D}</x14:id>
        </ext>
      </extLst>
    </cfRule>
  </conditionalFormatting>
  <conditionalFormatting sqref="J54">
    <cfRule type="dataBar" priority="52">
      <dataBar showValue="1" minLength="10" maxLength="90">
        <cfvo type="num" val="0"/>
        <cfvo type="num" val="3"/>
        <color rgb="FF3290C4"/>
      </dataBar>
      <extLst>
        <ext xmlns:x14="http://schemas.microsoft.com/office/spreadsheetml/2009/9/main" uri="{B025F937-C7B1-47D3-B67F-A62EFF666E3E}">
          <x14:id>{3C3F69CB-FA67-43E8-84E6-4D76E46D1A87}</x14:id>
        </ext>
      </extLst>
    </cfRule>
  </conditionalFormatting>
  <conditionalFormatting sqref="D94:F95">
    <cfRule type="dataBar" priority="53">
      <dataBar showValue="1" minLength="10" maxLength="90">
        <cfvo type="num" val="0"/>
        <cfvo type="num" val="1"/>
        <color rgb="FF3290C4"/>
      </dataBar>
      <extLst>
        <ext xmlns:x14="http://schemas.microsoft.com/office/spreadsheetml/2009/9/main" uri="{B025F937-C7B1-47D3-B67F-A62EFF666E3E}">
          <x14:id>{254F7850-E1FD-4681-8764-14ABCDD6BF46}</x14:id>
        </ext>
      </extLst>
    </cfRule>
  </conditionalFormatting>
  <conditionalFormatting sqref="D73:F74">
    <cfRule type="dataBar" priority="54">
      <dataBar showValue="1" minLength="10" maxLength="90">
        <cfvo type="num" val="0"/>
        <cfvo type="num" val="1"/>
        <color rgb="FF3290C4"/>
      </dataBar>
      <extLst>
        <ext xmlns:x14="http://schemas.microsoft.com/office/spreadsheetml/2009/9/main" uri="{B025F937-C7B1-47D3-B67F-A62EFF666E3E}">
          <x14:id>{888CFFDB-A826-4C8B-8EFE-5ED7AD2DA08A}</x14:id>
        </ext>
      </extLst>
    </cfRule>
  </conditionalFormatting>
  <conditionalFormatting sqref="D37:F39">
    <cfRule type="dataBar" priority="55">
      <dataBar showValue="1" minLength="10" maxLength="90">
        <cfvo type="num" val="0"/>
        <cfvo type="num" val="1"/>
        <color rgb="FFB75727"/>
      </dataBar>
      <extLst>
        <ext xmlns:x14="http://schemas.microsoft.com/office/spreadsheetml/2009/9/main" uri="{B025F937-C7B1-47D3-B67F-A62EFF666E3E}">
          <x14:id>{955854DA-D2FF-48C4-8A6D-7BFA20B0D3D0}</x14:id>
        </ext>
      </extLst>
    </cfRule>
  </conditionalFormatting>
  <conditionalFormatting sqref="D40:F42">
    <cfRule type="dataBar" priority="56">
      <dataBar showValue="1" minLength="10" maxLength="90">
        <cfvo type="num" val="0"/>
        <cfvo type="num" val="1"/>
        <color rgb="FFBDBF17"/>
      </dataBar>
      <extLst>
        <ext xmlns:x14="http://schemas.microsoft.com/office/spreadsheetml/2009/9/main" uri="{B025F937-C7B1-47D3-B67F-A62EFF666E3E}">
          <x14:id>{3BAF46F4-303D-446F-AFFC-832890604DE0}</x14:id>
        </ext>
      </extLst>
    </cfRule>
  </conditionalFormatting>
  <conditionalFormatting sqref="D43:F45">
    <cfRule type="dataBar" priority="57">
      <dataBar showValue="1" minLength="10" maxLength="90">
        <cfvo type="num" val="0"/>
        <cfvo type="num" val="1"/>
        <color rgb="FF37793E"/>
      </dataBar>
      <extLst>
        <ext xmlns:x14="http://schemas.microsoft.com/office/spreadsheetml/2009/9/main" uri="{B025F937-C7B1-47D3-B67F-A62EFF666E3E}">
          <x14:id>{4DC31278-30E9-47FC-8DDD-9AF8DF29C582}</x14:id>
        </ext>
      </extLst>
    </cfRule>
  </conditionalFormatting>
  <conditionalFormatting sqref="D46:F48">
    <cfRule type="dataBar" priority="58">
      <dataBar showValue="1" minLength="10" maxLength="90">
        <cfvo type="num" val="0"/>
        <cfvo type="num" val="1"/>
        <color rgb="FF791F17"/>
      </dataBar>
      <extLst>
        <ext xmlns:x14="http://schemas.microsoft.com/office/spreadsheetml/2009/9/main" uri="{B025F937-C7B1-47D3-B67F-A62EFF666E3E}">
          <x14:id>{21773281-2126-4A36-AE62-5B7F33E82811}</x14:id>
        </ext>
      </extLst>
    </cfRule>
  </conditionalFormatting>
  <conditionalFormatting sqref="J36">
    <cfRule type="dataBar" priority="59">
      <dataBar showValue="1" minLength="10" maxLength="90">
        <cfvo type="num" val="0"/>
        <cfvo type="num" val="3"/>
        <color rgb="FFBDBF17"/>
      </dataBar>
      <extLst>
        <ext xmlns:x14="http://schemas.microsoft.com/office/spreadsheetml/2009/9/main" uri="{B025F937-C7B1-47D3-B67F-A62EFF666E3E}">
          <x14:id>{93B32240-CEE9-49DF-99A5-8E87FE6B547B}</x14:id>
        </ext>
      </extLst>
    </cfRule>
  </conditionalFormatting>
  <conditionalFormatting sqref="J38">
    <cfRule type="dataBar" priority="60">
      <dataBar showValue="1" minLength="10" maxLength="90">
        <cfvo type="num" val="0"/>
        <cfvo type="num" val="3"/>
        <color rgb="FF791F17"/>
      </dataBar>
      <extLst>
        <ext xmlns:x14="http://schemas.microsoft.com/office/spreadsheetml/2009/9/main" uri="{B025F937-C7B1-47D3-B67F-A62EFF666E3E}">
          <x14:id>{5B94B461-F220-438F-8266-FB2E5D8CE03D}</x14:id>
        </ext>
      </extLst>
    </cfRule>
  </conditionalFormatting>
  <conditionalFormatting sqref="J37">
    <cfRule type="dataBar" priority="61">
      <dataBar showValue="1" minLength="10" maxLength="90">
        <cfvo type="num" val="0"/>
        <cfvo type="num" val="3"/>
        <color rgb="FF37793E"/>
      </dataBar>
      <extLst>
        <ext xmlns:x14="http://schemas.microsoft.com/office/spreadsheetml/2009/9/main" uri="{B025F937-C7B1-47D3-B67F-A62EFF666E3E}">
          <x14:id>{8AC648E6-F52E-4D2D-823E-5EC7ED8AAEA6}</x14:id>
        </ext>
      </extLst>
    </cfRule>
  </conditionalFormatting>
  <conditionalFormatting sqref="J35">
    <cfRule type="dataBar" priority="62">
      <dataBar showValue="1" minLength="10" maxLength="90">
        <cfvo type="num" val="0"/>
        <cfvo type="num" val="3"/>
        <color rgb="FFB75727"/>
      </dataBar>
      <extLst>
        <ext xmlns:x14="http://schemas.microsoft.com/office/spreadsheetml/2009/9/main" uri="{B025F937-C7B1-47D3-B67F-A62EFF666E3E}">
          <x14:id>{D4C73642-6C18-428B-A14B-9F41CCEFEBF0}</x14:id>
        </ext>
      </extLst>
    </cfRule>
  </conditionalFormatting>
  <conditionalFormatting sqref="J34">
    <cfRule type="dataBar" priority="63">
      <dataBar showValue="1" minLength="10" maxLength="90">
        <cfvo type="num" val="0"/>
        <cfvo type="num" val="3"/>
        <color rgb="FF3290C4"/>
      </dataBar>
      <extLst>
        <ext xmlns:x14="http://schemas.microsoft.com/office/spreadsheetml/2009/9/main" uri="{B025F937-C7B1-47D3-B67F-A62EFF666E3E}">
          <x14:id>{FB3A933E-E3EB-4EFC-84A6-98D04A21B3A2}</x14:id>
        </ext>
      </extLst>
    </cfRule>
  </conditionalFormatting>
  <conditionalFormatting sqref="D36:F36">
    <cfRule type="dataBar" priority="64">
      <dataBar showValue="1" minLength="10" maxLength="90">
        <cfvo type="num" val="0"/>
        <cfvo type="num" val="1"/>
        <color rgb="FF3290C4"/>
      </dataBar>
      <extLst>
        <ext xmlns:x14="http://schemas.microsoft.com/office/spreadsheetml/2009/9/main" uri="{B025F937-C7B1-47D3-B67F-A62EFF666E3E}">
          <x14:id>{26312CA9-7D6E-474B-A519-B83AF7306710}</x14:id>
        </ext>
      </extLst>
    </cfRule>
  </conditionalFormatting>
  <conditionalFormatting sqref="D34:F35">
    <cfRule type="dataBar" priority="65">
      <dataBar showValue="1" minLength="10" maxLength="90">
        <cfvo type="num" val="0"/>
        <cfvo type="num" val="1"/>
        <color rgb="FF3290C4"/>
      </dataBar>
      <extLst>
        <ext xmlns:x14="http://schemas.microsoft.com/office/spreadsheetml/2009/9/main" uri="{B025F937-C7B1-47D3-B67F-A62EFF666E3E}">
          <x14:id>{31B683CB-4335-4241-AD6E-B7DF90535BA4}</x14:id>
        </ext>
      </extLst>
    </cfRule>
  </conditionalFormatting>
  <conditionalFormatting sqref="D26:F28">
    <cfRule type="dataBar" priority="66">
      <dataBar showValue="1" minLength="10" maxLength="90">
        <cfvo type="num" val="0"/>
        <cfvo type="num" val="1"/>
        <color rgb="FF791F17"/>
      </dataBar>
      <extLst>
        <ext xmlns:x14="http://schemas.microsoft.com/office/spreadsheetml/2009/9/main" uri="{B025F937-C7B1-47D3-B67F-A62EFF666E3E}">
          <x14:id>{3BA27DE3-7927-4B60-9ECD-F477455BDE2E}</x14:id>
        </ext>
      </extLst>
    </cfRule>
  </conditionalFormatting>
  <conditionalFormatting sqref="D23:F25">
    <cfRule type="dataBar" priority="67">
      <dataBar showValue="1" minLength="10" maxLength="90">
        <cfvo type="num" val="0"/>
        <cfvo type="num" val="1"/>
        <color rgb="FF37793E"/>
      </dataBar>
      <extLst>
        <ext xmlns:x14="http://schemas.microsoft.com/office/spreadsheetml/2009/9/main" uri="{B025F937-C7B1-47D3-B67F-A62EFF666E3E}">
          <x14:id>{E0E9FA42-B591-4278-90F0-841DF2ECC4BD}</x14:id>
        </ext>
      </extLst>
    </cfRule>
  </conditionalFormatting>
  <conditionalFormatting sqref="D20:F22">
    <cfRule type="dataBar" priority="68">
      <dataBar showValue="1" minLength="10" maxLength="90">
        <cfvo type="num" val="0"/>
        <cfvo type="num" val="1"/>
        <color rgb="FFFFC221"/>
      </dataBar>
      <extLst>
        <ext xmlns:x14="http://schemas.microsoft.com/office/spreadsheetml/2009/9/main" uri="{B025F937-C7B1-47D3-B67F-A62EFF666E3E}">
          <x14:id>{97B8BAC8-DD7B-4BA0-B96F-18D26EAC3BD8}</x14:id>
        </ext>
      </extLst>
    </cfRule>
  </conditionalFormatting>
  <conditionalFormatting sqref="D17:F19">
    <cfRule type="dataBar" priority="69">
      <dataBar showValue="1" minLength="10" maxLength="90">
        <cfvo type="num" val="0"/>
        <cfvo type="num" val="1"/>
        <color rgb="FFB75727"/>
      </dataBar>
      <extLst>
        <ext xmlns:x14="http://schemas.microsoft.com/office/spreadsheetml/2009/9/main" uri="{B025F937-C7B1-47D3-B67F-A62EFF666E3E}">
          <x14:id>{8A5FED97-2B9D-4CA0-A232-2A8372D021D6}</x14:id>
        </ext>
      </extLst>
    </cfRule>
  </conditionalFormatting>
  <conditionalFormatting sqref="J16">
    <cfRule type="dataBar" priority="70">
      <dataBar showValue="1" minLength="10" maxLength="90">
        <cfvo type="num" val="0"/>
        <cfvo type="num" val="3"/>
        <color rgb="FFFFC221"/>
      </dataBar>
      <extLst>
        <ext xmlns:x14="http://schemas.microsoft.com/office/spreadsheetml/2009/9/main" uri="{B025F937-C7B1-47D3-B67F-A62EFF666E3E}">
          <x14:id>{E6F6871D-A278-463E-BE6D-FFCEFCE142B2}</x14:id>
        </ext>
      </extLst>
    </cfRule>
  </conditionalFormatting>
  <conditionalFormatting sqref="J18">
    <cfRule type="dataBar" priority="71">
      <dataBar showValue="1" minLength="10" maxLength="90">
        <cfvo type="num" val="0"/>
        <cfvo type="num" val="3"/>
        <color rgb="FF791F17"/>
      </dataBar>
      <extLst>
        <ext xmlns:x14="http://schemas.microsoft.com/office/spreadsheetml/2009/9/main" uri="{B025F937-C7B1-47D3-B67F-A62EFF666E3E}">
          <x14:id>{46FF2870-C5CA-4441-BF19-C718A75390F7}</x14:id>
        </ext>
      </extLst>
    </cfRule>
  </conditionalFormatting>
  <conditionalFormatting sqref="J17">
    <cfRule type="dataBar" priority="72">
      <dataBar showValue="1" minLength="10" maxLength="90">
        <cfvo type="num" val="0"/>
        <cfvo type="num" val="3"/>
        <color rgb="FF37793E"/>
      </dataBar>
      <extLst>
        <ext xmlns:x14="http://schemas.microsoft.com/office/spreadsheetml/2009/9/main" uri="{B025F937-C7B1-47D3-B67F-A62EFF666E3E}">
          <x14:id>{F6576D42-67CA-43D5-A03E-B1772E71994E}</x14:id>
        </ext>
      </extLst>
    </cfRule>
  </conditionalFormatting>
  <conditionalFormatting sqref="J15">
    <cfRule type="dataBar" priority="73">
      <dataBar showValue="1" minLength="10" maxLength="90">
        <cfvo type="num" val="0"/>
        <cfvo type="num" val="3"/>
        <color rgb="FFB75727"/>
      </dataBar>
      <extLst>
        <ext xmlns:x14="http://schemas.microsoft.com/office/spreadsheetml/2009/9/main" uri="{B025F937-C7B1-47D3-B67F-A62EFF666E3E}">
          <x14:id>{70D32796-32D5-4B84-B66B-FAAC1EC74B87}</x14:id>
        </ext>
      </extLst>
    </cfRule>
  </conditionalFormatting>
  <conditionalFormatting sqref="J14">
    <cfRule type="dataBar" priority="74">
      <dataBar showValue="1" minLength="10" maxLength="90">
        <cfvo type="num" val="0"/>
        <cfvo type="num" val="3"/>
        <color rgb="FF3290C4"/>
      </dataBar>
      <extLst>
        <ext xmlns:x14="http://schemas.microsoft.com/office/spreadsheetml/2009/9/main" uri="{B025F937-C7B1-47D3-B67F-A62EFF666E3E}">
          <x14:id>{76E4419D-CA7E-4DB0-95A9-705083CD12E4}</x14:id>
        </ext>
      </extLst>
    </cfRule>
  </conditionalFormatting>
  <conditionalFormatting sqref="D14:F16">
    <cfRule type="dataBar" priority="75">
      <dataBar showValue="1" minLength="10" maxLength="90">
        <cfvo type="num" val="0"/>
        <cfvo type="num" val="1"/>
        <color rgb="FF3290C4"/>
      </dataBar>
      <extLst>
        <ext xmlns:x14="http://schemas.microsoft.com/office/spreadsheetml/2009/9/main" uri="{B025F937-C7B1-47D3-B67F-A62EFF666E3E}">
          <x14:id>{89A43EA7-BEE5-4B30-916A-1AEE73D91934}</x14:id>
        </ext>
      </extLst>
    </cfRule>
  </conditionalFormatting>
  <printOptions headings="false" gridLines="false" gridLinesSet="true" horizontalCentered="false" verticalCentered="false"/>
  <pageMargins left="0.75" right="0.75" top="1" bottom="1" header="0.511811023622047" footer="0.511811023622047"/>
  <pageSetup paperSize="9" scale="10" fitToWidth="1" fitToHeight="1" pageOrder="downThenOver" orientation="portrait" blackAndWhite="false" draft="false" cellComments="non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dataBar" id="{40BB2FD1-78DD-493D-BE85-9DA2BEAF2486}">
            <x14:dataBar minLength="10" maxLength="90" axisPosition="none" gradient="true">
              <x14:cfvo type="num">
                <xm:f>0</xm:f>
              </x14:cfvo>
              <x14:cfvo type="num">
                <xm:f>1</xm:f>
              </x14:cfvo>
              <x14:negativeFillColor rgb="FFFFFFFF"/>
              <x14:axisColor rgb="FF000000"/>
            </x14:dataBar>
          </x14:cfRule>
          <xm:sqref>D108:F108</xm:sqref>
        </x14:conditionalFormatting>
        <x14:conditionalFormatting xmlns:xm="http://schemas.microsoft.com/office/excel/2006/main">
          <x14:cfRule type="dataBar" id="{BB6DCD3E-921B-48BA-8CAC-91736E2BCF58}">
            <x14:dataBar minLength="10" maxLength="90" axisPosition="none" gradient="true">
              <x14:cfvo type="num">
                <xm:f>0</xm:f>
              </x14:cfvo>
              <x14:cfvo type="num">
                <xm:f>1</xm:f>
              </x14:cfvo>
              <x14:negativeFillColor rgb="FFFFFFFF"/>
              <x14:axisColor rgb="FF000000"/>
            </x14:dataBar>
          </x14:cfRule>
          <xm:sqref>D107:F107</xm:sqref>
        </x14:conditionalFormatting>
        <x14:conditionalFormatting xmlns:xm="http://schemas.microsoft.com/office/excel/2006/main">
          <x14:cfRule type="dataBar" id="{5A45AFF3-5C54-4018-83F6-DDE087A09AC2}">
            <x14:dataBar minLength="10" maxLength="90" axisPosition="none" gradient="true">
              <x14:cfvo type="num">
                <xm:f>0</xm:f>
              </x14:cfvo>
              <x14:cfvo type="num">
                <xm:f>1</xm:f>
              </x14:cfvo>
              <x14:negativeFillColor rgb="FFFFFFFF"/>
              <x14:axisColor rgb="FF000000"/>
            </x14:dataBar>
          </x14:cfRule>
          <xm:sqref>D106:F106</xm:sqref>
        </x14:conditionalFormatting>
        <x14:conditionalFormatting xmlns:xm="http://schemas.microsoft.com/office/excel/2006/main">
          <x14:cfRule type="dataBar" id="{59A0AAF4-90B1-4F35-B98D-813A9CCA6428}">
            <x14:dataBar minLength="10" maxLength="90" axisPosition="none" gradient="true">
              <x14:cfvo type="num">
                <xm:f>0</xm:f>
              </x14:cfvo>
              <x14:cfvo type="num">
                <xm:f>1</xm:f>
              </x14:cfvo>
              <x14:negativeFillColor rgb="FFFFFFFF"/>
              <x14:axisColor rgb="FF000000"/>
            </x14:dataBar>
          </x14:cfRule>
          <xm:sqref>D105:F105</xm:sqref>
        </x14:conditionalFormatting>
        <x14:conditionalFormatting xmlns:xm="http://schemas.microsoft.com/office/excel/2006/main">
          <x14:cfRule type="dataBar" id="{8317C287-EB21-476D-AE15-2CE0E02A9530}">
            <x14:dataBar minLength="10" maxLength="90" axisPosition="none" gradient="true">
              <x14:cfvo type="num">
                <xm:f>0</xm:f>
              </x14:cfvo>
              <x14:cfvo type="num">
                <xm:f>1</xm:f>
              </x14:cfvo>
              <x14:negativeFillColor rgb="FFFFFFFF"/>
              <x14:axisColor rgb="FF000000"/>
            </x14:dataBar>
          </x14:cfRule>
          <xm:sqref>D104:F104</xm:sqref>
        </x14:conditionalFormatting>
        <x14:conditionalFormatting xmlns:xm="http://schemas.microsoft.com/office/excel/2006/main">
          <x14:cfRule type="dataBar" id="{C3AB2F19-AED5-49C3-B5AF-A33C1AC63352}">
            <x14:dataBar minLength="10" maxLength="90" axisPosition="none" gradient="true">
              <x14:cfvo type="num">
                <xm:f>0</xm:f>
              </x14:cfvo>
              <x14:cfvo type="num">
                <xm:f>1</xm:f>
              </x14:cfvo>
              <x14:negativeFillColor rgb="FFFFFFFF"/>
              <x14:axisColor rgb="FF000000"/>
            </x14:dataBar>
          </x14:cfRule>
          <xm:sqref>D103:F103</xm:sqref>
        </x14:conditionalFormatting>
        <x14:conditionalFormatting xmlns:xm="http://schemas.microsoft.com/office/excel/2006/main">
          <x14:cfRule type="dataBar" id="{ECA161F3-D965-4FC4-AC7A-AD92639FF1E7}">
            <x14:dataBar minLength="10" maxLength="90" axisPosition="none" gradient="true">
              <x14:cfvo type="num">
                <xm:f>0</xm:f>
              </x14:cfvo>
              <x14:cfvo type="num">
                <xm:f>1</xm:f>
              </x14:cfvo>
              <x14:negativeFillColor rgb="FFFFFFFF"/>
              <x14:axisColor rgb="FF000000"/>
            </x14:dataBar>
          </x14:cfRule>
          <xm:sqref>D102:F102</xm:sqref>
        </x14:conditionalFormatting>
        <x14:conditionalFormatting xmlns:xm="http://schemas.microsoft.com/office/excel/2006/main">
          <x14:cfRule type="dataBar" id="{145FBFAB-B95E-49EE-A98D-D0132145A690}">
            <x14:dataBar minLength="10" maxLength="90" axisPosition="none" gradient="true">
              <x14:cfvo type="num">
                <xm:f>0</xm:f>
              </x14:cfvo>
              <x14:cfvo type="num">
                <xm:f>1</xm:f>
              </x14:cfvo>
              <x14:negativeFillColor rgb="FFFFFFFF"/>
              <x14:axisColor rgb="FF000000"/>
            </x14:dataBar>
          </x14:cfRule>
          <xm:sqref>D101:F101</xm:sqref>
        </x14:conditionalFormatting>
        <x14:conditionalFormatting xmlns:xm="http://schemas.microsoft.com/office/excel/2006/main">
          <x14:cfRule type="dataBar" id="{DA10C354-6612-45AC-B230-4D53602FEA33}">
            <x14:dataBar minLength="10" maxLength="90" axisPosition="none" gradient="true">
              <x14:cfvo type="num">
                <xm:f>0</xm:f>
              </x14:cfvo>
              <x14:cfvo type="num">
                <xm:f>1</xm:f>
              </x14:cfvo>
              <x14:negativeFillColor rgb="FFFFFFFF"/>
              <x14:axisColor rgb="FF000000"/>
            </x14:dataBar>
          </x14:cfRule>
          <xm:sqref>D100:F100</xm:sqref>
        </x14:conditionalFormatting>
        <x14:conditionalFormatting xmlns:xm="http://schemas.microsoft.com/office/excel/2006/main">
          <x14:cfRule type="dataBar" id="{AE2015CC-55FD-4B75-8C4A-704682895CF5}">
            <x14:dataBar minLength="10" maxLength="90" axisPosition="none" gradient="true">
              <x14:cfvo type="num">
                <xm:f>0</xm:f>
              </x14:cfvo>
              <x14:cfvo type="num">
                <xm:f>1</xm:f>
              </x14:cfvo>
              <x14:negativeFillColor rgb="FFFFFFFF"/>
              <x14:axisColor rgb="FF000000"/>
            </x14:dataBar>
          </x14:cfRule>
          <xm:sqref>D99:F99</xm:sqref>
        </x14:conditionalFormatting>
        <x14:conditionalFormatting xmlns:xm="http://schemas.microsoft.com/office/excel/2006/main">
          <x14:cfRule type="dataBar" id="{22CC007D-B236-494A-AF88-808EE5A01A36}">
            <x14:dataBar minLength="10" maxLength="90" axisPosition="none" gradient="true">
              <x14:cfvo type="num">
                <xm:f>0</xm:f>
              </x14:cfvo>
              <x14:cfvo type="num">
                <xm:f>1</xm:f>
              </x14:cfvo>
              <x14:negativeFillColor rgb="FFFFFFFF"/>
              <x14:axisColor rgb="FF000000"/>
            </x14:dataBar>
          </x14:cfRule>
          <xm:sqref>D98:F98</xm:sqref>
        </x14:conditionalFormatting>
        <x14:conditionalFormatting xmlns:xm="http://schemas.microsoft.com/office/excel/2006/main">
          <x14:cfRule type="dataBar" id="{6D4C6F90-77C9-4670-BB34-471DA2907A4D}">
            <x14:dataBar minLength="10" maxLength="90" axisPosition="none" gradient="true">
              <x14:cfvo type="num">
                <xm:f>0</xm:f>
              </x14:cfvo>
              <x14:cfvo type="num">
                <xm:f>1</xm:f>
              </x14:cfvo>
              <x14:negativeFillColor rgb="FFFFFFFF"/>
              <x14:axisColor rgb="FF000000"/>
            </x14:dataBar>
          </x14:cfRule>
          <xm:sqref>D97:F97</xm:sqref>
        </x14:conditionalFormatting>
        <x14:conditionalFormatting xmlns:xm="http://schemas.microsoft.com/office/excel/2006/main">
          <x14:cfRule type="dataBar" id="{B2DA67B5-8E77-4F47-807B-626C49DC5EF8}">
            <x14:dataBar minLength="10" maxLength="90" axisPosition="none" gradient="true">
              <x14:cfvo type="num">
                <xm:f>0</xm:f>
              </x14:cfvo>
              <x14:cfvo type="num">
                <xm:f>1</xm:f>
              </x14:cfvo>
              <x14:negativeFillColor rgb="FFFFFFFF"/>
              <x14:axisColor rgb="FF000000"/>
            </x14:dataBar>
          </x14:cfRule>
          <xm:sqref>D96:F96</xm:sqref>
        </x14:conditionalFormatting>
        <x14:conditionalFormatting xmlns:xm="http://schemas.microsoft.com/office/excel/2006/main">
          <x14:cfRule type="dataBar" id="{135ABD29-38CF-4CB8-AA33-7C38C7AAD0ED}">
            <x14:dataBar minLength="10" maxLength="90" axisPosition="none" gradient="true">
              <x14:cfvo type="num">
                <xm:f>0</xm:f>
              </x14:cfvo>
              <x14:cfvo type="num">
                <xm:f>1</xm:f>
              </x14:cfvo>
              <x14:negativeFillColor rgb="FFFFFFFF"/>
              <x14:axisColor rgb="FF000000"/>
            </x14:dataBar>
          </x14:cfRule>
          <xm:sqref>D68:F68</xm:sqref>
        </x14:conditionalFormatting>
        <x14:conditionalFormatting xmlns:xm="http://schemas.microsoft.com/office/excel/2006/main">
          <x14:cfRule type="dataBar" id="{2CBD9B83-8179-4570-BC83-3043DBB1E0C0}">
            <x14:dataBar minLength="10" maxLength="90" axisPosition="none" gradient="true">
              <x14:cfvo type="num">
                <xm:f>0</xm:f>
              </x14:cfvo>
              <x14:cfvo type="num">
                <xm:f>1</xm:f>
              </x14:cfvo>
              <x14:negativeFillColor rgb="FFFFFFFF"/>
              <x14:axisColor rgb="FF000000"/>
            </x14:dataBar>
          </x14:cfRule>
          <xm:sqref>D67:F67</xm:sqref>
        </x14:conditionalFormatting>
        <x14:conditionalFormatting xmlns:xm="http://schemas.microsoft.com/office/excel/2006/main">
          <x14:cfRule type="dataBar" id="{62594276-1FF7-4B6D-84BB-D79D77FF5648}">
            <x14:dataBar minLength="10" maxLength="90" axisPosition="none" gradient="true">
              <x14:cfvo type="num">
                <xm:f>0</xm:f>
              </x14:cfvo>
              <x14:cfvo type="num">
                <xm:f>1</xm:f>
              </x14:cfvo>
              <x14:negativeFillColor rgb="FFFFFFFF"/>
              <x14:axisColor rgb="FF000000"/>
            </x14:dataBar>
          </x14:cfRule>
          <xm:sqref>D66:F66</xm:sqref>
        </x14:conditionalFormatting>
        <x14:conditionalFormatting xmlns:xm="http://schemas.microsoft.com/office/excel/2006/main">
          <x14:cfRule type="dataBar" id="{2ECD16E0-39E1-48A8-8FFA-AA30E2849BCF}">
            <x14:dataBar minLength="10" maxLength="90" axisPosition="none" gradient="true">
              <x14:cfvo type="num">
                <xm:f>0</xm:f>
              </x14:cfvo>
              <x14:cfvo type="num">
                <xm:f>1</xm:f>
              </x14:cfvo>
              <x14:negativeFillColor rgb="FFFFFFFF"/>
              <x14:axisColor rgb="FF000000"/>
            </x14:dataBar>
          </x14:cfRule>
          <xm:sqref>D65:F65</xm:sqref>
        </x14:conditionalFormatting>
        <x14:conditionalFormatting xmlns:xm="http://schemas.microsoft.com/office/excel/2006/main">
          <x14:cfRule type="dataBar" id="{FBA19334-4697-4E89-86DF-C5FE31A58DA7}">
            <x14:dataBar minLength="10" maxLength="90" axisPosition="none" gradient="true">
              <x14:cfvo type="num">
                <xm:f>0</xm:f>
              </x14:cfvo>
              <x14:cfvo type="num">
                <xm:f>1</xm:f>
              </x14:cfvo>
              <x14:negativeFillColor rgb="FFFFFFFF"/>
              <x14:axisColor rgb="FF000000"/>
            </x14:dataBar>
          </x14:cfRule>
          <xm:sqref>D64:F64</xm:sqref>
        </x14:conditionalFormatting>
        <x14:conditionalFormatting xmlns:xm="http://schemas.microsoft.com/office/excel/2006/main">
          <x14:cfRule type="dataBar" id="{6D2F9FFE-DE89-4BC9-AED5-121ED6509395}">
            <x14:dataBar minLength="10" maxLength="90" axisPosition="none" gradient="true">
              <x14:cfvo type="num">
                <xm:f>0</xm:f>
              </x14:cfvo>
              <x14:cfvo type="num">
                <xm:f>1</xm:f>
              </x14:cfvo>
              <x14:negativeFillColor rgb="FFFFFFFF"/>
              <x14:axisColor rgb="FF000000"/>
            </x14:dataBar>
          </x14:cfRule>
          <xm:sqref>D63:F63</xm:sqref>
        </x14:conditionalFormatting>
        <x14:conditionalFormatting xmlns:xm="http://schemas.microsoft.com/office/excel/2006/main">
          <x14:cfRule type="dataBar" id="{125CDAA7-BB1E-439D-9E71-AEAAC510FF88}">
            <x14:dataBar minLength="10" maxLength="90" axisPosition="none" gradient="true">
              <x14:cfvo type="num">
                <xm:f>0</xm:f>
              </x14:cfvo>
              <x14:cfvo type="num">
                <xm:f>1</xm:f>
              </x14:cfvo>
              <x14:negativeFillColor rgb="FFFFFFFF"/>
              <x14:axisColor rgb="FF000000"/>
            </x14:dataBar>
          </x14:cfRule>
          <xm:sqref>D87:F87</xm:sqref>
        </x14:conditionalFormatting>
        <x14:conditionalFormatting xmlns:xm="http://schemas.microsoft.com/office/excel/2006/main">
          <x14:cfRule type="dataBar" id="{1AEF62C5-AA38-4E6D-9723-6642E1C4D74F}">
            <x14:dataBar minLength="10" maxLength="90" axisPosition="none" gradient="true">
              <x14:cfvo type="num">
                <xm:f>0</xm:f>
              </x14:cfvo>
              <x14:cfvo type="num">
                <xm:f>1</xm:f>
              </x14:cfvo>
              <x14:negativeFillColor rgb="FFFFFFFF"/>
              <x14:axisColor rgb="FF000000"/>
            </x14:dataBar>
          </x14:cfRule>
          <xm:sqref>D86:F86</xm:sqref>
        </x14:conditionalFormatting>
        <x14:conditionalFormatting xmlns:xm="http://schemas.microsoft.com/office/excel/2006/main">
          <x14:cfRule type="dataBar" id="{B27045D7-DBD4-43BB-814D-FAAE857F2020}">
            <x14:dataBar minLength="10" maxLength="90" axisPosition="none" gradient="true">
              <x14:cfvo type="num">
                <xm:f>0</xm:f>
              </x14:cfvo>
              <x14:cfvo type="num">
                <xm:f>1</xm:f>
              </x14:cfvo>
              <x14:negativeFillColor rgb="FFFFFFFF"/>
              <x14:axisColor rgb="FF000000"/>
            </x14:dataBar>
          </x14:cfRule>
          <xm:sqref>D85:F85</xm:sqref>
        </x14:conditionalFormatting>
        <x14:conditionalFormatting xmlns:xm="http://schemas.microsoft.com/office/excel/2006/main">
          <x14:cfRule type="dataBar" id="{54CFEF74-49C3-4AF0-976D-403278E452D1}">
            <x14:dataBar minLength="10" maxLength="90" axisPosition="none" gradient="true">
              <x14:cfvo type="num">
                <xm:f>0</xm:f>
              </x14:cfvo>
              <x14:cfvo type="num">
                <xm:f>1</xm:f>
              </x14:cfvo>
              <x14:negativeFillColor rgb="FFFFFFFF"/>
              <x14:axisColor rgb="FF000000"/>
            </x14:dataBar>
          </x14:cfRule>
          <xm:sqref>D84:F84</xm:sqref>
        </x14:conditionalFormatting>
        <x14:conditionalFormatting xmlns:xm="http://schemas.microsoft.com/office/excel/2006/main">
          <x14:cfRule type="dataBar" id="{46BF5A7D-891B-46AF-B924-7722317981DF}">
            <x14:dataBar minLength="10" maxLength="90" axisPosition="none" gradient="true">
              <x14:cfvo type="num">
                <xm:f>0</xm:f>
              </x14:cfvo>
              <x14:cfvo type="num">
                <xm:f>1</xm:f>
              </x14:cfvo>
              <x14:negativeFillColor rgb="FFFFFFFF"/>
              <x14:axisColor rgb="FF000000"/>
            </x14:dataBar>
          </x14:cfRule>
          <xm:sqref>D83:F83</xm:sqref>
        </x14:conditionalFormatting>
        <x14:conditionalFormatting xmlns:xm="http://schemas.microsoft.com/office/excel/2006/main">
          <x14:cfRule type="dataBar" id="{419D2356-F037-4532-B26A-8220426FB0D7}">
            <x14:dataBar minLength="10" maxLength="90" axisPosition="none" gradient="true">
              <x14:cfvo type="num">
                <xm:f>0</xm:f>
              </x14:cfvo>
              <x14:cfvo type="num">
                <xm:f>1</xm:f>
              </x14:cfvo>
              <x14:negativeFillColor rgb="FFFFFFFF"/>
              <x14:axisColor rgb="FF000000"/>
            </x14:dataBar>
          </x14:cfRule>
          <xm:sqref>D82:F82</xm:sqref>
        </x14:conditionalFormatting>
        <x14:conditionalFormatting xmlns:xm="http://schemas.microsoft.com/office/excel/2006/main">
          <x14:cfRule type="dataBar" id="{2FB021FD-30E2-4F2D-97BE-319D529F6CF0}">
            <x14:dataBar minLength="10" maxLength="90" axisPosition="none" gradient="true">
              <x14:cfvo type="num">
                <xm:f>0</xm:f>
              </x14:cfvo>
              <x14:cfvo type="num">
                <xm:f>1</xm:f>
              </x14:cfvo>
              <x14:negativeFillColor rgb="FFFFFFFF"/>
              <x14:axisColor rgb="FF000000"/>
            </x14:dataBar>
          </x14:cfRule>
          <xm:sqref>D81:F81</xm:sqref>
        </x14:conditionalFormatting>
        <x14:conditionalFormatting xmlns:xm="http://schemas.microsoft.com/office/excel/2006/main">
          <x14:cfRule type="dataBar" id="{A75340AB-DF9D-4F36-92F3-5EFC37DAAF77}">
            <x14:dataBar minLength="10" maxLength="90" axisPosition="none" gradient="true">
              <x14:cfvo type="num">
                <xm:f>0</xm:f>
              </x14:cfvo>
              <x14:cfvo type="num">
                <xm:f>1</xm:f>
              </x14:cfvo>
              <x14:negativeFillColor rgb="FFFFFFFF"/>
              <x14:axisColor rgb="FF000000"/>
            </x14:dataBar>
          </x14:cfRule>
          <xm:sqref>D80:F80</xm:sqref>
        </x14:conditionalFormatting>
        <x14:conditionalFormatting xmlns:xm="http://schemas.microsoft.com/office/excel/2006/main">
          <x14:cfRule type="dataBar" id="{A013A152-2F6C-4F5E-A9F0-7BD2698EB024}">
            <x14:dataBar minLength="10" maxLength="90" axisPosition="none" gradient="true">
              <x14:cfvo type="num">
                <xm:f>0</xm:f>
              </x14:cfvo>
              <x14:cfvo type="num">
                <xm:f>1</xm:f>
              </x14:cfvo>
              <x14:negativeFillColor rgb="FFFFFFFF"/>
              <x14:axisColor rgb="FF000000"/>
            </x14:dataBar>
          </x14:cfRule>
          <xm:sqref>D79:F79</xm:sqref>
        </x14:conditionalFormatting>
        <x14:conditionalFormatting xmlns:xm="http://schemas.microsoft.com/office/excel/2006/main">
          <x14:cfRule type="dataBar" id="{EBCA76A5-5017-4BA2-B370-37407050A428}">
            <x14:dataBar minLength="10" maxLength="90" axisPosition="none" gradient="true">
              <x14:cfvo type="num">
                <xm:f>0</xm:f>
              </x14:cfvo>
              <x14:cfvo type="num">
                <xm:f>1</xm:f>
              </x14:cfvo>
              <x14:negativeFillColor rgb="FFFFFFFF"/>
              <x14:axisColor rgb="FF000000"/>
            </x14:dataBar>
          </x14:cfRule>
          <xm:sqref>D78:F78</xm:sqref>
        </x14:conditionalFormatting>
        <x14:conditionalFormatting xmlns:xm="http://schemas.microsoft.com/office/excel/2006/main">
          <x14:cfRule type="dataBar" id="{1047E05C-D3DE-45BF-A0F0-28FF17EF40F7}">
            <x14:dataBar minLength="10" maxLength="90" axisPosition="none" gradient="true">
              <x14:cfvo type="num">
                <xm:f>0</xm:f>
              </x14:cfvo>
              <x14:cfvo type="num">
                <xm:f>1</xm:f>
              </x14:cfvo>
              <x14:negativeFillColor rgb="FFFFFFFF"/>
              <x14:axisColor rgb="FF000000"/>
            </x14:dataBar>
          </x14:cfRule>
          <xm:sqref>D77:F77</xm:sqref>
        </x14:conditionalFormatting>
        <x14:conditionalFormatting xmlns:xm="http://schemas.microsoft.com/office/excel/2006/main">
          <x14:cfRule type="dataBar" id="{16A4A3A9-5070-4898-84C4-306F6CAFA11F}">
            <x14:dataBar minLength="10" maxLength="90" axisPosition="none" gradient="true">
              <x14:cfvo type="num">
                <xm:f>0</xm:f>
              </x14:cfvo>
              <x14:cfvo type="num">
                <xm:f>1</xm:f>
              </x14:cfvo>
              <x14:negativeFillColor rgb="FFFFFFFF"/>
              <x14:axisColor rgb="FF000000"/>
            </x14:dataBar>
          </x14:cfRule>
          <xm:sqref>D76:F76</xm:sqref>
        </x14:conditionalFormatting>
        <x14:conditionalFormatting xmlns:xm="http://schemas.microsoft.com/office/excel/2006/main">
          <x14:cfRule type="dataBar" id="{929AADBC-7B57-4F91-A5A9-A4FA704D1B46}">
            <x14:dataBar minLength="10" maxLength="90" axisPosition="none" gradient="true">
              <x14:cfvo type="num">
                <xm:f>0</xm:f>
              </x14:cfvo>
              <x14:cfvo type="num">
                <xm:f>1</xm:f>
              </x14:cfvo>
              <x14:negativeFillColor rgb="FFFFFFFF"/>
              <x14:axisColor rgb="FF000000"/>
            </x14:dataBar>
          </x14:cfRule>
          <xm:sqref>D75:F75</xm:sqref>
        </x14:conditionalFormatting>
        <x14:conditionalFormatting xmlns:xm="http://schemas.microsoft.com/office/excel/2006/main">
          <x14:cfRule type="dataBar" id="{26BE987A-9DC1-4380-8BB6-4721A6D0D620}">
            <x14:dataBar minLength="10" maxLength="90" axisPosition="none" gradient="true">
              <x14:cfvo type="num">
                <xm:f>0</xm:f>
              </x14:cfvo>
              <x14:cfvo type="num">
                <xm:f>1</xm:f>
              </x14:cfvo>
              <x14:negativeFillColor rgb="FFFFFFFF"/>
              <x14:axisColor rgb="FF000000"/>
            </x14:dataBar>
          </x14:cfRule>
          <xm:sqref>D56:F56</xm:sqref>
        </x14:conditionalFormatting>
        <x14:conditionalFormatting xmlns:xm="http://schemas.microsoft.com/office/excel/2006/main">
          <x14:cfRule type="dataBar" id="{1C601782-9951-4952-8F94-7473EDBD12E5}">
            <x14:dataBar minLength="10" maxLength="90" axisPosition="none" gradient="true">
              <x14:cfvo type="num">
                <xm:f>0</xm:f>
              </x14:cfvo>
              <x14:cfvo type="num">
                <xm:f>1</xm:f>
              </x14:cfvo>
              <x14:negativeFillColor rgb="FFFFFFFF"/>
              <x14:axisColor rgb="FF000000"/>
            </x14:dataBar>
          </x14:cfRule>
          <xm:sqref>D57:F59</xm:sqref>
        </x14:conditionalFormatting>
        <x14:conditionalFormatting xmlns:xm="http://schemas.microsoft.com/office/excel/2006/main">
          <x14:cfRule type="dataBar" id="{57BC61E4-E186-4298-8EE0-17987E3A689A}">
            <x14:dataBar minLength="10" maxLength="90" axisPosition="none" gradient="true">
              <x14:cfvo type="num">
                <xm:f>0</xm:f>
              </x14:cfvo>
              <x14:cfvo type="num">
                <xm:f>1</xm:f>
              </x14:cfvo>
              <x14:negativeFillColor rgb="FFFFFFFF"/>
              <x14:axisColor rgb="FF000000"/>
            </x14:dataBar>
          </x14:cfRule>
          <xm:sqref>D60:F62</xm:sqref>
        </x14:conditionalFormatting>
        <x14:conditionalFormatting xmlns:xm="http://schemas.microsoft.com/office/excel/2006/main">
          <x14:cfRule type="dataBar" id="{8450E9B7-89B0-4357-B6A0-57E72723968B}">
            <x14:dataBar minLength="10" maxLength="90" axisPosition="none" gradient="true">
              <x14:cfvo type="num">
                <xm:f>0</xm:f>
              </x14:cfvo>
              <x14:cfvo type="num">
                <xm:f>1</xm:f>
              </x14:cfvo>
              <x14:negativeFillColor rgb="FFFFFFFF"/>
              <x14:axisColor rgb="FF000000"/>
            </x14:dataBar>
          </x14:cfRule>
          <xm:sqref>D54:F55</xm:sqref>
        </x14:conditionalFormatting>
        <x14:conditionalFormatting xmlns:xm="http://schemas.microsoft.com/office/excel/2006/main">
          <x14:cfRule type="dataBar" id="{1D194137-8218-4695-BCC3-545554E2F4E2}">
            <x14:dataBar minLength="10" maxLength="90" axisPosition="none" gradient="true">
              <x14:cfvo type="num">
                <xm:f>0</xm:f>
              </x14:cfvo>
              <x14:cfvo type="num">
                <xm:f>3</xm:f>
              </x14:cfvo>
              <x14:negativeFillColor rgb="FFFFFFFF"/>
              <x14:axisColor rgb="FF000000"/>
            </x14:dataBar>
          </x14:cfRule>
          <xm:sqref>J96</xm:sqref>
        </x14:conditionalFormatting>
        <x14:conditionalFormatting xmlns:xm="http://schemas.microsoft.com/office/excel/2006/main">
          <x14:cfRule type="dataBar" id="{1D99608B-25FD-4882-927D-94EB17631C2F}">
            <x14:dataBar minLength="10" maxLength="90" axisPosition="none" gradient="true">
              <x14:cfvo type="num">
                <xm:f>0</xm:f>
              </x14:cfvo>
              <x14:cfvo type="num">
                <xm:f>3</xm:f>
              </x14:cfvo>
              <x14:negativeFillColor rgb="FFFFFFFF"/>
              <x14:axisColor rgb="FF000000"/>
            </x14:dataBar>
          </x14:cfRule>
          <xm:sqref>J98</xm:sqref>
        </x14:conditionalFormatting>
        <x14:conditionalFormatting xmlns:xm="http://schemas.microsoft.com/office/excel/2006/main">
          <x14:cfRule type="dataBar" id="{9EA03F42-5687-4C65-8F31-89BF6EB0432F}">
            <x14:dataBar minLength="10" maxLength="90" axisPosition="none" gradient="true">
              <x14:cfvo type="num">
                <xm:f>0</xm:f>
              </x14:cfvo>
              <x14:cfvo type="num">
                <xm:f>3</xm:f>
              </x14:cfvo>
              <x14:negativeFillColor rgb="FFFFFFFF"/>
              <x14:axisColor rgb="FF000000"/>
            </x14:dataBar>
          </x14:cfRule>
          <xm:sqref>J97</xm:sqref>
        </x14:conditionalFormatting>
        <x14:conditionalFormatting xmlns:xm="http://schemas.microsoft.com/office/excel/2006/main">
          <x14:cfRule type="dataBar" id="{1653DA15-42F2-448B-AC29-8D88CEF3ACB6}">
            <x14:dataBar minLength="10" maxLength="90" axisPosition="none" gradient="true">
              <x14:cfvo type="num">
                <xm:f>0</xm:f>
              </x14:cfvo>
              <x14:cfvo type="num">
                <xm:f>3</xm:f>
              </x14:cfvo>
              <x14:negativeFillColor rgb="FFFFFFFF"/>
              <x14:axisColor rgb="FF000000"/>
            </x14:dataBar>
          </x14:cfRule>
          <xm:sqref>J95</xm:sqref>
        </x14:conditionalFormatting>
        <x14:conditionalFormatting xmlns:xm="http://schemas.microsoft.com/office/excel/2006/main">
          <x14:cfRule type="dataBar" id="{F500756B-F04E-47A6-85E1-B56A8033D78A}">
            <x14:dataBar minLength="10" maxLength="90" axisPosition="none" gradient="true">
              <x14:cfvo type="num">
                <xm:f>0</xm:f>
              </x14:cfvo>
              <x14:cfvo type="num">
                <xm:f>3</xm:f>
              </x14:cfvo>
              <x14:negativeFillColor rgb="FFFFFFFF"/>
              <x14:axisColor rgb="FF000000"/>
            </x14:dataBar>
          </x14:cfRule>
          <xm:sqref>J94</xm:sqref>
        </x14:conditionalFormatting>
        <x14:conditionalFormatting xmlns:xm="http://schemas.microsoft.com/office/excel/2006/main">
          <x14:cfRule type="dataBar" id="{DA22DACA-197F-446B-AA56-7EA32043BABA}">
            <x14:dataBar minLength="10" maxLength="90" axisPosition="none" gradient="true">
              <x14:cfvo type="num">
                <xm:f>0</xm:f>
              </x14:cfvo>
              <x14:cfvo type="num">
                <xm:f>3</xm:f>
              </x14:cfvo>
              <x14:negativeFillColor rgb="FFFFFFFF"/>
              <x14:axisColor rgb="FF000000"/>
            </x14:dataBar>
          </x14:cfRule>
          <xm:sqref>J75</xm:sqref>
        </x14:conditionalFormatting>
        <x14:conditionalFormatting xmlns:xm="http://schemas.microsoft.com/office/excel/2006/main">
          <x14:cfRule type="dataBar" id="{12FC15AA-4137-4E7D-98C3-C14011241EA0}">
            <x14:dataBar minLength="10" maxLength="90" axisPosition="none" gradient="true">
              <x14:cfvo type="num">
                <xm:f>0</xm:f>
              </x14:cfvo>
              <x14:cfvo type="num">
                <xm:f>3</xm:f>
              </x14:cfvo>
              <x14:negativeFillColor rgb="FFFFFFFF"/>
              <x14:axisColor rgb="FF000000"/>
            </x14:dataBar>
          </x14:cfRule>
          <xm:sqref>J77</xm:sqref>
        </x14:conditionalFormatting>
        <x14:conditionalFormatting xmlns:xm="http://schemas.microsoft.com/office/excel/2006/main">
          <x14:cfRule type="dataBar" id="{C056E148-E81C-4912-93C3-A8AD8E88B2B0}">
            <x14:dataBar minLength="10" maxLength="90" axisPosition="none" gradient="true">
              <x14:cfvo type="num">
                <xm:f>0</xm:f>
              </x14:cfvo>
              <x14:cfvo type="num">
                <xm:f>3</xm:f>
              </x14:cfvo>
              <x14:negativeFillColor rgb="FFFFFFFF"/>
              <x14:axisColor rgb="FF000000"/>
            </x14:dataBar>
          </x14:cfRule>
          <xm:sqref>J76</xm:sqref>
        </x14:conditionalFormatting>
        <x14:conditionalFormatting xmlns:xm="http://schemas.microsoft.com/office/excel/2006/main">
          <x14:cfRule type="dataBar" id="{9EADCAE8-A947-4BEE-8F6B-43A5A0DBB48E}">
            <x14:dataBar minLength="10" maxLength="90" axisPosition="none" gradient="true">
              <x14:cfvo type="num">
                <xm:f>0</xm:f>
              </x14:cfvo>
              <x14:cfvo type="num">
                <xm:f>3</xm:f>
              </x14:cfvo>
              <x14:negativeFillColor rgb="FFFFFFFF"/>
              <x14:axisColor rgb="FF000000"/>
            </x14:dataBar>
          </x14:cfRule>
          <xm:sqref>J74</xm:sqref>
        </x14:conditionalFormatting>
        <x14:conditionalFormatting xmlns:xm="http://schemas.microsoft.com/office/excel/2006/main">
          <x14:cfRule type="dataBar" id="{AB623543-65F3-4A5E-9F17-6571CBBFD66A}">
            <x14:dataBar minLength="10" maxLength="90" axisPosition="none" gradient="true">
              <x14:cfvo type="num">
                <xm:f>0</xm:f>
              </x14:cfvo>
              <x14:cfvo type="num">
                <xm:f>3</xm:f>
              </x14:cfvo>
              <x14:negativeFillColor rgb="FFFFFFFF"/>
              <x14:axisColor rgb="FF000000"/>
            </x14:dataBar>
          </x14:cfRule>
          <xm:sqref>J73</xm:sqref>
        </x14:conditionalFormatting>
        <x14:conditionalFormatting xmlns:xm="http://schemas.microsoft.com/office/excel/2006/main">
          <x14:cfRule type="dataBar" id="{57F93C32-107D-4727-A836-EBA610F061EE}">
            <x14:dataBar minLength="10" maxLength="90" axisPosition="none" gradient="true">
              <x14:cfvo type="num">
                <xm:f>0</xm:f>
              </x14:cfvo>
              <x14:cfvo type="num">
                <xm:f>3</xm:f>
              </x14:cfvo>
              <x14:negativeFillColor rgb="FFFFFFFF"/>
              <x14:axisColor rgb="FF000000"/>
            </x14:dataBar>
          </x14:cfRule>
          <xm:sqref>J56</xm:sqref>
        </x14:conditionalFormatting>
        <x14:conditionalFormatting xmlns:xm="http://schemas.microsoft.com/office/excel/2006/main">
          <x14:cfRule type="dataBar" id="{A73B514E-98C6-439A-A8BA-3C9E13833E46}">
            <x14:dataBar minLength="10" maxLength="90" axisPosition="none" gradient="true">
              <x14:cfvo type="num">
                <xm:f>0</xm:f>
              </x14:cfvo>
              <x14:cfvo type="num">
                <xm:f>3</xm:f>
              </x14:cfvo>
              <x14:negativeFillColor rgb="FFFFFFFF"/>
              <x14:axisColor rgb="FF000000"/>
            </x14:dataBar>
          </x14:cfRule>
          <xm:sqref>J58</xm:sqref>
        </x14:conditionalFormatting>
        <x14:conditionalFormatting xmlns:xm="http://schemas.microsoft.com/office/excel/2006/main">
          <x14:cfRule type="dataBar" id="{449E336C-A74E-4B7F-9984-B7AFC7FD5C2D}">
            <x14:dataBar minLength="10" maxLength="90" axisPosition="none" gradient="true">
              <x14:cfvo type="num">
                <xm:f>0</xm:f>
              </x14:cfvo>
              <x14:cfvo type="num">
                <xm:f>3</xm:f>
              </x14:cfvo>
              <x14:negativeFillColor rgb="FFFFFFFF"/>
              <x14:axisColor rgb="FF000000"/>
            </x14:dataBar>
          </x14:cfRule>
          <xm:sqref>J57</xm:sqref>
        </x14:conditionalFormatting>
        <x14:conditionalFormatting xmlns:xm="http://schemas.microsoft.com/office/excel/2006/main">
          <x14:cfRule type="dataBar" id="{681D3447-5DA9-4F20-B0B0-AD283DF9C07D}">
            <x14:dataBar minLength="10" maxLength="90" axisPosition="none" gradient="true">
              <x14:cfvo type="num">
                <xm:f>0</xm:f>
              </x14:cfvo>
              <x14:cfvo type="num">
                <xm:f>3</xm:f>
              </x14:cfvo>
              <x14:negativeFillColor rgb="FFFFFFFF"/>
              <x14:axisColor rgb="FF000000"/>
            </x14:dataBar>
          </x14:cfRule>
          <xm:sqref>J55</xm:sqref>
        </x14:conditionalFormatting>
        <x14:conditionalFormatting xmlns:xm="http://schemas.microsoft.com/office/excel/2006/main">
          <x14:cfRule type="dataBar" id="{3C3F69CB-FA67-43E8-84E6-4D76E46D1A87}">
            <x14:dataBar minLength="10" maxLength="90" axisPosition="none" gradient="true">
              <x14:cfvo type="num">
                <xm:f>0</xm:f>
              </x14:cfvo>
              <x14:cfvo type="num">
                <xm:f>3</xm:f>
              </x14:cfvo>
              <x14:negativeFillColor rgb="FFFFFFFF"/>
              <x14:axisColor rgb="FF000000"/>
            </x14:dataBar>
          </x14:cfRule>
          <xm:sqref>J54</xm:sqref>
        </x14:conditionalFormatting>
        <x14:conditionalFormatting xmlns:xm="http://schemas.microsoft.com/office/excel/2006/main">
          <x14:cfRule type="dataBar" id="{254F7850-E1FD-4681-8764-14ABCDD6BF46}">
            <x14:dataBar minLength="10" maxLength="90" axisPosition="none" gradient="true">
              <x14:cfvo type="num">
                <xm:f>0</xm:f>
              </x14:cfvo>
              <x14:cfvo type="num">
                <xm:f>1</xm:f>
              </x14:cfvo>
              <x14:negativeFillColor rgb="FFFFFFFF"/>
              <x14:axisColor rgb="FF000000"/>
            </x14:dataBar>
          </x14:cfRule>
          <xm:sqref>D94:F95</xm:sqref>
        </x14:conditionalFormatting>
        <x14:conditionalFormatting xmlns:xm="http://schemas.microsoft.com/office/excel/2006/main">
          <x14:cfRule type="dataBar" id="{888CFFDB-A826-4C8B-8EFE-5ED7AD2DA08A}">
            <x14:dataBar minLength="10" maxLength="90" axisPosition="none" gradient="true">
              <x14:cfvo type="num">
                <xm:f>0</xm:f>
              </x14:cfvo>
              <x14:cfvo type="num">
                <xm:f>1</xm:f>
              </x14:cfvo>
              <x14:negativeFillColor rgb="FFFFFFFF"/>
              <x14:axisColor rgb="FF000000"/>
            </x14:dataBar>
          </x14:cfRule>
          <xm:sqref>D73:F74</xm:sqref>
        </x14:conditionalFormatting>
        <x14:conditionalFormatting xmlns:xm="http://schemas.microsoft.com/office/excel/2006/main">
          <x14:cfRule type="dataBar" id="{955854DA-D2FF-48C4-8A6D-7BFA20B0D3D0}">
            <x14:dataBar minLength="10" maxLength="90" axisPosition="none" gradient="true">
              <x14:cfvo type="num">
                <xm:f>0</xm:f>
              </x14:cfvo>
              <x14:cfvo type="num">
                <xm:f>1</xm:f>
              </x14:cfvo>
              <x14:negativeFillColor rgb="FFFFFFFF"/>
              <x14:axisColor rgb="FF000000"/>
            </x14:dataBar>
          </x14:cfRule>
          <xm:sqref>D37:F39</xm:sqref>
        </x14:conditionalFormatting>
        <x14:conditionalFormatting xmlns:xm="http://schemas.microsoft.com/office/excel/2006/main">
          <x14:cfRule type="dataBar" id="{3BAF46F4-303D-446F-AFFC-832890604DE0}">
            <x14:dataBar minLength="10" maxLength="90" axisPosition="none" gradient="true">
              <x14:cfvo type="num">
                <xm:f>0</xm:f>
              </x14:cfvo>
              <x14:cfvo type="num">
                <xm:f>1</xm:f>
              </x14:cfvo>
              <x14:negativeFillColor rgb="FFFFFFFF"/>
              <x14:axisColor rgb="FF000000"/>
            </x14:dataBar>
          </x14:cfRule>
          <xm:sqref>D40:F42</xm:sqref>
        </x14:conditionalFormatting>
        <x14:conditionalFormatting xmlns:xm="http://schemas.microsoft.com/office/excel/2006/main">
          <x14:cfRule type="dataBar" id="{4DC31278-30E9-47FC-8DDD-9AF8DF29C582}">
            <x14:dataBar minLength="10" maxLength="90" axisPosition="none" gradient="true">
              <x14:cfvo type="num">
                <xm:f>0</xm:f>
              </x14:cfvo>
              <x14:cfvo type="num">
                <xm:f>1</xm:f>
              </x14:cfvo>
              <x14:negativeFillColor rgb="FFFFFFFF"/>
              <x14:axisColor rgb="FF000000"/>
            </x14:dataBar>
          </x14:cfRule>
          <xm:sqref>D43:F45</xm:sqref>
        </x14:conditionalFormatting>
        <x14:conditionalFormatting xmlns:xm="http://schemas.microsoft.com/office/excel/2006/main">
          <x14:cfRule type="dataBar" id="{21773281-2126-4A36-AE62-5B7F33E82811}">
            <x14:dataBar minLength="10" maxLength="90" axisPosition="none" gradient="true">
              <x14:cfvo type="num">
                <xm:f>0</xm:f>
              </x14:cfvo>
              <x14:cfvo type="num">
                <xm:f>1</xm:f>
              </x14:cfvo>
              <x14:negativeFillColor rgb="FFFFFFFF"/>
              <x14:axisColor rgb="FF000000"/>
            </x14:dataBar>
          </x14:cfRule>
          <xm:sqref>D46:F48</xm:sqref>
        </x14:conditionalFormatting>
        <x14:conditionalFormatting xmlns:xm="http://schemas.microsoft.com/office/excel/2006/main">
          <x14:cfRule type="dataBar" id="{93B32240-CEE9-49DF-99A5-8E87FE6B547B}">
            <x14:dataBar minLength="10" maxLength="90" axisPosition="none" gradient="true">
              <x14:cfvo type="num">
                <xm:f>0</xm:f>
              </x14:cfvo>
              <x14:cfvo type="num">
                <xm:f>3</xm:f>
              </x14:cfvo>
              <x14:negativeFillColor rgb="FFFFFFFF"/>
              <x14:axisColor rgb="FF000000"/>
            </x14:dataBar>
          </x14:cfRule>
          <xm:sqref>J36</xm:sqref>
        </x14:conditionalFormatting>
        <x14:conditionalFormatting xmlns:xm="http://schemas.microsoft.com/office/excel/2006/main">
          <x14:cfRule type="dataBar" id="{5B94B461-F220-438F-8266-FB2E5D8CE03D}">
            <x14:dataBar minLength="10" maxLength="90" axisPosition="none" gradient="true">
              <x14:cfvo type="num">
                <xm:f>0</xm:f>
              </x14:cfvo>
              <x14:cfvo type="num">
                <xm:f>3</xm:f>
              </x14:cfvo>
              <x14:negativeFillColor rgb="FFFFFFFF"/>
              <x14:axisColor rgb="FF000000"/>
            </x14:dataBar>
          </x14:cfRule>
          <xm:sqref>J38</xm:sqref>
        </x14:conditionalFormatting>
        <x14:conditionalFormatting xmlns:xm="http://schemas.microsoft.com/office/excel/2006/main">
          <x14:cfRule type="dataBar" id="{8AC648E6-F52E-4D2D-823E-5EC7ED8AAEA6}">
            <x14:dataBar minLength="10" maxLength="90" axisPosition="none" gradient="true">
              <x14:cfvo type="num">
                <xm:f>0</xm:f>
              </x14:cfvo>
              <x14:cfvo type="num">
                <xm:f>3</xm:f>
              </x14:cfvo>
              <x14:negativeFillColor rgb="FFFFFFFF"/>
              <x14:axisColor rgb="FF000000"/>
            </x14:dataBar>
          </x14:cfRule>
          <xm:sqref>J37</xm:sqref>
        </x14:conditionalFormatting>
        <x14:conditionalFormatting xmlns:xm="http://schemas.microsoft.com/office/excel/2006/main">
          <x14:cfRule type="dataBar" id="{D4C73642-6C18-428B-A14B-9F41CCEFEBF0}">
            <x14:dataBar minLength="10" maxLength="90" axisPosition="none" gradient="true">
              <x14:cfvo type="num">
                <xm:f>0</xm:f>
              </x14:cfvo>
              <x14:cfvo type="num">
                <xm:f>3</xm:f>
              </x14:cfvo>
              <x14:negativeFillColor rgb="FFFFFFFF"/>
              <x14:axisColor rgb="FF000000"/>
            </x14:dataBar>
          </x14:cfRule>
          <xm:sqref>J35</xm:sqref>
        </x14:conditionalFormatting>
        <x14:conditionalFormatting xmlns:xm="http://schemas.microsoft.com/office/excel/2006/main">
          <x14:cfRule type="dataBar" id="{FB3A933E-E3EB-4EFC-84A6-98D04A21B3A2}">
            <x14:dataBar minLength="10" maxLength="90" axisPosition="none" gradient="true">
              <x14:cfvo type="num">
                <xm:f>0</xm:f>
              </x14:cfvo>
              <x14:cfvo type="num">
                <xm:f>3</xm:f>
              </x14:cfvo>
              <x14:negativeFillColor rgb="FFFFFFFF"/>
              <x14:axisColor rgb="FF000000"/>
            </x14:dataBar>
          </x14:cfRule>
          <xm:sqref>J34</xm:sqref>
        </x14:conditionalFormatting>
        <x14:conditionalFormatting xmlns:xm="http://schemas.microsoft.com/office/excel/2006/main">
          <x14:cfRule type="dataBar" id="{26312CA9-7D6E-474B-A519-B83AF7306710}">
            <x14:dataBar minLength="10" maxLength="90" axisPosition="none" gradient="true">
              <x14:cfvo type="num">
                <xm:f>0</xm:f>
              </x14:cfvo>
              <x14:cfvo type="num">
                <xm:f>1</xm:f>
              </x14:cfvo>
              <x14:negativeFillColor rgb="FFFFFFFF"/>
              <x14:axisColor rgb="FF000000"/>
            </x14:dataBar>
          </x14:cfRule>
          <xm:sqref>D36:F36</xm:sqref>
        </x14:conditionalFormatting>
        <x14:conditionalFormatting xmlns:xm="http://schemas.microsoft.com/office/excel/2006/main">
          <x14:cfRule type="dataBar" id="{31B683CB-4335-4241-AD6E-B7DF90535BA4}">
            <x14:dataBar minLength="10" maxLength="90" axisPosition="none" gradient="true">
              <x14:cfvo type="num">
                <xm:f>0</xm:f>
              </x14:cfvo>
              <x14:cfvo type="num">
                <xm:f>1</xm:f>
              </x14:cfvo>
              <x14:negativeFillColor rgb="FFFFFFFF"/>
              <x14:axisColor rgb="FF000000"/>
            </x14:dataBar>
          </x14:cfRule>
          <xm:sqref>D34:F35</xm:sqref>
        </x14:conditionalFormatting>
        <x14:conditionalFormatting xmlns:xm="http://schemas.microsoft.com/office/excel/2006/main">
          <x14:cfRule type="dataBar" id="{3BA27DE3-7927-4B60-9ECD-F477455BDE2E}">
            <x14:dataBar minLength="10" maxLength="90" axisPosition="none" gradient="true">
              <x14:cfvo type="num">
                <xm:f>0</xm:f>
              </x14:cfvo>
              <x14:cfvo type="num">
                <xm:f>1</xm:f>
              </x14:cfvo>
              <x14:negativeFillColor rgb="FFFFFFFF"/>
              <x14:axisColor rgb="FF000000"/>
            </x14:dataBar>
          </x14:cfRule>
          <xm:sqref>D26:F28</xm:sqref>
        </x14:conditionalFormatting>
        <x14:conditionalFormatting xmlns:xm="http://schemas.microsoft.com/office/excel/2006/main">
          <x14:cfRule type="dataBar" id="{E0E9FA42-B591-4278-90F0-841DF2ECC4BD}">
            <x14:dataBar minLength="10" maxLength="90" axisPosition="none" gradient="true">
              <x14:cfvo type="num">
                <xm:f>0</xm:f>
              </x14:cfvo>
              <x14:cfvo type="num">
                <xm:f>1</xm:f>
              </x14:cfvo>
              <x14:negativeFillColor rgb="FFFFFFFF"/>
              <x14:axisColor rgb="FF000000"/>
            </x14:dataBar>
          </x14:cfRule>
          <xm:sqref>D23:F25</xm:sqref>
        </x14:conditionalFormatting>
        <x14:conditionalFormatting xmlns:xm="http://schemas.microsoft.com/office/excel/2006/main">
          <x14:cfRule type="dataBar" id="{97B8BAC8-DD7B-4BA0-B96F-18D26EAC3BD8}">
            <x14:dataBar minLength="10" maxLength="90" axisPosition="none" gradient="true">
              <x14:cfvo type="num">
                <xm:f>0</xm:f>
              </x14:cfvo>
              <x14:cfvo type="num">
                <xm:f>1</xm:f>
              </x14:cfvo>
              <x14:negativeFillColor rgb="FFFFFFFF"/>
              <x14:axisColor rgb="FF000000"/>
            </x14:dataBar>
          </x14:cfRule>
          <xm:sqref>D20:F22</xm:sqref>
        </x14:conditionalFormatting>
        <x14:conditionalFormatting xmlns:xm="http://schemas.microsoft.com/office/excel/2006/main">
          <x14:cfRule type="dataBar" id="{8A5FED97-2B9D-4CA0-A232-2A8372D021D6}">
            <x14:dataBar minLength="10" maxLength="90" axisPosition="none" gradient="true">
              <x14:cfvo type="num">
                <xm:f>0</xm:f>
              </x14:cfvo>
              <x14:cfvo type="num">
                <xm:f>1</xm:f>
              </x14:cfvo>
              <x14:negativeFillColor rgb="FFFFFFFF"/>
              <x14:axisColor rgb="FF000000"/>
            </x14:dataBar>
          </x14:cfRule>
          <xm:sqref>D17:F19</xm:sqref>
        </x14:conditionalFormatting>
        <x14:conditionalFormatting xmlns:xm="http://schemas.microsoft.com/office/excel/2006/main">
          <x14:cfRule type="dataBar" id="{E6F6871D-A278-463E-BE6D-FFCEFCE142B2}">
            <x14:dataBar minLength="10" maxLength="90" axisPosition="none" gradient="true">
              <x14:cfvo type="num">
                <xm:f>0</xm:f>
              </x14:cfvo>
              <x14:cfvo type="num">
                <xm:f>3</xm:f>
              </x14:cfvo>
              <x14:negativeFillColor rgb="FFFFFFFF"/>
              <x14:axisColor rgb="FF000000"/>
            </x14:dataBar>
          </x14:cfRule>
          <xm:sqref>J16</xm:sqref>
        </x14:conditionalFormatting>
        <x14:conditionalFormatting xmlns:xm="http://schemas.microsoft.com/office/excel/2006/main">
          <x14:cfRule type="dataBar" id="{46FF2870-C5CA-4441-BF19-C718A75390F7}">
            <x14:dataBar minLength="10" maxLength="90" axisPosition="none" gradient="true">
              <x14:cfvo type="num">
                <xm:f>0</xm:f>
              </x14:cfvo>
              <x14:cfvo type="num">
                <xm:f>3</xm:f>
              </x14:cfvo>
              <x14:negativeFillColor rgb="FFFFFFFF"/>
              <x14:axisColor rgb="FF000000"/>
            </x14:dataBar>
          </x14:cfRule>
          <xm:sqref>J18</xm:sqref>
        </x14:conditionalFormatting>
        <x14:conditionalFormatting xmlns:xm="http://schemas.microsoft.com/office/excel/2006/main">
          <x14:cfRule type="dataBar" id="{F6576D42-67CA-43D5-A03E-B1772E71994E}">
            <x14:dataBar minLength="10" maxLength="90" axisPosition="none" gradient="true">
              <x14:cfvo type="num">
                <xm:f>0</xm:f>
              </x14:cfvo>
              <x14:cfvo type="num">
                <xm:f>3</xm:f>
              </x14:cfvo>
              <x14:negativeFillColor rgb="FFFFFFFF"/>
              <x14:axisColor rgb="FF000000"/>
            </x14:dataBar>
          </x14:cfRule>
          <xm:sqref>J17</xm:sqref>
        </x14:conditionalFormatting>
        <x14:conditionalFormatting xmlns:xm="http://schemas.microsoft.com/office/excel/2006/main">
          <x14:cfRule type="dataBar" id="{70D32796-32D5-4B84-B66B-FAAC1EC74B87}">
            <x14:dataBar minLength="10" maxLength="90" axisPosition="none" gradient="true">
              <x14:cfvo type="num">
                <xm:f>0</xm:f>
              </x14:cfvo>
              <x14:cfvo type="num">
                <xm:f>3</xm:f>
              </x14:cfvo>
              <x14:negativeFillColor rgb="FFFFFFFF"/>
              <x14:axisColor rgb="FF000000"/>
            </x14:dataBar>
          </x14:cfRule>
          <xm:sqref>J15</xm:sqref>
        </x14:conditionalFormatting>
        <x14:conditionalFormatting xmlns:xm="http://schemas.microsoft.com/office/excel/2006/main">
          <x14:cfRule type="dataBar" id="{76E4419D-CA7E-4DB0-95A9-705083CD12E4}">
            <x14:dataBar minLength="10" maxLength="90" axisPosition="none" gradient="true">
              <x14:cfvo type="num">
                <xm:f>0</xm:f>
              </x14:cfvo>
              <x14:cfvo type="num">
                <xm:f>3</xm:f>
              </x14:cfvo>
              <x14:negativeFillColor rgb="FFFFFFFF"/>
              <x14:axisColor rgb="FF000000"/>
            </x14:dataBar>
          </x14:cfRule>
          <xm:sqref>J14</xm:sqref>
        </x14:conditionalFormatting>
        <x14:conditionalFormatting xmlns:xm="http://schemas.microsoft.com/office/excel/2006/main">
          <x14:cfRule type="dataBar" id="{89A43EA7-BEE5-4B30-916A-1AEE73D91934}">
            <x14:dataBar minLength="10" maxLength="90" axisPosition="none" gradient="true">
              <x14:cfvo type="num">
                <xm:f>0</xm:f>
              </x14:cfvo>
              <x14:cfvo type="num">
                <xm:f>1</xm:f>
              </x14:cfvo>
              <x14:negativeFillColor rgb="FFFFFFFF"/>
              <x14:axisColor rgb="FF000000"/>
            </x14:dataBar>
          </x14:cfRule>
          <xm:sqref>D14:F16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54"/>
  <sheetViews>
    <sheetView showFormulas="false" showGridLines="true" showRowColHeaders="true" showZeros="true" rightToLeft="false" tabSelected="true" showOutlineSymbols="true" defaultGridColor="true" view="normal" topLeftCell="B1" colorId="64" zoomScale="80" zoomScaleNormal="80" zoomScalePageLayoutView="100" workbookViewId="0">
      <selection pane="topLeft" activeCell="F22" activeCellId="0" sqref="F22"/>
    </sheetView>
  </sheetViews>
  <sheetFormatPr defaultColWidth="8.83203125" defaultRowHeight="13.5" zeroHeight="false" outlineLevelRow="0" outlineLevelCol="0"/>
  <cols>
    <col collapsed="false" customWidth="true" hidden="true" outlineLevel="0" max="1" min="1" style="10" width="16.83"/>
    <col collapsed="false" customWidth="true" hidden="false" outlineLevel="0" max="2" min="2" style="183" width="13.5"/>
    <col collapsed="false" customWidth="true" hidden="false" outlineLevel="0" max="3" min="3" style="183" width="7.33"/>
    <col collapsed="false" customWidth="true" hidden="false" outlineLevel="0" max="4" min="4" style="12" width="68"/>
    <col collapsed="false" customWidth="true" hidden="true" outlineLevel="0" max="5" min="5" style="10" width="5.16"/>
    <col collapsed="false" customWidth="true" hidden="false" outlineLevel="0" max="6" min="6" style="13" width="39"/>
    <col collapsed="false" customWidth="true" hidden="true" outlineLevel="0" max="7" min="7" style="10" width="8.67"/>
    <col collapsed="false" customWidth="true" hidden="true" outlineLevel="0" max="8" min="8" style="14" width="8.67"/>
    <col collapsed="false" customWidth="true" hidden="false" outlineLevel="0" max="9" min="9" style="15" width="15"/>
    <col collapsed="false" customWidth="true" hidden="false" outlineLevel="0" max="10" min="10" style="0" width="36.67"/>
    <col collapsed="false" customWidth="true" hidden="true" outlineLevel="0" max="11" min="11" style="0" width="7"/>
    <col collapsed="false" customWidth="true" hidden="true" outlineLevel="0" max="12" min="12" style="0" width="9.16"/>
    <col collapsed="false" customWidth="true" hidden="false" outlineLevel="0" max="13" min="13" style="0" width="16.5"/>
    <col collapsed="false" customWidth="true" hidden="false" outlineLevel="0" max="14" min="14" style="0" width="49.83"/>
    <col collapsed="false" customWidth="true" hidden="true" outlineLevel="0" max="15" min="15" style="0" width="28.67"/>
    <col collapsed="false" customWidth="true" hidden="true" outlineLevel="0" max="16" min="16" style="0" width="15"/>
    <col collapsed="false" customWidth="true" hidden="false" outlineLevel="0" max="17" min="17" style="0" width="15"/>
    <col collapsed="false" customWidth="true" hidden="false" outlineLevel="0" max="18" min="18" style="0" width="36.16"/>
    <col collapsed="false" customWidth="true" hidden="true" outlineLevel="0" max="20" min="19" style="0" width="15"/>
    <col collapsed="false" customWidth="true" hidden="false" outlineLevel="0" max="21" min="21" style="0" width="15"/>
    <col collapsed="false" customWidth="true" hidden="false" outlineLevel="0" max="22" min="22" style="0" width="49"/>
    <col collapsed="false" customWidth="true" hidden="true" outlineLevel="0" max="24" min="23" style="0" width="15"/>
    <col collapsed="false" customWidth="true" hidden="false" outlineLevel="0" max="25" min="25" style="0" width="15"/>
  </cols>
  <sheetData>
    <row r="1" customFormat="false" ht="17.35" hidden="false" customHeight="false" outlineLevel="0" collapsed="false">
      <c r="B1" s="184" t="str">
        <f aca="false">CONCATENATE("SAMM Assessment Interview: ",D11," For ",D10)</f>
        <v>SAMM Assessment Interview:  For </v>
      </c>
      <c r="C1" s="185"/>
      <c r="D1" s="186"/>
      <c r="E1" s="186"/>
      <c r="F1" s="186"/>
      <c r="G1" s="186"/>
      <c r="H1" s="186"/>
      <c r="I1" s="17"/>
      <c r="J1" s="18"/>
      <c r="K1" s="18"/>
      <c r="L1" s="18"/>
      <c r="M1" s="18"/>
      <c r="N1" s="18"/>
      <c r="O1" s="18"/>
      <c r="P1" s="18"/>
      <c r="Q1" s="18"/>
      <c r="R1" s="18"/>
      <c r="S1" s="18"/>
      <c r="T1" s="18"/>
      <c r="U1" s="18"/>
      <c r="V1" s="18"/>
      <c r="W1" s="18"/>
      <c r="X1" s="18"/>
      <c r="Y1" s="18"/>
    </row>
    <row r="2" customFormat="false" ht="13.8" hidden="false" customHeight="false" outlineLevel="0" collapsed="false">
      <c r="B2" s="187"/>
      <c r="C2" s="54"/>
      <c r="D2" s="18"/>
      <c r="E2" s="20"/>
      <c r="F2" s="21"/>
      <c r="G2" s="20"/>
      <c r="H2" s="22"/>
      <c r="I2" s="17"/>
      <c r="J2" s="18"/>
      <c r="K2" s="18"/>
      <c r="L2" s="18"/>
      <c r="M2" s="18"/>
      <c r="N2" s="18"/>
      <c r="O2" s="18"/>
      <c r="P2" s="18"/>
      <c r="Q2" s="18"/>
      <c r="R2" s="18"/>
      <c r="S2" s="18"/>
      <c r="T2" s="18"/>
      <c r="U2" s="18"/>
      <c r="V2" s="18"/>
      <c r="W2" s="18"/>
      <c r="X2" s="18"/>
      <c r="Y2" s="18"/>
    </row>
    <row r="3" customFormat="false" ht="13.8" hidden="false" customHeight="false" outlineLevel="0" collapsed="false">
      <c r="B3" s="188" t="s">
        <v>27</v>
      </c>
      <c r="C3" s="189"/>
      <c r="D3" s="190"/>
      <c r="E3" s="190"/>
      <c r="F3" s="190"/>
      <c r="G3" s="190"/>
      <c r="H3" s="190"/>
      <c r="I3" s="17"/>
      <c r="J3" s="18"/>
      <c r="K3" s="18"/>
      <c r="L3" s="18"/>
      <c r="M3" s="18"/>
      <c r="N3" s="18"/>
      <c r="O3" s="18"/>
      <c r="P3" s="18"/>
      <c r="Q3" s="18"/>
      <c r="R3" s="18"/>
      <c r="S3" s="18"/>
      <c r="T3" s="18"/>
      <c r="U3" s="18"/>
      <c r="V3" s="18"/>
      <c r="W3" s="18"/>
      <c r="X3" s="18"/>
      <c r="Y3" s="18"/>
    </row>
    <row r="4" customFormat="false" ht="13.8" hidden="false" customHeight="false" outlineLevel="0" collapsed="false">
      <c r="B4" s="191" t="s">
        <v>28</v>
      </c>
      <c r="C4" s="192"/>
      <c r="D4" s="193"/>
      <c r="E4" s="193"/>
      <c r="F4" s="193"/>
      <c r="G4" s="193"/>
      <c r="H4" s="193"/>
      <c r="I4" s="17"/>
      <c r="J4" s="18"/>
      <c r="K4" s="18"/>
      <c r="L4" s="18"/>
      <c r="M4" s="18"/>
      <c r="N4" s="18"/>
      <c r="O4" s="18"/>
      <c r="P4" s="18"/>
      <c r="Q4" s="18"/>
      <c r="R4" s="18"/>
      <c r="S4" s="18"/>
      <c r="T4" s="18"/>
      <c r="U4" s="18"/>
      <c r="V4" s="18"/>
      <c r="W4" s="18"/>
      <c r="X4" s="18"/>
      <c r="Y4" s="18"/>
    </row>
    <row r="5" customFormat="false" ht="13.8" hidden="false" customHeight="false" outlineLevel="0" collapsed="false">
      <c r="B5" s="194" t="s">
        <v>29</v>
      </c>
      <c r="C5" s="195"/>
      <c r="D5" s="196"/>
      <c r="E5" s="196"/>
      <c r="F5" s="196"/>
      <c r="G5" s="196"/>
      <c r="H5" s="196"/>
      <c r="I5" s="17"/>
      <c r="J5" s="18"/>
      <c r="K5" s="18"/>
      <c r="L5" s="18"/>
      <c r="M5" s="18"/>
      <c r="N5" s="18"/>
      <c r="O5" s="18"/>
      <c r="P5" s="18"/>
      <c r="Q5" s="18"/>
      <c r="R5" s="18"/>
      <c r="S5" s="18"/>
      <c r="T5" s="18"/>
      <c r="U5" s="18"/>
      <c r="V5" s="18"/>
      <c r="W5" s="18"/>
      <c r="X5" s="18"/>
      <c r="Y5" s="18"/>
    </row>
    <row r="6" customFormat="false" ht="13.8" hidden="false" customHeight="false" outlineLevel="0" collapsed="false">
      <c r="B6" s="194" t="s">
        <v>30</v>
      </c>
      <c r="C6" s="195"/>
      <c r="D6" s="196"/>
      <c r="E6" s="196"/>
      <c r="F6" s="196"/>
      <c r="G6" s="196"/>
      <c r="H6" s="196"/>
      <c r="I6" s="17"/>
      <c r="J6" s="18"/>
      <c r="K6" s="18"/>
      <c r="L6" s="18"/>
      <c r="M6" s="18"/>
      <c r="N6" s="18"/>
      <c r="O6" s="18"/>
      <c r="P6" s="18"/>
      <c r="Q6" s="18"/>
      <c r="R6" s="18"/>
      <c r="S6" s="18"/>
      <c r="T6" s="18"/>
      <c r="U6" s="18"/>
      <c r="V6" s="18"/>
      <c r="W6" s="18"/>
      <c r="X6" s="18"/>
      <c r="Y6" s="18"/>
    </row>
    <row r="7" customFormat="false" ht="13.8" hidden="false" customHeight="false" outlineLevel="0" collapsed="false">
      <c r="B7" s="194" t="s">
        <v>31</v>
      </c>
      <c r="C7" s="195"/>
      <c r="D7" s="196"/>
      <c r="E7" s="196"/>
      <c r="F7" s="196"/>
      <c r="G7" s="196"/>
      <c r="H7" s="196"/>
      <c r="I7" s="17"/>
      <c r="J7" s="18"/>
      <c r="K7" s="18"/>
      <c r="L7" s="18"/>
      <c r="M7" s="18"/>
      <c r="N7" s="18"/>
      <c r="O7" s="18"/>
      <c r="P7" s="18"/>
      <c r="Q7" s="18"/>
      <c r="R7" s="18"/>
      <c r="S7" s="18"/>
      <c r="T7" s="18"/>
      <c r="U7" s="18"/>
      <c r="V7" s="18"/>
      <c r="W7" s="18"/>
      <c r="X7" s="18"/>
      <c r="Y7" s="18"/>
    </row>
    <row r="8" customFormat="false" ht="13.8" hidden="false" customHeight="false" outlineLevel="0" collapsed="false">
      <c r="B8" s="197" t="s">
        <v>32</v>
      </c>
      <c r="C8" s="198"/>
      <c r="D8" s="199"/>
      <c r="E8" s="199"/>
      <c r="F8" s="199"/>
      <c r="G8" s="199"/>
      <c r="H8" s="199"/>
      <c r="I8" s="17"/>
      <c r="J8" s="18"/>
      <c r="K8" s="18"/>
      <c r="L8" s="18"/>
      <c r="M8" s="18"/>
      <c r="N8" s="18"/>
      <c r="O8" s="18"/>
      <c r="P8" s="18"/>
      <c r="Q8" s="18"/>
      <c r="R8" s="18"/>
      <c r="S8" s="18"/>
      <c r="T8" s="18"/>
      <c r="U8" s="18"/>
      <c r="V8" s="18"/>
      <c r="W8" s="18"/>
      <c r="X8" s="18"/>
      <c r="Y8" s="18"/>
    </row>
    <row r="9" customFormat="false" ht="13.8" hidden="false" customHeight="false" outlineLevel="0" collapsed="false">
      <c r="B9" s="187"/>
      <c r="C9" s="54"/>
      <c r="D9" s="18"/>
      <c r="E9" s="20"/>
      <c r="F9" s="21"/>
      <c r="G9" s="20"/>
      <c r="H9" s="22"/>
      <c r="I9" s="17"/>
      <c r="J9" s="18"/>
      <c r="K9" s="18"/>
      <c r="L9" s="18"/>
      <c r="M9" s="18"/>
      <c r="N9" s="18"/>
      <c r="O9" s="18"/>
      <c r="P9" s="18"/>
      <c r="Q9" s="18"/>
      <c r="R9" s="18"/>
      <c r="S9" s="18"/>
      <c r="T9" s="18"/>
      <c r="U9" s="18"/>
      <c r="V9" s="18"/>
      <c r="W9" s="18"/>
      <c r="X9" s="18"/>
      <c r="Y9" s="18"/>
    </row>
    <row r="10" customFormat="false" ht="13.8" hidden="false" customHeight="false" outlineLevel="0" collapsed="false">
      <c r="B10" s="200" t="s">
        <v>33</v>
      </c>
      <c r="C10" s="201"/>
      <c r="D10" s="202" t="str">
        <f aca="false">IF(ISBLANK(Interview!D10),"",Interview!D10)</f>
        <v/>
      </c>
      <c r="E10" s="20"/>
      <c r="F10" s="21"/>
      <c r="G10" s="20"/>
      <c r="H10" s="22"/>
      <c r="I10" s="17"/>
      <c r="J10" s="18"/>
      <c r="K10" s="18"/>
      <c r="L10" s="18"/>
      <c r="M10" s="18"/>
      <c r="N10" s="18"/>
      <c r="O10" s="18"/>
      <c r="P10" s="18"/>
      <c r="Q10" s="18"/>
      <c r="R10" s="18"/>
      <c r="S10" s="18"/>
      <c r="T10" s="18"/>
      <c r="U10" s="18"/>
      <c r="V10" s="18"/>
      <c r="W10" s="18"/>
      <c r="X10" s="18"/>
      <c r="Y10" s="18"/>
    </row>
    <row r="11" customFormat="false" ht="13.8" hidden="false" customHeight="false" outlineLevel="0" collapsed="false">
      <c r="B11" s="203" t="s">
        <v>34</v>
      </c>
      <c r="C11" s="204"/>
      <c r="D11" s="202" t="str">
        <f aca="false">IF(ISBLANK(Interview!D11),"",Interview!D11)</f>
        <v/>
      </c>
      <c r="E11" s="20"/>
      <c r="F11" s="21"/>
      <c r="G11" s="20"/>
      <c r="H11" s="22"/>
      <c r="I11" s="17"/>
      <c r="J11" s="18"/>
      <c r="K11" s="18"/>
      <c r="L11" s="18"/>
      <c r="M11" s="18"/>
      <c r="N11" s="18"/>
      <c r="O11" s="18"/>
      <c r="P11" s="18"/>
      <c r="Q11" s="18"/>
      <c r="R11" s="18"/>
      <c r="S11" s="18"/>
      <c r="T11" s="18"/>
      <c r="U11" s="18"/>
      <c r="V11" s="18"/>
      <c r="W11" s="18"/>
      <c r="X11" s="18"/>
      <c r="Y11" s="18"/>
    </row>
    <row r="12" customFormat="false" ht="13.8" hidden="false" customHeight="false" outlineLevel="0" collapsed="false">
      <c r="B12" s="203" t="s">
        <v>35</v>
      </c>
      <c r="C12" s="204"/>
      <c r="D12" s="205" t="str">
        <f aca="false">IF(ISBLANK(Interview!D12),"",Interview!D12)</f>
        <v/>
      </c>
      <c r="E12" s="32"/>
      <c r="F12" s="21"/>
      <c r="G12" s="20"/>
      <c r="H12" s="22"/>
      <c r="I12" s="17"/>
      <c r="J12" s="18"/>
      <c r="K12" s="18"/>
      <c r="L12" s="18"/>
      <c r="M12" s="18"/>
      <c r="N12" s="18"/>
      <c r="O12" s="18"/>
      <c r="P12" s="18"/>
      <c r="Q12" s="18"/>
      <c r="R12" s="18"/>
      <c r="S12" s="18"/>
      <c r="T12" s="18"/>
      <c r="U12" s="18"/>
      <c r="V12" s="18"/>
      <c r="W12" s="18"/>
      <c r="X12" s="18"/>
      <c r="Y12" s="18"/>
    </row>
    <row r="13" customFormat="false" ht="13.8" hidden="false" customHeight="false" outlineLevel="0" collapsed="false">
      <c r="B13" s="203" t="s">
        <v>36</v>
      </c>
      <c r="C13" s="206"/>
      <c r="D13" s="202" t="str">
        <f aca="false">IF(ISBLANK(Interview!D13),"",Interview!D13)</f>
        <v/>
      </c>
      <c r="E13" s="20"/>
      <c r="F13" s="21"/>
      <c r="G13" s="20"/>
      <c r="H13" s="22"/>
      <c r="I13" s="17"/>
      <c r="J13" s="18"/>
      <c r="K13" s="18"/>
      <c r="L13" s="18"/>
      <c r="M13" s="18"/>
      <c r="N13" s="18"/>
      <c r="O13" s="18"/>
      <c r="P13" s="18"/>
      <c r="Q13" s="18"/>
      <c r="R13" s="18"/>
      <c r="S13" s="18"/>
      <c r="T13" s="18"/>
      <c r="U13" s="18"/>
      <c r="V13" s="18"/>
      <c r="W13" s="18"/>
      <c r="X13" s="18"/>
      <c r="Y13" s="18"/>
    </row>
    <row r="14" customFormat="false" ht="22.05" hidden="false" customHeight="false" outlineLevel="0" collapsed="false">
      <c r="A14" s="33" t="str">
        <f aca="false">IF(A15=A16,"OK","Problem")</f>
        <v>OK</v>
      </c>
      <c r="B14" s="207" t="s">
        <v>12</v>
      </c>
      <c r="C14" s="208"/>
      <c r="D14" s="209" t="str">
        <f aca="false">IF(ISBLANK(Interview!D14),"",Interview!D14)</f>
        <v/>
      </c>
      <c r="E14" s="20"/>
      <c r="F14" s="21"/>
      <c r="G14" s="20"/>
      <c r="H14" s="22"/>
      <c r="I14" s="17"/>
      <c r="J14" s="18"/>
      <c r="K14" s="18"/>
      <c r="L14" s="18"/>
      <c r="M14" s="18"/>
      <c r="N14" s="18"/>
      <c r="O14" s="18"/>
      <c r="P14" s="18"/>
      <c r="Q14" s="18"/>
      <c r="R14" s="18"/>
      <c r="S14" s="18"/>
      <c r="T14" s="18"/>
      <c r="U14" s="18"/>
      <c r="V14" s="18"/>
      <c r="W14" s="18"/>
      <c r="X14" s="18"/>
      <c r="Y14" s="18"/>
    </row>
    <row r="15" customFormat="false" ht="13.8" hidden="false" customHeight="false" outlineLevel="0" collapsed="false">
      <c r="A15" s="10" t="n">
        <f aca="false">COUNTA('imp-questions'!A2:A300)</f>
        <v>90</v>
      </c>
      <c r="B15" s="54"/>
      <c r="C15" s="54"/>
      <c r="D15" s="18"/>
      <c r="E15" s="20"/>
      <c r="F15" s="21"/>
      <c r="G15" s="20"/>
      <c r="H15" s="22"/>
      <c r="I15" s="17"/>
      <c r="J15" s="18"/>
      <c r="K15" s="18"/>
      <c r="L15" s="18"/>
      <c r="M15" s="18"/>
      <c r="N15" s="18"/>
      <c r="O15" s="18"/>
      <c r="P15" s="18"/>
      <c r="Q15" s="18"/>
      <c r="R15" s="18"/>
      <c r="S15" s="18"/>
      <c r="T15" s="18"/>
      <c r="U15" s="18"/>
      <c r="V15" s="18"/>
      <c r="W15" s="18"/>
      <c r="X15" s="18"/>
      <c r="Y15" s="18"/>
    </row>
    <row r="16" customFormat="false" ht="13.5" hidden="false" customHeight="true" outlineLevel="0" collapsed="false">
      <c r="A16" s="10" t="n">
        <f aca="false">COUNTA(A18:A175)</f>
        <v>90</v>
      </c>
      <c r="B16" s="210" t="s">
        <v>37</v>
      </c>
      <c r="C16" s="210"/>
      <c r="D16" s="211"/>
      <c r="E16" s="211"/>
      <c r="F16" s="212" t="s">
        <v>157</v>
      </c>
      <c r="G16" s="212"/>
      <c r="H16" s="212"/>
      <c r="I16" s="212"/>
      <c r="J16" s="212" t="s">
        <v>163</v>
      </c>
      <c r="K16" s="212"/>
      <c r="L16" s="212"/>
      <c r="M16" s="212"/>
      <c r="N16" s="212" t="s">
        <v>164</v>
      </c>
      <c r="O16" s="212"/>
      <c r="P16" s="212"/>
      <c r="Q16" s="212"/>
      <c r="R16" s="212" t="s">
        <v>165</v>
      </c>
      <c r="S16" s="212"/>
      <c r="T16" s="212"/>
      <c r="U16" s="212"/>
      <c r="V16" s="212" t="s">
        <v>166</v>
      </c>
      <c r="W16" s="212"/>
      <c r="X16" s="212"/>
      <c r="Y16" s="212"/>
    </row>
    <row r="17" customFormat="false" ht="13.8" hidden="false" customHeight="false" outlineLevel="0" collapsed="false">
      <c r="B17" s="213" t="s">
        <v>38</v>
      </c>
      <c r="C17" s="214" t="s">
        <v>39</v>
      </c>
      <c r="D17" s="39" t="s">
        <v>40</v>
      </c>
      <c r="E17" s="40"/>
      <c r="F17" s="215" t="s">
        <v>41</v>
      </c>
      <c r="G17" s="41"/>
      <c r="H17" s="42"/>
      <c r="I17" s="216" t="s">
        <v>43</v>
      </c>
      <c r="J17" s="41" t="s">
        <v>41</v>
      </c>
      <c r="K17" s="41"/>
      <c r="L17" s="42"/>
      <c r="M17" s="216" t="s">
        <v>43</v>
      </c>
      <c r="N17" s="41" t="s">
        <v>41</v>
      </c>
      <c r="O17" s="41"/>
      <c r="P17" s="42"/>
      <c r="Q17" s="216" t="s">
        <v>43</v>
      </c>
      <c r="R17" s="41" t="s">
        <v>41</v>
      </c>
      <c r="S17" s="41"/>
      <c r="T17" s="42"/>
      <c r="U17" s="216" t="s">
        <v>43</v>
      </c>
      <c r="V17" s="41" t="s">
        <v>41</v>
      </c>
      <c r="W17" s="41"/>
      <c r="X17" s="42"/>
      <c r="Y17" s="216" t="s">
        <v>43</v>
      </c>
    </row>
    <row r="18" customFormat="false" ht="13.5" hidden="false" customHeight="false" outlineLevel="0" collapsed="false">
      <c r="A18" s="44" t="str">
        <f aca="false">Interview!A18</f>
        <v>G-SM-A-1-1</v>
      </c>
      <c r="B18" s="217" t="str">
        <f aca="false">VLOOKUP(A18,'imp-questions'!A:H,4,FALSE())</f>
        <v>Create and Promote</v>
      </c>
      <c r="C18" s="218" t="n">
        <f aca="false">VLOOKUP(A18,'imp-questions'!A:H,5,FALSE())</f>
        <v>1</v>
      </c>
      <c r="D18" s="47" t="str">
        <f aca="false">VLOOKUP(A18,'imp-questions'!A:H,6,FALSE())</f>
        <v>Do you understand the enterprise-wide risk appetite for your applications ?</v>
      </c>
      <c r="E18" s="48" t="str">
        <f aca="false">CHAR(65+VLOOKUP(A18,'imp-questions'!A:H,8,FALSE()))</f>
        <v>Y</v>
      </c>
      <c r="F18" s="219" t="s">
        <v>167</v>
      </c>
      <c r="G18" s="50" t="n">
        <f aca="false">IFERROR(VLOOKUP(F18,AnsYTBL,2,FALSE()),0)</f>
        <v>0.25</v>
      </c>
      <c r="H18" s="51" t="n">
        <f aca="false">IFERROR(AVERAGE(G18,G22),0)</f>
        <v>0.125</v>
      </c>
      <c r="I18" s="220" t="n">
        <f aca="false">SUM(H18,H19,H20)</f>
        <v>0.875</v>
      </c>
      <c r="J18" s="221" t="str">
        <f aca="false">F18</f>
        <v>Yes, it covers general risks</v>
      </c>
      <c r="K18" s="50" t="n">
        <f aca="false">IFERROR(VLOOKUP(J18,AnsYTBL,2,FALSE()),0)</f>
        <v>0.25</v>
      </c>
      <c r="L18" s="51" t="n">
        <f aca="false">IFERROR(AVERAGE(K18,K22),0)</f>
        <v>0.125</v>
      </c>
      <c r="M18" s="220" t="n">
        <f aca="false">SUM(L18,L19,L20)</f>
        <v>0.875</v>
      </c>
      <c r="N18" s="221" t="str">
        <f aca="false">J18</f>
        <v>Yes, it covers general risks</v>
      </c>
      <c r="O18" s="50" t="n">
        <f aca="false">IFERROR(VLOOKUP(N18,AnsYTBL,2,FALSE()),0)</f>
        <v>0.25</v>
      </c>
      <c r="P18" s="51" t="n">
        <f aca="false">IFERROR(AVERAGE(O18,O22),0)</f>
        <v>0.125</v>
      </c>
      <c r="Q18" s="220" t="n">
        <f aca="false">SUM(P18,P19,P20)</f>
        <v>0.875</v>
      </c>
      <c r="R18" s="221" t="str">
        <f aca="false">N18</f>
        <v>Yes, it covers general risks</v>
      </c>
      <c r="S18" s="50" t="n">
        <f aca="false">IFERROR(VLOOKUP(R18,AnsYTBL,2,FALSE()),0)</f>
        <v>0.25</v>
      </c>
      <c r="T18" s="51" t="n">
        <f aca="false">IFERROR(AVERAGE(S18,S22),0)</f>
        <v>0.125</v>
      </c>
      <c r="U18" s="220" t="n">
        <f aca="false">SUM(T18,T19,T20)</f>
        <v>0.875</v>
      </c>
      <c r="V18" s="221" t="str">
        <f aca="false">R18</f>
        <v>Yes, it covers general risks</v>
      </c>
      <c r="W18" s="50" t="n">
        <f aca="false">IFERROR(VLOOKUP(V18,AnsYTBL,2,FALSE()),0)</f>
        <v>0.25</v>
      </c>
      <c r="X18" s="51" t="n">
        <f aca="false">IFERROR(AVERAGE(W18,W22),0)</f>
        <v>0.125</v>
      </c>
      <c r="Y18" s="220" t="n">
        <f aca="false">SUM(X18,X19,X20)</f>
        <v>0.875</v>
      </c>
    </row>
    <row r="19" customFormat="false" ht="23.85" hidden="false" customHeight="false" outlineLevel="0" collapsed="false">
      <c r="A19" s="44" t="str">
        <f aca="false">Interview!A20</f>
        <v>G-SM-A-2-1</v>
      </c>
      <c r="B19" s="217"/>
      <c r="C19" s="218" t="n">
        <f aca="false">VLOOKUP(A19,'imp-questions'!A:H,5,FALSE())</f>
        <v>2</v>
      </c>
      <c r="D19" s="47" t="str">
        <f aca="false">VLOOKUP(A19,'imp-questions'!A:H,6,FALSE())</f>
        <v>Do you have a strategic plan for application security and use it to make decisions?</v>
      </c>
      <c r="E19" s="61" t="str">
        <f aca="false">CHAR(65+VLOOKUP(A19,'imp-questions'!A:H,8,FALSE()))</f>
        <v>V</v>
      </c>
      <c r="F19" s="219" t="s">
        <v>168</v>
      </c>
      <c r="G19" s="50" t="n">
        <f aca="false">IFERROR(VLOOKUP(F19,AnsVTBL,2,FALSE()),0)</f>
        <v>0.5</v>
      </c>
      <c r="H19" s="64" t="n">
        <f aca="false">IFERROR(AVERAGE(G19,G23),0)</f>
        <v>0.25</v>
      </c>
      <c r="I19" s="220"/>
      <c r="J19" s="221" t="str">
        <f aca="false">F19</f>
        <v>Yes, we consult the plan before making significant decisions</v>
      </c>
      <c r="K19" s="50" t="n">
        <f aca="false">IFERROR(VLOOKUP(J19,AnsVTBL,2,FALSE()),0)</f>
        <v>0.5</v>
      </c>
      <c r="L19" s="64" t="n">
        <f aca="false">IFERROR(AVERAGE(K19,K23),0)</f>
        <v>0.25</v>
      </c>
      <c r="M19" s="220"/>
      <c r="N19" s="221" t="str">
        <f aca="false">J19</f>
        <v>Yes, we consult the plan before making significant decisions</v>
      </c>
      <c r="O19" s="50" t="n">
        <f aca="false">IFERROR(VLOOKUP(N19,AnsVTBL,2,FALSE()),0)</f>
        <v>0.5</v>
      </c>
      <c r="P19" s="64" t="n">
        <f aca="false">IFERROR(AVERAGE(O19,O23),0)</f>
        <v>0.25</v>
      </c>
      <c r="Q19" s="220"/>
      <c r="R19" s="221" t="str">
        <f aca="false">N19</f>
        <v>Yes, we consult the plan before making significant decisions</v>
      </c>
      <c r="S19" s="50" t="n">
        <f aca="false">IFERROR(VLOOKUP(R19,AnsVTBL,2,FALSE()),0)</f>
        <v>0.5</v>
      </c>
      <c r="T19" s="64" t="n">
        <f aca="false">IFERROR(AVERAGE(S19,S23),0)</f>
        <v>0.25</v>
      </c>
      <c r="U19" s="220"/>
      <c r="V19" s="221" t="str">
        <f aca="false">R19</f>
        <v>Yes, we consult the plan before making significant decisions</v>
      </c>
      <c r="W19" s="50" t="n">
        <f aca="false">IFERROR(VLOOKUP(V19,AnsVTBL,2,FALSE()),0)</f>
        <v>0.5</v>
      </c>
      <c r="X19" s="64" t="n">
        <f aca="false">IFERROR(AVERAGE(W19,W23),0)</f>
        <v>0.25</v>
      </c>
      <c r="Y19" s="220"/>
    </row>
    <row r="20" customFormat="false" ht="23.85" hidden="false" customHeight="false" outlineLevel="0" collapsed="false">
      <c r="A20" s="44" t="str">
        <f aca="false">Interview!A22</f>
        <v>G-SM-A-3-1</v>
      </c>
      <c r="B20" s="217"/>
      <c r="C20" s="218" t="n">
        <f aca="false">VLOOKUP(A20,'imp-questions'!A:H,5,FALSE())</f>
        <v>3</v>
      </c>
      <c r="D20" s="222" t="str">
        <f aca="false">VLOOKUP(A20,'imp-questions'!A:H,6,FALSE())</f>
        <v>Do you regularly review and update the Strategic Plan for Application Security?</v>
      </c>
      <c r="E20" s="61" t="str">
        <f aca="false">CHAR(65+VLOOKUP(A20,'imp-questions'!A:H,8,FALSE()))</f>
        <v>N</v>
      </c>
      <c r="F20" s="223" t="s">
        <v>169</v>
      </c>
      <c r="G20" s="50" t="n">
        <f aca="false">IFERROR(VLOOKUP(F20,AnsNTBL,2,FALSE()),0)</f>
        <v>1</v>
      </c>
      <c r="H20" s="64" t="n">
        <f aca="false">IFERROR(AVERAGE(G20,G24),0)</f>
        <v>0.5</v>
      </c>
      <c r="I20" s="220"/>
      <c r="J20" s="221" t="str">
        <f aca="false">F20</f>
        <v>Yes, we review it at least annually</v>
      </c>
      <c r="K20" s="50" t="n">
        <f aca="false">IFERROR(VLOOKUP(J20,AnsNTBL,2,FALSE()),0)</f>
        <v>1</v>
      </c>
      <c r="L20" s="64" t="n">
        <f aca="false">IFERROR(AVERAGE(K20,K24),0)</f>
        <v>0.5</v>
      </c>
      <c r="M20" s="220"/>
      <c r="N20" s="221" t="str">
        <f aca="false">J20</f>
        <v>Yes, we review it at least annually</v>
      </c>
      <c r="O20" s="50" t="n">
        <f aca="false">IFERROR(VLOOKUP(N20,AnsNTBL,2,FALSE()),0)</f>
        <v>1</v>
      </c>
      <c r="P20" s="64" t="n">
        <f aca="false">IFERROR(AVERAGE(O20,O24),0)</f>
        <v>0.5</v>
      </c>
      <c r="Q20" s="220"/>
      <c r="R20" s="221" t="str">
        <f aca="false">N20</f>
        <v>Yes, we review it at least annually</v>
      </c>
      <c r="S20" s="50" t="n">
        <f aca="false">IFERROR(VLOOKUP(R20,AnsNTBL,2,FALSE()),0)</f>
        <v>1</v>
      </c>
      <c r="T20" s="64" t="n">
        <f aca="false">IFERROR(AVERAGE(S20,S24),0)</f>
        <v>0.5</v>
      </c>
      <c r="U20" s="220"/>
      <c r="V20" s="221" t="str">
        <f aca="false">R20</f>
        <v>Yes, we review it at least annually</v>
      </c>
      <c r="W20" s="50" t="n">
        <f aca="false">IFERROR(VLOOKUP(V20,AnsNTBL,2,FALSE()),0)</f>
        <v>1</v>
      </c>
      <c r="X20" s="64" t="n">
        <f aca="false">IFERROR(AVERAGE(W20,W24),0)</f>
        <v>0.5</v>
      </c>
      <c r="Y20" s="220"/>
    </row>
    <row r="21" customFormat="false" ht="13.5" hidden="false" customHeight="false" outlineLevel="0" collapsed="false">
      <c r="A21" s="44"/>
      <c r="B21" s="224"/>
      <c r="C21" s="225"/>
      <c r="D21" s="70"/>
      <c r="E21" s="70"/>
      <c r="F21" s="70"/>
      <c r="G21" s="70"/>
      <c r="H21" s="70"/>
      <c r="I21" s="220"/>
      <c r="J21" s="70"/>
      <c r="K21" s="70"/>
      <c r="L21" s="70"/>
      <c r="M21" s="220"/>
      <c r="N21" s="70"/>
      <c r="O21" s="70"/>
      <c r="P21" s="70"/>
      <c r="Q21" s="220"/>
      <c r="R21" s="70"/>
      <c r="S21" s="70"/>
      <c r="T21" s="70"/>
      <c r="U21" s="220"/>
      <c r="V21" s="70"/>
      <c r="W21" s="70"/>
      <c r="X21" s="70"/>
      <c r="Y21" s="220"/>
    </row>
    <row r="22" customFormat="false" ht="23.85" hidden="false" customHeight="false" outlineLevel="0" collapsed="false">
      <c r="A22" s="44" t="str">
        <f aca="false">Interview!A25</f>
        <v>G-SM-B-1-1</v>
      </c>
      <c r="B22" s="217" t="str">
        <f aca="false">VLOOKUP(A22,'imp-questions'!A:H,4,FALSE())</f>
        <v>Measure and Improve</v>
      </c>
      <c r="C22" s="218" t="n">
        <f aca="false">VLOOKUP(A22,'imp-questions'!A:H,5,FALSE())</f>
        <v>1</v>
      </c>
      <c r="D22" s="47" t="str">
        <f aca="false">VLOOKUP(A22,'imp-questions'!A:H,6,FALSE())</f>
        <v>Do you use a set of metrics to measure the effectiveness and efficiency of the application security program across applications?</v>
      </c>
      <c r="E22" s="48" t="str">
        <f aca="false">CHAR(65+VLOOKUP(A22,'imp-questions'!A:H,8,FALSE()))</f>
        <v>K</v>
      </c>
      <c r="F22" s="226" t="n">
        <f aca="false">Interview!F25</f>
        <v>0</v>
      </c>
      <c r="G22" s="50" t="n">
        <f aca="false">IFERROR(VLOOKUP(F22,AnsKTBL,2,FALSE()),0)</f>
        <v>0</v>
      </c>
      <c r="H22" s="51"/>
      <c r="I22" s="220"/>
      <c r="J22" s="227" t="n">
        <f aca="false">F22</f>
        <v>0</v>
      </c>
      <c r="K22" s="50" t="n">
        <f aca="false">IFERROR(VLOOKUP(J22,AnsKTBL,2,FALSE()),0)</f>
        <v>0</v>
      </c>
      <c r="L22" s="51"/>
      <c r="M22" s="220"/>
      <c r="N22" s="227" t="n">
        <f aca="false">J22</f>
        <v>0</v>
      </c>
      <c r="O22" s="50" t="n">
        <f aca="false">IFERROR(VLOOKUP(N22,AnsKTBL,2,FALSE()),0)</f>
        <v>0</v>
      </c>
      <c r="P22" s="51"/>
      <c r="Q22" s="220"/>
      <c r="R22" s="227" t="n">
        <f aca="false">N22</f>
        <v>0</v>
      </c>
      <c r="S22" s="50" t="n">
        <f aca="false">IFERROR(VLOOKUP(R22,AnsKTBL,2,FALSE()),0)</f>
        <v>0</v>
      </c>
      <c r="T22" s="51"/>
      <c r="U22" s="220"/>
      <c r="V22" s="227" t="n">
        <f aca="false">R22</f>
        <v>0</v>
      </c>
      <c r="W22" s="50" t="n">
        <f aca="false">IFERROR(VLOOKUP(V22,AnsKTBL,2,FALSE()),0)</f>
        <v>0</v>
      </c>
      <c r="X22" s="51"/>
      <c r="Y22" s="220"/>
    </row>
    <row r="23" customFormat="false" ht="23.85" hidden="false" customHeight="false" outlineLevel="0" collapsed="false">
      <c r="A23" s="44" t="str">
        <f aca="false">Interview!A27</f>
        <v>G-SM-B-2-1</v>
      </c>
      <c r="B23" s="217"/>
      <c r="C23" s="218" t="n">
        <f aca="false">VLOOKUP(A23,'imp-questions'!A:H,5,FALSE())</f>
        <v>2</v>
      </c>
      <c r="D23" s="47" t="str">
        <f aca="false">VLOOKUP(A23,'imp-questions'!A:H,6,FALSE())</f>
        <v>Did you define Key Perfomance Indicators (KPI) from available application security metrics?</v>
      </c>
      <c r="E23" s="48" t="str">
        <f aca="false">CHAR(65+VLOOKUP(A23,'imp-questions'!A:H,8,FALSE()))</f>
        <v>B</v>
      </c>
      <c r="F23" s="228" t="n">
        <f aca="false">Interview!F27</f>
        <v>0</v>
      </c>
      <c r="G23" s="50" t="n">
        <f aca="false">IFERROR(VLOOKUP(F23,AnsBTBL,2,FALSE()),0)</f>
        <v>0</v>
      </c>
      <c r="H23" s="64"/>
      <c r="I23" s="220"/>
      <c r="J23" s="227" t="n">
        <f aca="false">F23</f>
        <v>0</v>
      </c>
      <c r="K23" s="50" t="n">
        <f aca="false">IFERROR(VLOOKUP(J23,AnsBTBL,2,FALSE()),0)</f>
        <v>0</v>
      </c>
      <c r="L23" s="64"/>
      <c r="M23" s="220"/>
      <c r="N23" s="227" t="n">
        <f aca="false">J23</f>
        <v>0</v>
      </c>
      <c r="O23" s="50" t="n">
        <f aca="false">IFERROR(VLOOKUP(N23,AnsBTBL,2,FALSE()),0)</f>
        <v>0</v>
      </c>
      <c r="P23" s="64"/>
      <c r="Q23" s="220"/>
      <c r="R23" s="227" t="n">
        <f aca="false">N23</f>
        <v>0</v>
      </c>
      <c r="S23" s="50" t="n">
        <f aca="false">IFERROR(VLOOKUP(R23,AnsBTBL,2,FALSE()),0)</f>
        <v>0</v>
      </c>
      <c r="T23" s="64"/>
      <c r="U23" s="220"/>
      <c r="V23" s="227" t="n">
        <f aca="false">R23</f>
        <v>0</v>
      </c>
      <c r="W23" s="50" t="n">
        <f aca="false">IFERROR(VLOOKUP(V23,AnsBTBL,2,FALSE()),0)</f>
        <v>0</v>
      </c>
      <c r="X23" s="64"/>
      <c r="Y23" s="220"/>
    </row>
    <row r="24" customFormat="false" ht="23.85" hidden="false" customHeight="false" outlineLevel="0" collapsed="false">
      <c r="A24" s="44" t="str">
        <f aca="false">Interview!A29</f>
        <v>G-SM-B-3-1</v>
      </c>
      <c r="B24" s="217"/>
      <c r="C24" s="218" t="n">
        <f aca="false">VLOOKUP(A24,'imp-questions'!A:H,5,FALSE())</f>
        <v>3</v>
      </c>
      <c r="D24" s="222" t="str">
        <f aca="false">VLOOKUP(A24,'imp-questions'!A:H,6,FALSE())</f>
        <v>Do you update the Application Security strategy and roadmap based on application security metrics and KPIs?</v>
      </c>
      <c r="E24" s="48" t="str">
        <f aca="false">CHAR(65+VLOOKUP(A24,'imp-questions'!A:H,8,FALSE()))</f>
        <v>N</v>
      </c>
      <c r="F24" s="228" t="n">
        <f aca="false">Interview!F29</f>
        <v>0</v>
      </c>
      <c r="G24" s="50" t="n">
        <f aca="false">IFERROR(VLOOKUP(F24,AnsNTBL,2,FALSE()),0)</f>
        <v>0</v>
      </c>
      <c r="H24" s="64"/>
      <c r="I24" s="220"/>
      <c r="J24" s="227" t="n">
        <f aca="false">F24</f>
        <v>0</v>
      </c>
      <c r="K24" s="50" t="n">
        <f aca="false">IFERROR(VLOOKUP(J24,AnsNTBL,2,FALSE()),0)</f>
        <v>0</v>
      </c>
      <c r="L24" s="64"/>
      <c r="M24" s="220"/>
      <c r="N24" s="227" t="n">
        <f aca="false">J24</f>
        <v>0</v>
      </c>
      <c r="O24" s="50" t="n">
        <f aca="false">IFERROR(VLOOKUP(N24,AnsNTBL,2,FALSE()),0)</f>
        <v>0</v>
      </c>
      <c r="P24" s="64"/>
      <c r="Q24" s="220"/>
      <c r="R24" s="227" t="n">
        <f aca="false">N24</f>
        <v>0</v>
      </c>
      <c r="S24" s="50" t="n">
        <f aca="false">IFERROR(VLOOKUP(R24,AnsNTBL,2,FALSE()),0)</f>
        <v>0</v>
      </c>
      <c r="T24" s="64"/>
      <c r="U24" s="220"/>
      <c r="V24" s="227" t="n">
        <f aca="false">R24</f>
        <v>0</v>
      </c>
      <c r="W24" s="50" t="n">
        <f aca="false">IFERROR(VLOOKUP(V24,AnsNTBL,2,FALSE()),0)</f>
        <v>0</v>
      </c>
      <c r="X24" s="64"/>
      <c r="Y24" s="220"/>
    </row>
    <row r="25" customFormat="false" ht="13.5" hidden="false" customHeight="false" outlineLevel="0" collapsed="false">
      <c r="A25" s="44"/>
      <c r="B25" s="224"/>
      <c r="C25" s="225"/>
      <c r="D25" s="70"/>
      <c r="E25" s="70"/>
      <c r="F25" s="70"/>
      <c r="G25" s="70"/>
      <c r="H25" s="70"/>
      <c r="I25" s="70"/>
      <c r="J25" s="70"/>
      <c r="K25" s="70"/>
      <c r="L25" s="70"/>
      <c r="M25" s="70"/>
      <c r="N25" s="70"/>
      <c r="O25" s="70"/>
      <c r="P25" s="70"/>
      <c r="Q25" s="70"/>
      <c r="R25" s="70"/>
      <c r="S25" s="70"/>
      <c r="T25" s="70"/>
      <c r="U25" s="70"/>
      <c r="V25" s="70"/>
      <c r="W25" s="70"/>
      <c r="X25" s="70"/>
      <c r="Y25" s="70"/>
    </row>
    <row r="26" customFormat="false" ht="13.8" hidden="false" customHeight="false" outlineLevel="0" collapsed="false">
      <c r="A26" s="44"/>
      <c r="B26" s="213" t="s">
        <v>38</v>
      </c>
      <c r="C26" s="214" t="s">
        <v>39</v>
      </c>
      <c r="D26" s="229" t="s">
        <v>50</v>
      </c>
      <c r="E26" s="75"/>
      <c r="F26" s="74" t="s">
        <v>41</v>
      </c>
      <c r="G26" s="74"/>
      <c r="H26" s="76"/>
      <c r="I26" s="216" t="s">
        <v>43</v>
      </c>
      <c r="J26" s="74" t="s">
        <v>41</v>
      </c>
      <c r="K26" s="74"/>
      <c r="L26" s="76"/>
      <c r="M26" s="216" t="s">
        <v>43</v>
      </c>
      <c r="N26" s="74" t="s">
        <v>41</v>
      </c>
      <c r="O26" s="74"/>
      <c r="P26" s="76"/>
      <c r="Q26" s="216" t="s">
        <v>43</v>
      </c>
      <c r="R26" s="74" t="s">
        <v>41</v>
      </c>
      <c r="S26" s="74"/>
      <c r="T26" s="76"/>
      <c r="U26" s="216" t="s">
        <v>43</v>
      </c>
      <c r="V26" s="74" t="s">
        <v>41</v>
      </c>
      <c r="W26" s="74"/>
      <c r="X26" s="76"/>
      <c r="Y26" s="216" t="s">
        <v>43</v>
      </c>
    </row>
    <row r="27" customFormat="false" ht="23.85" hidden="false" customHeight="false" outlineLevel="0" collapsed="false">
      <c r="A27" s="44" t="str">
        <f aca="false">Interview!A32</f>
        <v>G-PC-A-1-1</v>
      </c>
      <c r="B27" s="217" t="str">
        <f aca="false">VLOOKUP(A27,'imp-questions'!A:H,4,FALSE())</f>
        <v>Policy &amp; Standards</v>
      </c>
      <c r="C27" s="218" t="n">
        <f aca="false">VLOOKUP(A27,'imp-questions'!A:H,5,FALSE())</f>
        <v>1</v>
      </c>
      <c r="D27" s="47" t="str">
        <f aca="false">VLOOKUP(A27,'imp-questions'!A:H,6,FALSE())</f>
        <v>Do you have and apply a common set of policies and standards throughout your organization?</v>
      </c>
      <c r="E27" s="48" t="str">
        <f aca="false">CHAR(65+VLOOKUP(A27,'imp-questions'!A:H,8,FALSE()))</f>
        <v>F</v>
      </c>
      <c r="F27" s="230" t="n">
        <f aca="false">Interview!F32</f>
        <v>0</v>
      </c>
      <c r="G27" s="50" t="n">
        <f aca="false">IFERROR(VLOOKUP(F27,AnsFTBL,2,FALSE()),0)</f>
        <v>0</v>
      </c>
      <c r="H27" s="231" t="n">
        <f aca="false">IFERROR(AVERAGE(G27,G31),0)</f>
        <v>0</v>
      </c>
      <c r="I27" s="232" t="n">
        <f aca="false">SUM(H27,H28,H29)</f>
        <v>0</v>
      </c>
      <c r="J27" s="227" t="n">
        <f aca="false">F27</f>
        <v>0</v>
      </c>
      <c r="K27" s="50" t="n">
        <f aca="false">IFERROR(VLOOKUP(J27,AnsFTBL,2,FALSE()),0)</f>
        <v>0</v>
      </c>
      <c r="L27" s="231" t="n">
        <f aca="false">IFERROR(AVERAGE(K27,K31),0)</f>
        <v>0</v>
      </c>
      <c r="M27" s="232" t="n">
        <f aca="false">SUM(L27,L28,L29)</f>
        <v>0</v>
      </c>
      <c r="N27" s="227" t="n">
        <f aca="false">J27</f>
        <v>0</v>
      </c>
      <c r="O27" s="50" t="n">
        <f aca="false">IFERROR(VLOOKUP(N27,AnsFTBL,2,FALSE()),0)</f>
        <v>0</v>
      </c>
      <c r="P27" s="231" t="n">
        <f aca="false">IFERROR(AVERAGE(O27,O31),0)</f>
        <v>0</v>
      </c>
      <c r="Q27" s="232" t="n">
        <f aca="false">SUM(P27,P28,P29)</f>
        <v>0</v>
      </c>
      <c r="R27" s="227" t="n">
        <f aca="false">N27</f>
        <v>0</v>
      </c>
      <c r="S27" s="50" t="n">
        <f aca="false">IFERROR(VLOOKUP(R27,AnsFTBL,2,FALSE()),0)</f>
        <v>0</v>
      </c>
      <c r="T27" s="231" t="n">
        <f aca="false">IFERROR(AVERAGE(S27,S31),0)</f>
        <v>0</v>
      </c>
      <c r="U27" s="232" t="n">
        <f aca="false">SUM(T27,T28,T29)</f>
        <v>0</v>
      </c>
      <c r="V27" s="227" t="n">
        <f aca="false">R27</f>
        <v>0</v>
      </c>
      <c r="W27" s="50" t="n">
        <f aca="false">IFERROR(VLOOKUP(V27,AnsFTBL,2,FALSE()),0)</f>
        <v>0</v>
      </c>
      <c r="X27" s="231" t="n">
        <f aca="false">IFERROR(AVERAGE(W27,W31),0)</f>
        <v>0</v>
      </c>
      <c r="Y27" s="232" t="n">
        <f aca="false">SUM(X27,X28,X29)</f>
        <v>0</v>
      </c>
    </row>
    <row r="28" customFormat="false" ht="23.85" hidden="false" customHeight="false" outlineLevel="0" collapsed="false">
      <c r="A28" s="44" t="str">
        <f aca="false">Interview!A34</f>
        <v>G-PC-A-2-1</v>
      </c>
      <c r="B28" s="217"/>
      <c r="C28" s="218" t="n">
        <f aca="false">VLOOKUP(A28,'imp-questions'!A:H,5,FALSE())</f>
        <v>2</v>
      </c>
      <c r="D28" s="47" t="str">
        <f aca="false">VLOOKUP(A28,'imp-questions'!A:H,6,FALSE())</f>
        <v>Do you publish the organization's policies as test scripts or run-books for easy interpretation by development teams?</v>
      </c>
      <c r="E28" s="48" t="str">
        <f aca="false">CHAR(65+VLOOKUP(A28,'imp-questions'!A:H,8,FALSE()))</f>
        <v>A</v>
      </c>
      <c r="F28" s="230" t="n">
        <f aca="false">Interview!F34</f>
        <v>0</v>
      </c>
      <c r="G28" s="50" t="n">
        <f aca="false">IFERROR(VLOOKUP(F28,AnsATBL,2,FALSE()),0)</f>
        <v>0</v>
      </c>
      <c r="H28" s="233" t="n">
        <f aca="false">IFERROR(AVERAGE(G28,G32),0)</f>
        <v>0</v>
      </c>
      <c r="I28" s="232"/>
      <c r="J28" s="227" t="n">
        <f aca="false">F28</f>
        <v>0</v>
      </c>
      <c r="K28" s="50" t="n">
        <f aca="false">IFERROR(VLOOKUP(J28,AnsATBL,2,FALSE()),0)</f>
        <v>0</v>
      </c>
      <c r="L28" s="233" t="n">
        <f aca="false">IFERROR(AVERAGE(K28,K32),0)</f>
        <v>0</v>
      </c>
      <c r="M28" s="232"/>
      <c r="N28" s="227" t="n">
        <f aca="false">J28</f>
        <v>0</v>
      </c>
      <c r="O28" s="50" t="n">
        <f aca="false">IFERROR(VLOOKUP(N28,AnsATBL,2,FALSE()),0)</f>
        <v>0</v>
      </c>
      <c r="P28" s="233" t="n">
        <f aca="false">IFERROR(AVERAGE(O28,O32),0)</f>
        <v>0</v>
      </c>
      <c r="Q28" s="232"/>
      <c r="R28" s="227" t="n">
        <f aca="false">N28</f>
        <v>0</v>
      </c>
      <c r="S28" s="50" t="n">
        <f aca="false">IFERROR(VLOOKUP(R28,AnsATBL,2,FALSE()),0)</f>
        <v>0</v>
      </c>
      <c r="T28" s="233" t="n">
        <f aca="false">IFERROR(AVERAGE(S28,S32),0)</f>
        <v>0</v>
      </c>
      <c r="U28" s="232"/>
      <c r="V28" s="227" t="n">
        <f aca="false">R28</f>
        <v>0</v>
      </c>
      <c r="W28" s="50" t="n">
        <f aca="false">IFERROR(VLOOKUP(V28,AnsATBL,2,FALSE()),0)</f>
        <v>0</v>
      </c>
      <c r="X28" s="233" t="n">
        <f aca="false">IFERROR(AVERAGE(W28,W32),0)</f>
        <v>0</v>
      </c>
      <c r="Y28" s="232"/>
    </row>
    <row r="29" customFormat="false" ht="23.85" hidden="false" customHeight="false" outlineLevel="0" collapsed="false">
      <c r="A29" s="44" t="str">
        <f aca="false">Interview!A36</f>
        <v>G-PC-A-3-1</v>
      </c>
      <c r="B29" s="217"/>
      <c r="C29" s="218" t="n">
        <f aca="false">VLOOKUP(A29,'imp-questions'!A:H,5,FALSE())</f>
        <v>3</v>
      </c>
      <c r="D29" s="47" t="str">
        <f aca="false">VLOOKUP(A29,'imp-questions'!A:H,6,FALSE())</f>
        <v>Do you regularly report on policy and standard compliance, and use that information to guide compliance improvement efforts?</v>
      </c>
      <c r="E29" s="48" t="str">
        <f aca="false">CHAR(65+VLOOKUP(A29,'imp-questions'!A:H,8,FALSE()))</f>
        <v>E</v>
      </c>
      <c r="F29" s="230" t="n">
        <f aca="false">Interview!F36</f>
        <v>0</v>
      </c>
      <c r="G29" s="50" t="n">
        <f aca="false">IFERROR(VLOOKUP(F29,AnsETBL,2,FALSE()),0)</f>
        <v>0</v>
      </c>
      <c r="H29" s="233" t="n">
        <f aca="false">IFERROR(AVERAGE(G29,G33),0)</f>
        <v>0</v>
      </c>
      <c r="I29" s="232"/>
      <c r="J29" s="227" t="n">
        <f aca="false">F29</f>
        <v>0</v>
      </c>
      <c r="K29" s="50" t="n">
        <f aca="false">IFERROR(VLOOKUP(J29,AnsETBL,2,FALSE()),0)</f>
        <v>0</v>
      </c>
      <c r="L29" s="233" t="n">
        <f aca="false">IFERROR(AVERAGE(K29,K33),0)</f>
        <v>0</v>
      </c>
      <c r="M29" s="232"/>
      <c r="N29" s="227" t="n">
        <f aca="false">J29</f>
        <v>0</v>
      </c>
      <c r="O29" s="50" t="n">
        <f aca="false">IFERROR(VLOOKUP(N29,AnsETBL,2,FALSE()),0)</f>
        <v>0</v>
      </c>
      <c r="P29" s="233" t="n">
        <f aca="false">IFERROR(AVERAGE(O29,O33),0)</f>
        <v>0</v>
      </c>
      <c r="Q29" s="232"/>
      <c r="R29" s="227" t="n">
        <f aca="false">N29</f>
        <v>0</v>
      </c>
      <c r="S29" s="50" t="n">
        <f aca="false">IFERROR(VLOOKUP(R29,AnsETBL,2,FALSE()),0)</f>
        <v>0</v>
      </c>
      <c r="T29" s="233" t="n">
        <f aca="false">IFERROR(AVERAGE(S29,S33),0)</f>
        <v>0</v>
      </c>
      <c r="U29" s="232"/>
      <c r="V29" s="227" t="n">
        <f aca="false">R29</f>
        <v>0</v>
      </c>
      <c r="W29" s="50" t="n">
        <f aca="false">IFERROR(VLOOKUP(V29,AnsETBL,2,FALSE()),0)</f>
        <v>0</v>
      </c>
      <c r="X29" s="233" t="n">
        <f aca="false">IFERROR(AVERAGE(W29,W33),0)</f>
        <v>0</v>
      </c>
      <c r="Y29" s="232"/>
    </row>
    <row r="30" customFormat="false" ht="13.5" hidden="false" customHeight="false" outlineLevel="0" collapsed="false">
      <c r="A30" s="44"/>
      <c r="B30" s="234"/>
      <c r="C30" s="235"/>
      <c r="D30" s="78"/>
      <c r="E30" s="78"/>
      <c r="F30" s="78"/>
      <c r="G30" s="78"/>
      <c r="H30" s="78"/>
      <c r="I30" s="232"/>
      <c r="J30" s="78"/>
      <c r="K30" s="78"/>
      <c r="L30" s="78"/>
      <c r="M30" s="232"/>
      <c r="N30" s="78"/>
      <c r="O30" s="78"/>
      <c r="P30" s="78"/>
      <c r="Q30" s="232"/>
      <c r="R30" s="78"/>
      <c r="S30" s="78"/>
      <c r="T30" s="78"/>
      <c r="U30" s="232"/>
      <c r="V30" s="78"/>
      <c r="W30" s="78"/>
      <c r="X30" s="78"/>
      <c r="Y30" s="232"/>
    </row>
    <row r="31" customFormat="false" ht="13.5" hidden="false" customHeight="false" outlineLevel="0" collapsed="false">
      <c r="A31" s="44" t="str">
        <f aca="false">Interview!A39</f>
        <v>G-PC-B-1-1</v>
      </c>
      <c r="B31" s="236" t="str">
        <f aca="false">VLOOKUP(A31,'imp-questions'!A:H,4,FALSE())</f>
        <v>Compliance Management</v>
      </c>
      <c r="C31" s="218" t="n">
        <f aca="false">VLOOKUP(A31,'imp-questions'!A:H,5,FALSE())</f>
        <v>1</v>
      </c>
      <c r="D31" s="47" t="str">
        <f aca="false">VLOOKUP(A31,'imp-questions'!A:H,6,FALSE())</f>
        <v>Do you have a complete picture of your external compliance obligations?</v>
      </c>
      <c r="E31" s="48" t="str">
        <f aca="false">CHAR(65+VLOOKUP(A31,'imp-questions'!A:H,8,FALSE()))</f>
        <v>F</v>
      </c>
      <c r="F31" s="228" t="n">
        <f aca="false">Interview!F39</f>
        <v>0</v>
      </c>
      <c r="G31" s="50" t="n">
        <f aca="false">IFERROR(VLOOKUP(F31,AnsFTBL,2,FALSE()),0)</f>
        <v>0</v>
      </c>
      <c r="H31" s="237"/>
      <c r="I31" s="232"/>
      <c r="J31" s="227" t="n">
        <f aca="false">F31</f>
        <v>0</v>
      </c>
      <c r="K31" s="50" t="n">
        <f aca="false">IFERROR(VLOOKUP(J31,AnsFTBL,2,FALSE()),0)</f>
        <v>0</v>
      </c>
      <c r="L31" s="237"/>
      <c r="M31" s="232"/>
      <c r="N31" s="227" t="n">
        <f aca="false">J31</f>
        <v>0</v>
      </c>
      <c r="O31" s="50" t="n">
        <f aca="false">IFERROR(VLOOKUP(N31,AnsFTBL,2,FALSE()),0)</f>
        <v>0</v>
      </c>
      <c r="P31" s="237"/>
      <c r="Q31" s="232"/>
      <c r="R31" s="227" t="n">
        <f aca="false">N31</f>
        <v>0</v>
      </c>
      <c r="S31" s="50" t="n">
        <f aca="false">IFERROR(VLOOKUP(R31,AnsFTBL,2,FALSE()),0)</f>
        <v>0</v>
      </c>
      <c r="T31" s="237"/>
      <c r="U31" s="232"/>
      <c r="V31" s="227" t="n">
        <f aca="false">R31</f>
        <v>0</v>
      </c>
      <c r="W31" s="50" t="n">
        <f aca="false">IFERROR(VLOOKUP(V31,AnsFTBL,2,FALSE()),0)</f>
        <v>0</v>
      </c>
      <c r="X31" s="237"/>
      <c r="Y31" s="232"/>
    </row>
    <row r="32" customFormat="false" ht="23.85" hidden="false" customHeight="false" outlineLevel="0" collapsed="false">
      <c r="A32" s="44" t="str">
        <f aca="false">Interview!A41</f>
        <v>G-PC-B-2-1</v>
      </c>
      <c r="B32" s="236"/>
      <c r="C32" s="218" t="n">
        <f aca="false">VLOOKUP(A32,'imp-questions'!A:H,5,FALSE())</f>
        <v>2</v>
      </c>
      <c r="D32" s="47" t="str">
        <f aca="false">VLOOKUP(A32,'imp-questions'!A:H,6,FALSE())</f>
        <v>Do you have a standard set of security requirements and verification procedures addressing the organization's external compliance obligations?</v>
      </c>
      <c r="E32" s="48" t="str">
        <f aca="false">CHAR(65+VLOOKUP(A32,'imp-questions'!A:H,8,FALSE()))</f>
        <v>D</v>
      </c>
      <c r="F32" s="228" t="n">
        <f aca="false">Interview!F41</f>
        <v>0</v>
      </c>
      <c r="G32" s="50" t="n">
        <f aca="false">IFERROR(VLOOKUP(F32,AnsDTBL,2,FALSE()),0)</f>
        <v>0</v>
      </c>
      <c r="H32" s="237"/>
      <c r="I32" s="232"/>
      <c r="J32" s="227" t="n">
        <f aca="false">F32</f>
        <v>0</v>
      </c>
      <c r="K32" s="50" t="n">
        <f aca="false">IFERROR(VLOOKUP(J32,AnsDTBL,2,FALSE()),0)</f>
        <v>0</v>
      </c>
      <c r="L32" s="237"/>
      <c r="M32" s="232"/>
      <c r="N32" s="227" t="n">
        <f aca="false">J32</f>
        <v>0</v>
      </c>
      <c r="O32" s="50" t="n">
        <f aca="false">IFERROR(VLOOKUP(N32,AnsDTBL,2,FALSE()),0)</f>
        <v>0</v>
      </c>
      <c r="P32" s="237"/>
      <c r="Q32" s="232"/>
      <c r="R32" s="227" t="n">
        <f aca="false">N32</f>
        <v>0</v>
      </c>
      <c r="S32" s="50" t="n">
        <f aca="false">IFERROR(VLOOKUP(R32,AnsDTBL,2,FALSE()),0)</f>
        <v>0</v>
      </c>
      <c r="T32" s="237"/>
      <c r="U32" s="232"/>
      <c r="V32" s="227" t="n">
        <f aca="false">R32</f>
        <v>0</v>
      </c>
      <c r="W32" s="50" t="n">
        <f aca="false">IFERROR(VLOOKUP(V32,AnsDTBL,2,FALSE()),0)</f>
        <v>0</v>
      </c>
      <c r="X32" s="237"/>
      <c r="Y32" s="232"/>
    </row>
    <row r="33" customFormat="false" ht="23.85" hidden="false" customHeight="false" outlineLevel="0" collapsed="false">
      <c r="A33" s="44" t="str">
        <f aca="false">Interview!A43</f>
        <v>G-PC-B-3-1</v>
      </c>
      <c r="B33" s="236"/>
      <c r="C33" s="218" t="n">
        <f aca="false">VLOOKUP(A33,'imp-questions'!A:H,5,FALSE())</f>
        <v>3</v>
      </c>
      <c r="D33" s="47" t="str">
        <f aca="false">VLOOKUP(A33,'imp-questions'!A:H,6,FALSE())</f>
        <v>Do you regularly report on adherence to external compliance obligations and use that information to guide efforts to close compliance gaps?</v>
      </c>
      <c r="E33" s="48" t="str">
        <f aca="false">CHAR(65+VLOOKUP(A33,'imp-questions'!A:H,8,FALSE()))</f>
        <v>E</v>
      </c>
      <c r="F33" s="228" t="n">
        <f aca="false">Interview!F43</f>
        <v>0</v>
      </c>
      <c r="G33" s="50" t="n">
        <f aca="false">IFERROR(VLOOKUP(F33,AnsETBL,2,FALSE()),0)</f>
        <v>0</v>
      </c>
      <c r="H33" s="237"/>
      <c r="I33" s="232"/>
      <c r="J33" s="227" t="n">
        <f aca="false">F33</f>
        <v>0</v>
      </c>
      <c r="K33" s="50" t="n">
        <f aca="false">IFERROR(VLOOKUP(J33,AnsETBL,2,FALSE()),0)</f>
        <v>0</v>
      </c>
      <c r="L33" s="237"/>
      <c r="M33" s="232"/>
      <c r="N33" s="227" t="n">
        <f aca="false">J33</f>
        <v>0</v>
      </c>
      <c r="O33" s="50" t="n">
        <f aca="false">IFERROR(VLOOKUP(N33,AnsETBL,2,FALSE()),0)</f>
        <v>0</v>
      </c>
      <c r="P33" s="237"/>
      <c r="Q33" s="232"/>
      <c r="R33" s="227" t="n">
        <f aca="false">N33</f>
        <v>0</v>
      </c>
      <c r="S33" s="50" t="n">
        <f aca="false">IFERROR(VLOOKUP(R33,AnsETBL,2,FALSE()),0)</f>
        <v>0</v>
      </c>
      <c r="T33" s="237"/>
      <c r="U33" s="232"/>
      <c r="V33" s="227" t="n">
        <f aca="false">R33</f>
        <v>0</v>
      </c>
      <c r="W33" s="50" t="n">
        <f aca="false">IFERROR(VLOOKUP(V33,AnsETBL,2,FALSE()),0)</f>
        <v>0</v>
      </c>
      <c r="X33" s="237"/>
      <c r="Y33" s="232"/>
    </row>
    <row r="34" customFormat="false" ht="13.5" hidden="false" customHeight="false" outlineLevel="0" collapsed="false">
      <c r="A34" s="44"/>
      <c r="B34" s="234"/>
      <c r="C34" s="235"/>
      <c r="D34" s="78"/>
      <c r="E34" s="78"/>
      <c r="F34" s="78"/>
      <c r="G34" s="78"/>
      <c r="H34" s="78"/>
      <c r="I34" s="70"/>
      <c r="J34" s="78"/>
      <c r="K34" s="78"/>
      <c r="L34" s="78"/>
      <c r="M34" s="70"/>
      <c r="N34" s="78"/>
      <c r="O34" s="78"/>
      <c r="P34" s="78"/>
      <c r="Q34" s="70"/>
      <c r="R34" s="78"/>
      <c r="S34" s="78"/>
      <c r="T34" s="78"/>
      <c r="U34" s="70"/>
      <c r="V34" s="78"/>
      <c r="W34" s="78"/>
      <c r="X34" s="78"/>
      <c r="Y34" s="70"/>
    </row>
    <row r="35" customFormat="false" ht="13.8" hidden="false" customHeight="false" outlineLevel="0" collapsed="false">
      <c r="A35" s="44"/>
      <c r="B35" s="213" t="s">
        <v>38</v>
      </c>
      <c r="C35" s="214" t="s">
        <v>39</v>
      </c>
      <c r="D35" s="229" t="s">
        <v>57</v>
      </c>
      <c r="E35" s="75"/>
      <c r="F35" s="74" t="s">
        <v>41</v>
      </c>
      <c r="G35" s="74"/>
      <c r="H35" s="76"/>
      <c r="I35" s="216" t="s">
        <v>43</v>
      </c>
      <c r="J35" s="74" t="s">
        <v>41</v>
      </c>
      <c r="K35" s="74"/>
      <c r="L35" s="76"/>
      <c r="M35" s="216" t="s">
        <v>43</v>
      </c>
      <c r="N35" s="74" t="s">
        <v>41</v>
      </c>
      <c r="O35" s="74"/>
      <c r="P35" s="76"/>
      <c r="Q35" s="216" t="s">
        <v>43</v>
      </c>
      <c r="R35" s="74" t="s">
        <v>41</v>
      </c>
      <c r="S35" s="74"/>
      <c r="T35" s="76"/>
      <c r="U35" s="216" t="s">
        <v>43</v>
      </c>
      <c r="V35" s="74" t="s">
        <v>41</v>
      </c>
      <c r="W35" s="74"/>
      <c r="X35" s="76"/>
      <c r="Y35" s="216" t="s">
        <v>43</v>
      </c>
    </row>
    <row r="36" customFormat="false" ht="23.85" hidden="false" customHeight="false" outlineLevel="0" collapsed="false">
      <c r="A36" s="44" t="str">
        <f aca="false">Interview!A46</f>
        <v>G-EG-A-1-1</v>
      </c>
      <c r="B36" s="217" t="str">
        <f aca="false">VLOOKUP(A36,'imp-questions'!A:H,4,FALSE())</f>
        <v>Training and Awareness</v>
      </c>
      <c r="C36" s="218" t="n">
        <f aca="false">VLOOKUP(A36,'imp-questions'!A:H,5,FALSE())</f>
        <v>1</v>
      </c>
      <c r="D36" s="47" t="str">
        <f aca="false">VLOOKUP(A36,'imp-questions'!A:H,6,FALSE())</f>
        <v>Do you require employees involved with application development to take SDLC training?</v>
      </c>
      <c r="E36" s="48" t="str">
        <f aca="false">CHAR(65+VLOOKUP(A36,'imp-questions'!A:H,8,FALSE()))</f>
        <v>C</v>
      </c>
      <c r="F36" s="226" t="n">
        <f aca="false">Interview!F46</f>
        <v>0</v>
      </c>
      <c r="G36" s="50" t="n">
        <f aca="false">IFERROR(VLOOKUP(F36,AnsCTBL,2,FALSE()),0)</f>
        <v>0</v>
      </c>
      <c r="H36" s="231" t="n">
        <f aca="false">IFERROR(AVERAGE(G36,G40),0)</f>
        <v>0</v>
      </c>
      <c r="I36" s="238" t="n">
        <f aca="false">SUM(H36,H37,H38)</f>
        <v>0</v>
      </c>
      <c r="J36" s="227" t="n">
        <f aca="false">F36</f>
        <v>0</v>
      </c>
      <c r="K36" s="50" t="n">
        <f aca="false">IFERROR(VLOOKUP(J36,AnsCTBL,2,FALSE()),0)</f>
        <v>0</v>
      </c>
      <c r="L36" s="231" t="n">
        <f aca="false">IFERROR(AVERAGE(K36,K40),0)</f>
        <v>0</v>
      </c>
      <c r="M36" s="238" t="n">
        <f aca="false">SUM(L36,L37,L38)</f>
        <v>0</v>
      </c>
      <c r="N36" s="227" t="n">
        <f aca="false">J36</f>
        <v>0</v>
      </c>
      <c r="O36" s="50" t="n">
        <f aca="false">IFERROR(VLOOKUP(N36,AnsCTBL,2,FALSE()),0)</f>
        <v>0</v>
      </c>
      <c r="P36" s="231" t="n">
        <f aca="false">IFERROR(AVERAGE(O36,O40),0)</f>
        <v>0</v>
      </c>
      <c r="Q36" s="238" t="n">
        <f aca="false">SUM(P36,P37,P38)</f>
        <v>0</v>
      </c>
      <c r="R36" s="227" t="n">
        <f aca="false">N36</f>
        <v>0</v>
      </c>
      <c r="S36" s="50" t="n">
        <f aca="false">IFERROR(VLOOKUP(R36,AnsCTBL,2,FALSE()),0)</f>
        <v>0</v>
      </c>
      <c r="T36" s="231" t="n">
        <f aca="false">IFERROR(AVERAGE(S36,S40),0)</f>
        <v>0</v>
      </c>
      <c r="U36" s="238" t="n">
        <f aca="false">SUM(T36,T37,T38)</f>
        <v>0</v>
      </c>
      <c r="V36" s="227" t="n">
        <f aca="false">R36</f>
        <v>0</v>
      </c>
      <c r="W36" s="50" t="n">
        <f aca="false">IFERROR(VLOOKUP(V36,AnsCTBL,2,FALSE()),0)</f>
        <v>0</v>
      </c>
      <c r="X36" s="231" t="n">
        <f aca="false">IFERROR(AVERAGE(W36,W40),0)</f>
        <v>0</v>
      </c>
      <c r="Y36" s="238" t="n">
        <f aca="false">SUM(X36,X37,X38)</f>
        <v>0</v>
      </c>
    </row>
    <row r="37" customFormat="false" ht="23.85" hidden="false" customHeight="false" outlineLevel="0" collapsed="false">
      <c r="A37" s="44" t="str">
        <f aca="false">Interview!A48</f>
        <v>G-EG-A-2-1</v>
      </c>
      <c r="B37" s="217"/>
      <c r="C37" s="218" t="n">
        <f aca="false">VLOOKUP(A37,'imp-questions'!A:H,5,FALSE())</f>
        <v>2</v>
      </c>
      <c r="D37" s="47" t="str">
        <f aca="false">VLOOKUP(A37,'imp-questions'!A:H,6,FALSE())</f>
        <v>Is training customized for individual roles such as developers, testers, or security champions?</v>
      </c>
      <c r="E37" s="61" t="str">
        <f aca="false">CHAR(65+VLOOKUP(A37,'imp-questions'!A:H,8,FALSE()))</f>
        <v>I</v>
      </c>
      <c r="F37" s="228" t="n">
        <f aca="false">Interview!F48</f>
        <v>0</v>
      </c>
      <c r="G37" s="50" t="n">
        <f aca="false">IFERROR(VLOOKUP(F37,AnsITBL,2,FALSE()),0)</f>
        <v>0</v>
      </c>
      <c r="H37" s="233" t="n">
        <f aca="false">IFERROR(AVERAGE(G37,G41),0)</f>
        <v>0</v>
      </c>
      <c r="I37" s="238"/>
      <c r="J37" s="227" t="n">
        <f aca="false">F37</f>
        <v>0</v>
      </c>
      <c r="K37" s="50" t="n">
        <f aca="false">IFERROR(VLOOKUP(J37,AnsITBL,2,FALSE()),0)</f>
        <v>0</v>
      </c>
      <c r="L37" s="233" t="n">
        <f aca="false">IFERROR(AVERAGE(K37,K41),0)</f>
        <v>0</v>
      </c>
      <c r="M37" s="238"/>
      <c r="N37" s="227" t="n">
        <f aca="false">J37</f>
        <v>0</v>
      </c>
      <c r="O37" s="50" t="n">
        <f aca="false">IFERROR(VLOOKUP(N37,AnsITBL,2,FALSE()),0)</f>
        <v>0</v>
      </c>
      <c r="P37" s="233" t="n">
        <f aca="false">IFERROR(AVERAGE(O37,O41),0)</f>
        <v>0</v>
      </c>
      <c r="Q37" s="238"/>
      <c r="R37" s="227" t="n">
        <f aca="false">N37</f>
        <v>0</v>
      </c>
      <c r="S37" s="50" t="n">
        <f aca="false">IFERROR(VLOOKUP(R37,AnsITBL,2,FALSE()),0)</f>
        <v>0</v>
      </c>
      <c r="T37" s="233" t="n">
        <f aca="false">IFERROR(AVERAGE(S37,S41),0)</f>
        <v>0</v>
      </c>
      <c r="U37" s="238"/>
      <c r="V37" s="227" t="n">
        <f aca="false">R37</f>
        <v>0</v>
      </c>
      <c r="W37" s="50" t="n">
        <f aca="false">IFERROR(VLOOKUP(V37,AnsITBL,2,FALSE()),0)</f>
        <v>0</v>
      </c>
      <c r="X37" s="233" t="n">
        <f aca="false">IFERROR(AVERAGE(W37,W41),0)</f>
        <v>0</v>
      </c>
      <c r="Y37" s="238"/>
    </row>
    <row r="38" customFormat="false" ht="23.85" hidden="false" customHeight="false" outlineLevel="0" collapsed="false">
      <c r="A38" s="44" t="str">
        <f aca="false">Interview!A50</f>
        <v>G-EG-A-3-1</v>
      </c>
      <c r="B38" s="217"/>
      <c r="C38" s="218" t="n">
        <f aca="false">VLOOKUP(A38,'imp-questions'!A:H,5,FALSE())</f>
        <v>3</v>
      </c>
      <c r="D38" s="222" t="str">
        <f aca="false">VLOOKUP(A38,'imp-questions'!A:H,6,FALSE())</f>
        <v>Have you implemented a Learning Management System or equivalent to track employee training and certification processes?</v>
      </c>
      <c r="E38" s="61" t="str">
        <f aca="false">CHAR(65+VLOOKUP(A38,'imp-questions'!A:H,8,FALSE()))</f>
        <v>I</v>
      </c>
      <c r="F38" s="228" t="n">
        <f aca="false">Interview!F50</f>
        <v>0</v>
      </c>
      <c r="G38" s="50" t="n">
        <f aca="false">IFERROR(VLOOKUP(F38,AnsITBL,2,FALSE()),0)</f>
        <v>0</v>
      </c>
      <c r="H38" s="233" t="n">
        <f aca="false">IFERROR(AVERAGE(G38,G42),0)</f>
        <v>0</v>
      </c>
      <c r="I38" s="238"/>
      <c r="J38" s="227" t="n">
        <f aca="false">F38</f>
        <v>0</v>
      </c>
      <c r="K38" s="50" t="n">
        <f aca="false">IFERROR(VLOOKUP(J38,AnsITBL,2,FALSE()),0)</f>
        <v>0</v>
      </c>
      <c r="L38" s="233" t="n">
        <f aca="false">IFERROR(AVERAGE(K38,K42),0)</f>
        <v>0</v>
      </c>
      <c r="M38" s="238"/>
      <c r="N38" s="227" t="n">
        <f aca="false">J38</f>
        <v>0</v>
      </c>
      <c r="O38" s="50" t="n">
        <f aca="false">IFERROR(VLOOKUP(N38,AnsITBL,2,FALSE()),0)</f>
        <v>0</v>
      </c>
      <c r="P38" s="233" t="n">
        <f aca="false">IFERROR(AVERAGE(O38,O42),0)</f>
        <v>0</v>
      </c>
      <c r="Q38" s="238"/>
      <c r="R38" s="227" t="n">
        <f aca="false">N38</f>
        <v>0</v>
      </c>
      <c r="S38" s="50" t="n">
        <f aca="false">IFERROR(VLOOKUP(R38,AnsITBL,2,FALSE()),0)</f>
        <v>0</v>
      </c>
      <c r="T38" s="233" t="n">
        <f aca="false">IFERROR(AVERAGE(S38,S42),0)</f>
        <v>0</v>
      </c>
      <c r="U38" s="238"/>
      <c r="V38" s="227" t="n">
        <f aca="false">R38</f>
        <v>0</v>
      </c>
      <c r="W38" s="50" t="n">
        <f aca="false">IFERROR(VLOOKUP(V38,AnsITBL,2,FALSE()),0)</f>
        <v>0</v>
      </c>
      <c r="X38" s="233" t="n">
        <f aca="false">IFERROR(AVERAGE(W38,W42),0)</f>
        <v>0</v>
      </c>
      <c r="Y38" s="238"/>
    </row>
    <row r="39" customFormat="false" ht="13.5" hidden="false" customHeight="false" outlineLevel="0" collapsed="false">
      <c r="A39" s="44"/>
      <c r="B39" s="224"/>
      <c r="C39" s="225"/>
      <c r="D39" s="70"/>
      <c r="E39" s="70"/>
      <c r="F39" s="70"/>
      <c r="G39" s="70"/>
      <c r="H39" s="70"/>
      <c r="I39" s="238"/>
      <c r="J39" s="70"/>
      <c r="K39" s="70"/>
      <c r="L39" s="70"/>
      <c r="M39" s="238"/>
      <c r="N39" s="70"/>
      <c r="O39" s="70"/>
      <c r="P39" s="70"/>
      <c r="Q39" s="238"/>
      <c r="R39" s="70"/>
      <c r="S39" s="70"/>
      <c r="T39" s="70"/>
      <c r="U39" s="238"/>
      <c r="V39" s="70"/>
      <c r="W39" s="70"/>
      <c r="X39" s="70"/>
      <c r="Y39" s="238"/>
    </row>
    <row r="40" customFormat="false" ht="13.5" hidden="false" customHeight="false" outlineLevel="0" collapsed="false">
      <c r="A40" s="44" t="str">
        <f aca="false">Interview!A53</f>
        <v>G-EG-B-1-1</v>
      </c>
      <c r="B40" s="217" t="str">
        <f aca="false">VLOOKUP(A40,'imp-questions'!A:H,4,FALSE())</f>
        <v>Organization and Culture</v>
      </c>
      <c r="C40" s="218" t="n">
        <f aca="false">VLOOKUP(A40,'imp-questions'!A:H,5,FALSE())</f>
        <v>1</v>
      </c>
      <c r="D40" s="47" t="str">
        <f aca="false">VLOOKUP(A40,'imp-questions'!A:H,6,FALSE())</f>
        <v>Have you identified a Security Champion for each development team?</v>
      </c>
      <c r="E40" s="48" t="str">
        <f aca="false">CHAR(65+VLOOKUP(A40,'imp-questions'!A:H,8,FALSE()))</f>
        <v>W</v>
      </c>
      <c r="F40" s="226" t="n">
        <f aca="false">Interview!F53</f>
        <v>0</v>
      </c>
      <c r="G40" s="50" t="n">
        <f aca="false">IFERROR(VLOOKUP(F40,AnsWTBL,2,FALSE()),0)</f>
        <v>0</v>
      </c>
      <c r="H40" s="233"/>
      <c r="I40" s="238"/>
      <c r="J40" s="227" t="n">
        <f aca="false">F40</f>
        <v>0</v>
      </c>
      <c r="K40" s="50" t="n">
        <f aca="false">IFERROR(VLOOKUP(J40,AnsWTBL,2,FALSE()),0)</f>
        <v>0</v>
      </c>
      <c r="L40" s="233"/>
      <c r="M40" s="238"/>
      <c r="N40" s="227" t="n">
        <f aca="false">J40</f>
        <v>0</v>
      </c>
      <c r="O40" s="50" t="n">
        <f aca="false">IFERROR(VLOOKUP(N40,AnsWTBL,2,FALSE()),0)</f>
        <v>0</v>
      </c>
      <c r="P40" s="233"/>
      <c r="Q40" s="238"/>
      <c r="R40" s="227" t="n">
        <f aca="false">N40</f>
        <v>0</v>
      </c>
      <c r="S40" s="50" t="n">
        <f aca="false">IFERROR(VLOOKUP(R40,AnsWTBL,2,FALSE()),0)</f>
        <v>0</v>
      </c>
      <c r="T40" s="233"/>
      <c r="U40" s="238"/>
      <c r="V40" s="227" t="n">
        <f aca="false">R40</f>
        <v>0</v>
      </c>
      <c r="W40" s="50" t="n">
        <f aca="false">IFERROR(VLOOKUP(V40,AnsWTBL,2,FALSE()),0)</f>
        <v>0</v>
      </c>
      <c r="X40" s="233"/>
      <c r="Y40" s="238"/>
    </row>
    <row r="41" customFormat="false" ht="13.5" hidden="false" customHeight="false" outlineLevel="0" collapsed="false">
      <c r="A41" s="44" t="str">
        <f aca="false">Interview!A55</f>
        <v>G-EG-B-2-1</v>
      </c>
      <c r="B41" s="217"/>
      <c r="C41" s="218" t="n">
        <f aca="false">VLOOKUP(A41,'imp-questions'!A:H,5,FALSE())</f>
        <v>2</v>
      </c>
      <c r="D41" s="47" t="str">
        <f aca="false">VLOOKUP(A41,'imp-questions'!A:H,6,FALSE())</f>
        <v>Does the organization have a Secure Software Center of Excellence (SSCE)?</v>
      </c>
      <c r="E41" s="48" t="str">
        <f aca="false">CHAR(65+VLOOKUP(A41,'imp-questions'!A:H,8,FALSE()))</f>
        <v>L</v>
      </c>
      <c r="F41" s="228" t="n">
        <f aca="false">Interview!F55</f>
        <v>0</v>
      </c>
      <c r="G41" s="50" t="n">
        <f aca="false">IFERROR(VLOOKUP(F41,AnsLTBL,2,FALSE()),0)</f>
        <v>0</v>
      </c>
      <c r="H41" s="233"/>
      <c r="I41" s="238"/>
      <c r="J41" s="227" t="n">
        <f aca="false">F41</f>
        <v>0</v>
      </c>
      <c r="K41" s="50" t="n">
        <f aca="false">IFERROR(VLOOKUP(J41,AnsLTBL,2,FALSE()),0)</f>
        <v>0</v>
      </c>
      <c r="L41" s="233"/>
      <c r="M41" s="238"/>
      <c r="N41" s="227" t="n">
        <f aca="false">J41</f>
        <v>0</v>
      </c>
      <c r="O41" s="50" t="n">
        <f aca="false">IFERROR(VLOOKUP(N41,AnsLTBL,2,FALSE()),0)</f>
        <v>0</v>
      </c>
      <c r="P41" s="233"/>
      <c r="Q41" s="238"/>
      <c r="R41" s="227" t="n">
        <f aca="false">N41</f>
        <v>0</v>
      </c>
      <c r="S41" s="50" t="n">
        <f aca="false">IFERROR(VLOOKUP(R41,AnsLTBL,2,FALSE()),0)</f>
        <v>0</v>
      </c>
      <c r="T41" s="233"/>
      <c r="U41" s="238"/>
      <c r="V41" s="227" t="n">
        <f aca="false">R41</f>
        <v>0</v>
      </c>
      <c r="W41" s="50" t="n">
        <f aca="false">IFERROR(VLOOKUP(V41,AnsLTBL,2,FALSE()),0)</f>
        <v>0</v>
      </c>
      <c r="X41" s="233"/>
      <c r="Y41" s="238"/>
    </row>
    <row r="42" customFormat="false" ht="35.2" hidden="false" customHeight="false" outlineLevel="0" collapsed="false">
      <c r="A42" s="44" t="str">
        <f aca="false">Interview!A57</f>
        <v>G-EG-B-3-1</v>
      </c>
      <c r="B42" s="217"/>
      <c r="C42" s="218" t="n">
        <f aca="false">VLOOKUP(A42,'imp-questions'!A:H,5,FALSE())</f>
        <v>3</v>
      </c>
      <c r="D42" s="222" t="str">
        <f aca="false">VLOOKUP(A42,'imp-questions'!A:H,6,FALSE())</f>
        <v>Is there a centralized portal where developers and application security professionals from different teams and business units are able to communicate and share information?</v>
      </c>
      <c r="E42" s="48" t="str">
        <f aca="false">CHAR(65+VLOOKUP(A42,'imp-questions'!A:H,8,FALSE()))</f>
        <v>L</v>
      </c>
      <c r="F42" s="228" t="n">
        <f aca="false">Interview!F57</f>
        <v>0</v>
      </c>
      <c r="G42" s="50" t="n">
        <f aca="false">IFERROR(VLOOKUP(F42,AnsLTBL,2,FALSE()),0)</f>
        <v>0</v>
      </c>
      <c r="H42" s="233"/>
      <c r="I42" s="238"/>
      <c r="J42" s="227" t="n">
        <f aca="false">F42</f>
        <v>0</v>
      </c>
      <c r="K42" s="50" t="n">
        <f aca="false">IFERROR(VLOOKUP(J42,AnsLTBL,2,FALSE()),0)</f>
        <v>0</v>
      </c>
      <c r="L42" s="233"/>
      <c r="M42" s="238"/>
      <c r="N42" s="227" t="n">
        <f aca="false">J42</f>
        <v>0</v>
      </c>
      <c r="O42" s="50" t="n">
        <f aca="false">IFERROR(VLOOKUP(N42,AnsLTBL,2,FALSE()),0)</f>
        <v>0</v>
      </c>
      <c r="P42" s="233"/>
      <c r="Q42" s="238"/>
      <c r="R42" s="227" t="n">
        <f aca="false">N42</f>
        <v>0</v>
      </c>
      <c r="S42" s="50" t="n">
        <f aca="false">IFERROR(VLOOKUP(R42,AnsLTBL,2,FALSE()),0)</f>
        <v>0</v>
      </c>
      <c r="T42" s="233"/>
      <c r="U42" s="238"/>
      <c r="V42" s="227" t="n">
        <f aca="false">R42</f>
        <v>0</v>
      </c>
      <c r="W42" s="50" t="n">
        <f aca="false">IFERROR(VLOOKUP(V42,AnsLTBL,2,FALSE()),0)</f>
        <v>0</v>
      </c>
      <c r="X42" s="233"/>
      <c r="Y42" s="238"/>
    </row>
    <row r="43" customFormat="false" ht="13.5" hidden="false" customHeight="false" outlineLevel="0" collapsed="false">
      <c r="A43" s="44"/>
      <c r="B43" s="224"/>
      <c r="C43" s="225"/>
      <c r="D43" s="70"/>
      <c r="E43" s="70"/>
      <c r="F43" s="70"/>
      <c r="G43" s="70"/>
      <c r="H43" s="70"/>
      <c r="I43" s="70"/>
      <c r="J43" s="70"/>
      <c r="K43" s="70"/>
      <c r="L43" s="70"/>
      <c r="M43" s="70"/>
      <c r="N43" s="70"/>
      <c r="O43" s="70"/>
      <c r="P43" s="70"/>
      <c r="Q43" s="70"/>
      <c r="R43" s="70"/>
      <c r="S43" s="70"/>
      <c r="T43" s="70"/>
      <c r="U43" s="70"/>
      <c r="V43" s="70"/>
      <c r="W43" s="70"/>
      <c r="X43" s="70"/>
      <c r="Y43" s="70"/>
    </row>
    <row r="44" customFormat="false" ht="13.5" hidden="false" customHeight="true" outlineLevel="0" collapsed="false">
      <c r="A44" s="44"/>
      <c r="B44" s="239" t="s">
        <v>64</v>
      </c>
      <c r="C44" s="239"/>
      <c r="D44" s="240"/>
      <c r="E44" s="240"/>
      <c r="F44" s="241" t="s">
        <v>157</v>
      </c>
      <c r="G44" s="241"/>
      <c r="H44" s="241"/>
      <c r="I44" s="241"/>
      <c r="J44" s="242" t="s">
        <v>163</v>
      </c>
      <c r="K44" s="242"/>
      <c r="L44" s="242"/>
      <c r="M44" s="242"/>
      <c r="N44" s="242" t="s">
        <v>164</v>
      </c>
      <c r="O44" s="242"/>
      <c r="P44" s="242"/>
      <c r="Q44" s="242"/>
      <c r="R44" s="242" t="s">
        <v>165</v>
      </c>
      <c r="S44" s="242"/>
      <c r="T44" s="242"/>
      <c r="U44" s="242"/>
      <c r="V44" s="242" t="s">
        <v>166</v>
      </c>
      <c r="W44" s="242"/>
      <c r="X44" s="242"/>
      <c r="Y44" s="242"/>
    </row>
    <row r="45" customFormat="false" ht="13.8" hidden="false" customHeight="false" outlineLevel="0" collapsed="false">
      <c r="A45" s="44"/>
      <c r="B45" s="243" t="s">
        <v>38</v>
      </c>
      <c r="C45" s="244" t="s">
        <v>39</v>
      </c>
      <c r="D45" s="245" t="s">
        <v>65</v>
      </c>
      <c r="E45" s="92"/>
      <c r="F45" s="91" t="s">
        <v>41</v>
      </c>
      <c r="G45" s="91"/>
      <c r="H45" s="93"/>
      <c r="I45" s="246" t="s">
        <v>43</v>
      </c>
      <c r="J45" s="91" t="s">
        <v>41</v>
      </c>
      <c r="K45" s="91"/>
      <c r="L45" s="93"/>
      <c r="M45" s="246" t="s">
        <v>43</v>
      </c>
      <c r="N45" s="91" t="s">
        <v>41</v>
      </c>
      <c r="O45" s="91"/>
      <c r="P45" s="93"/>
      <c r="Q45" s="246" t="s">
        <v>43</v>
      </c>
      <c r="R45" s="91" t="s">
        <v>41</v>
      </c>
      <c r="S45" s="91"/>
      <c r="T45" s="93"/>
      <c r="U45" s="246" t="s">
        <v>43</v>
      </c>
      <c r="V45" s="91" t="s">
        <v>41</v>
      </c>
      <c r="W45" s="91"/>
      <c r="X45" s="93"/>
      <c r="Y45" s="246" t="s">
        <v>43</v>
      </c>
    </row>
    <row r="46" customFormat="false" ht="23.85" hidden="false" customHeight="false" outlineLevel="0" collapsed="false">
      <c r="A46" s="44" t="str">
        <f aca="false">Interview!A61</f>
        <v>D-TA-A-1-1</v>
      </c>
      <c r="B46" s="247" t="str">
        <f aca="false">VLOOKUP(A46,'imp-questions'!A:H,4,FALSE())</f>
        <v>Application Risk Profile</v>
      </c>
      <c r="C46" s="248" t="n">
        <f aca="false">VLOOKUP(A46,'imp-questions'!A:H,5,FALSE())</f>
        <v>1</v>
      </c>
      <c r="D46" s="47" t="str">
        <f aca="false">VLOOKUP(A46,'imp-questions'!A:H,6,FALSE())</f>
        <v>Do you classify applications according to business risk based on a simple and predefined set of questions?</v>
      </c>
      <c r="E46" s="48" t="str">
        <f aca="false">CHAR(65+VLOOKUP(A46,'imp-questions'!A:H,8,FALSE()))</f>
        <v>C</v>
      </c>
      <c r="F46" s="230" t="n">
        <f aca="false">Interview!F61</f>
        <v>0</v>
      </c>
      <c r="G46" s="50" t="n">
        <f aca="false">IFERROR(VLOOKUP(F46,AnsCTBL,2,FALSE()),0)</f>
        <v>0</v>
      </c>
      <c r="H46" s="231" t="n">
        <f aca="false">IFERROR(AVERAGE(G46,G50),0)</f>
        <v>0</v>
      </c>
      <c r="I46" s="249" t="n">
        <f aca="false">SUM(H46:H48)</f>
        <v>0</v>
      </c>
      <c r="J46" s="227" t="n">
        <f aca="false">F46</f>
        <v>0</v>
      </c>
      <c r="K46" s="50" t="n">
        <f aca="false">IFERROR(VLOOKUP(J46,AnsCTBL,2,FALSE()),0)</f>
        <v>0</v>
      </c>
      <c r="L46" s="231" t="n">
        <f aca="false">IFERROR(AVERAGE(K46,K50),0)</f>
        <v>0</v>
      </c>
      <c r="M46" s="249" t="n">
        <f aca="false">SUM(L46:L48)</f>
        <v>0</v>
      </c>
      <c r="N46" s="227" t="n">
        <f aca="false">J46</f>
        <v>0</v>
      </c>
      <c r="O46" s="50" t="n">
        <f aca="false">IFERROR(VLOOKUP(N46,AnsCTBL,2,FALSE()),0)</f>
        <v>0</v>
      </c>
      <c r="P46" s="231" t="n">
        <f aca="false">IFERROR(AVERAGE(O46,O50),0)</f>
        <v>0</v>
      </c>
      <c r="Q46" s="249" t="n">
        <f aca="false">SUM(P46:P48)</f>
        <v>0</v>
      </c>
      <c r="R46" s="227" t="n">
        <f aca="false">N46</f>
        <v>0</v>
      </c>
      <c r="S46" s="50" t="n">
        <f aca="false">IFERROR(VLOOKUP(R46,AnsCTBL,2,FALSE()),0)</f>
        <v>0</v>
      </c>
      <c r="T46" s="231" t="n">
        <f aca="false">IFERROR(AVERAGE(S46,S50),0)</f>
        <v>0</v>
      </c>
      <c r="U46" s="249" t="n">
        <f aca="false">SUM(T46:T48)</f>
        <v>0</v>
      </c>
      <c r="V46" s="227" t="n">
        <f aca="false">R46</f>
        <v>0</v>
      </c>
      <c r="W46" s="50" t="n">
        <f aca="false">IFERROR(VLOOKUP(V46,AnsCTBL,2,FALSE()),0)</f>
        <v>0</v>
      </c>
      <c r="X46" s="231" t="n">
        <f aca="false">IFERROR(AVERAGE(W46,W50),0)</f>
        <v>0</v>
      </c>
      <c r="Y46" s="249" t="n">
        <f aca="false">SUM(X46:X48)</f>
        <v>0</v>
      </c>
    </row>
    <row r="47" customFormat="false" ht="23.85" hidden="false" customHeight="false" outlineLevel="0" collapsed="false">
      <c r="A47" s="44" t="str">
        <f aca="false">Interview!A63</f>
        <v>D-TA-A-2-1</v>
      </c>
      <c r="B47" s="247"/>
      <c r="C47" s="248" t="n">
        <f aca="false">VLOOKUP(A47,'imp-questions'!A:H,5,FALSE())</f>
        <v>2</v>
      </c>
      <c r="D47" s="47" t="str">
        <f aca="false">VLOOKUP(A47,'imp-questions'!A:H,6,FALSE())</f>
        <v>Do you use centralized and quantified application risk profiles to evaluate business risk?</v>
      </c>
      <c r="E47" s="48" t="str">
        <f aca="false">CHAR(65+VLOOKUP(A47,'imp-questions'!A:H,8,FALSE()))</f>
        <v>F</v>
      </c>
      <c r="F47" s="226" t="n">
        <f aca="false">Interview!F63</f>
        <v>0</v>
      </c>
      <c r="G47" s="50" t="n">
        <f aca="false">IFERROR(VLOOKUP(F47,AnsFTBL,2,FALSE()),0)</f>
        <v>0</v>
      </c>
      <c r="H47" s="231" t="n">
        <f aca="false">IFERROR(AVERAGE(G47,G51),0)</f>
        <v>0</v>
      </c>
      <c r="I47" s="249"/>
      <c r="J47" s="227" t="n">
        <f aca="false">F47</f>
        <v>0</v>
      </c>
      <c r="K47" s="50" t="n">
        <f aca="false">IFERROR(VLOOKUP(J47,AnsFTBL,2,FALSE()),0)</f>
        <v>0</v>
      </c>
      <c r="L47" s="231" t="n">
        <f aca="false">IFERROR(AVERAGE(K47,K51),0)</f>
        <v>0</v>
      </c>
      <c r="M47" s="249"/>
      <c r="N47" s="227" t="n">
        <f aca="false">J47</f>
        <v>0</v>
      </c>
      <c r="O47" s="50" t="n">
        <f aca="false">IFERROR(VLOOKUP(N47,AnsFTBL,2,FALSE()),0)</f>
        <v>0</v>
      </c>
      <c r="P47" s="231" t="n">
        <f aca="false">IFERROR(AVERAGE(O47,O51),0)</f>
        <v>0</v>
      </c>
      <c r="Q47" s="249"/>
      <c r="R47" s="227" t="n">
        <f aca="false">N47</f>
        <v>0</v>
      </c>
      <c r="S47" s="50" t="n">
        <f aca="false">IFERROR(VLOOKUP(R47,AnsFTBL,2,FALSE()),0)</f>
        <v>0</v>
      </c>
      <c r="T47" s="231" t="n">
        <f aca="false">IFERROR(AVERAGE(S47,S51),0)</f>
        <v>0</v>
      </c>
      <c r="U47" s="249"/>
      <c r="V47" s="227" t="n">
        <f aca="false">R47</f>
        <v>0</v>
      </c>
      <c r="W47" s="50" t="n">
        <f aca="false">IFERROR(VLOOKUP(V47,AnsFTBL,2,FALSE()),0)</f>
        <v>0</v>
      </c>
      <c r="X47" s="231" t="n">
        <f aca="false">IFERROR(AVERAGE(W47,W51),0)</f>
        <v>0</v>
      </c>
      <c r="Y47" s="249"/>
    </row>
    <row r="48" customFormat="false" ht="13.5" hidden="false" customHeight="false" outlineLevel="0" collapsed="false">
      <c r="A48" s="44" t="str">
        <f aca="false">Interview!A65</f>
        <v>D-TA-A-3-1</v>
      </c>
      <c r="B48" s="247"/>
      <c r="C48" s="248" t="n">
        <f aca="false">VLOOKUP(A48,'imp-questions'!A:H,5,FALSE())</f>
        <v>3</v>
      </c>
      <c r="D48" s="222" t="str">
        <f aca="false">VLOOKUP(A48,'imp-questions'!A:H,6,FALSE())</f>
        <v>Do you regularly review and update the risk profiles for your applications?</v>
      </c>
      <c r="E48" s="48" t="str">
        <f aca="false">CHAR(65+VLOOKUP(A48,'imp-questions'!A:H,8,FALSE()))</f>
        <v>G</v>
      </c>
      <c r="F48" s="226" t="n">
        <f aca="false">Interview!F65</f>
        <v>0</v>
      </c>
      <c r="G48" s="50" t="n">
        <f aca="false">IFERROR(VLOOKUP(F48,AnsGTBL,2,FALSE()),0)</f>
        <v>0</v>
      </c>
      <c r="H48" s="231" t="n">
        <f aca="false">IFERROR(AVERAGE(G48,G52),0)</f>
        <v>0</v>
      </c>
      <c r="I48" s="249"/>
      <c r="J48" s="227" t="n">
        <f aca="false">F48</f>
        <v>0</v>
      </c>
      <c r="K48" s="50" t="n">
        <f aca="false">IFERROR(VLOOKUP(J48,AnsGTBL,2,FALSE()),0)</f>
        <v>0</v>
      </c>
      <c r="L48" s="231" t="n">
        <f aca="false">IFERROR(AVERAGE(K48,K52),0)</f>
        <v>0</v>
      </c>
      <c r="M48" s="249"/>
      <c r="N48" s="227" t="n">
        <f aca="false">J48</f>
        <v>0</v>
      </c>
      <c r="O48" s="50" t="n">
        <f aca="false">IFERROR(VLOOKUP(N48,AnsGTBL,2,FALSE()),0)</f>
        <v>0</v>
      </c>
      <c r="P48" s="231" t="n">
        <f aca="false">IFERROR(AVERAGE(O48,O52),0)</f>
        <v>0</v>
      </c>
      <c r="Q48" s="249"/>
      <c r="R48" s="227" t="n">
        <f aca="false">N48</f>
        <v>0</v>
      </c>
      <c r="S48" s="50" t="n">
        <f aca="false">IFERROR(VLOOKUP(R48,AnsGTBL,2,FALSE()),0)</f>
        <v>0</v>
      </c>
      <c r="T48" s="231" t="n">
        <f aca="false">IFERROR(AVERAGE(S48,S52),0)</f>
        <v>0</v>
      </c>
      <c r="U48" s="249"/>
      <c r="V48" s="227" t="n">
        <f aca="false">R48</f>
        <v>0</v>
      </c>
      <c r="W48" s="50" t="n">
        <f aca="false">IFERROR(VLOOKUP(V48,AnsGTBL,2,FALSE()),0)</f>
        <v>0</v>
      </c>
      <c r="X48" s="231" t="n">
        <f aca="false">IFERROR(AVERAGE(W48,W52),0)</f>
        <v>0</v>
      </c>
      <c r="Y48" s="249"/>
    </row>
    <row r="49" customFormat="false" ht="13.5" hidden="false" customHeight="false" outlineLevel="0" collapsed="false">
      <c r="A49" s="44"/>
      <c r="B49" s="224"/>
      <c r="C49" s="225"/>
      <c r="D49" s="70"/>
      <c r="E49" s="70"/>
      <c r="F49" s="70"/>
      <c r="G49" s="70"/>
      <c r="H49" s="70"/>
      <c r="I49" s="249"/>
      <c r="J49" s="70"/>
      <c r="K49" s="70"/>
      <c r="L49" s="70"/>
      <c r="M49" s="249"/>
      <c r="N49" s="70"/>
      <c r="O49" s="70"/>
      <c r="P49" s="70"/>
      <c r="Q49" s="249"/>
      <c r="R49" s="70"/>
      <c r="S49" s="70"/>
      <c r="T49" s="70"/>
      <c r="U49" s="249"/>
      <c r="V49" s="70"/>
      <c r="W49" s="70"/>
      <c r="X49" s="70"/>
      <c r="Y49" s="249"/>
    </row>
    <row r="50" customFormat="false" ht="13.5" hidden="false" customHeight="false" outlineLevel="0" collapsed="false">
      <c r="A50" s="44" t="str">
        <f aca="false">Interview!A68</f>
        <v>D-TA-B-1-1</v>
      </c>
      <c r="B50" s="247" t="str">
        <f aca="false">VLOOKUP(A50,'imp-questions'!A:H,4,FALSE())</f>
        <v>Threat Modeling</v>
      </c>
      <c r="C50" s="248" t="n">
        <f aca="false">VLOOKUP(A50,'imp-questions'!A:H,5,FALSE())</f>
        <v>1</v>
      </c>
      <c r="D50" s="47" t="str">
        <f aca="false">VLOOKUP(A50,'imp-questions'!A:H,6,FALSE())</f>
        <v>Do you identify and manage architectural design flaws with threat modeling?</v>
      </c>
      <c r="E50" s="48" t="str">
        <f aca="false">CHAR(65+VLOOKUP(A50,'imp-questions'!A:H,8,FALSE()))</f>
        <v>C</v>
      </c>
      <c r="F50" s="226" t="n">
        <f aca="false">Interview!F68</f>
        <v>0</v>
      </c>
      <c r="G50" s="50" t="n">
        <f aca="false">IFERROR(VLOOKUP(F50,AnsCTBL,2,FALSE()),0)</f>
        <v>0</v>
      </c>
      <c r="H50" s="233"/>
      <c r="I50" s="249"/>
      <c r="J50" s="227" t="n">
        <f aca="false">F50</f>
        <v>0</v>
      </c>
      <c r="K50" s="50" t="n">
        <f aca="false">IFERROR(VLOOKUP(J50,AnsCTBL,2,FALSE()),0)</f>
        <v>0</v>
      </c>
      <c r="L50" s="233"/>
      <c r="M50" s="249"/>
      <c r="N50" s="227" t="n">
        <f aca="false">J50</f>
        <v>0</v>
      </c>
      <c r="O50" s="50" t="n">
        <f aca="false">IFERROR(VLOOKUP(N50,AnsCTBL,2,FALSE()),0)</f>
        <v>0</v>
      </c>
      <c r="P50" s="233"/>
      <c r="Q50" s="249"/>
      <c r="R50" s="227" t="n">
        <f aca="false">N50</f>
        <v>0</v>
      </c>
      <c r="S50" s="50" t="n">
        <f aca="false">IFERROR(VLOOKUP(R50,AnsCTBL,2,FALSE()),0)</f>
        <v>0</v>
      </c>
      <c r="T50" s="233"/>
      <c r="U50" s="249"/>
      <c r="V50" s="227" t="n">
        <f aca="false">R50</f>
        <v>0</v>
      </c>
      <c r="W50" s="50" t="n">
        <f aca="false">IFERROR(VLOOKUP(V50,AnsCTBL,2,FALSE()),0)</f>
        <v>0</v>
      </c>
      <c r="X50" s="233"/>
      <c r="Y50" s="249"/>
    </row>
    <row r="51" customFormat="false" ht="13.5" hidden="false" customHeight="false" outlineLevel="0" collapsed="false">
      <c r="A51" s="44" t="str">
        <f aca="false">Interview!A70</f>
        <v>D-TA-B-2-1</v>
      </c>
      <c r="B51" s="247"/>
      <c r="C51" s="248" t="n">
        <f aca="false">VLOOKUP(A51,'imp-questions'!A:H,5,FALSE())</f>
        <v>2</v>
      </c>
      <c r="D51" s="47" t="str">
        <f aca="false">VLOOKUP(A51,'imp-questions'!A:H,6,FALSE())</f>
        <v>Do you use a standard methodology, aligned on your application risk levels?</v>
      </c>
      <c r="E51" s="48" t="str">
        <f aca="false">CHAR(65+VLOOKUP(A51,'imp-questions'!A:H,8,FALSE()))</f>
        <v>F</v>
      </c>
      <c r="F51" s="228" t="n">
        <f aca="false">Interview!F70</f>
        <v>0</v>
      </c>
      <c r="G51" s="50" t="n">
        <f aca="false">IFERROR(VLOOKUP(F51,AnsFTBL,2,FALSE()),0)</f>
        <v>0</v>
      </c>
      <c r="H51" s="233"/>
      <c r="I51" s="249"/>
      <c r="J51" s="227" t="n">
        <f aca="false">F51</f>
        <v>0</v>
      </c>
      <c r="K51" s="50" t="n">
        <f aca="false">IFERROR(VLOOKUP(J51,AnsFTBL,2,FALSE()),0)</f>
        <v>0</v>
      </c>
      <c r="L51" s="233"/>
      <c r="M51" s="249"/>
      <c r="N51" s="227" t="n">
        <f aca="false">J51</f>
        <v>0</v>
      </c>
      <c r="O51" s="50" t="n">
        <f aca="false">IFERROR(VLOOKUP(N51,AnsFTBL,2,FALSE()),0)</f>
        <v>0</v>
      </c>
      <c r="P51" s="233"/>
      <c r="Q51" s="249"/>
      <c r="R51" s="227" t="n">
        <f aca="false">N51</f>
        <v>0</v>
      </c>
      <c r="S51" s="50" t="n">
        <f aca="false">IFERROR(VLOOKUP(R51,AnsFTBL,2,FALSE()),0)</f>
        <v>0</v>
      </c>
      <c r="T51" s="233"/>
      <c r="U51" s="249"/>
      <c r="V51" s="227" t="n">
        <f aca="false">R51</f>
        <v>0</v>
      </c>
      <c r="W51" s="50" t="n">
        <f aca="false">IFERROR(VLOOKUP(V51,AnsFTBL,2,FALSE()),0)</f>
        <v>0</v>
      </c>
      <c r="X51" s="233"/>
      <c r="Y51" s="249"/>
    </row>
    <row r="52" customFormat="false" ht="23.85" hidden="false" customHeight="false" outlineLevel="0" collapsed="false">
      <c r="A52" s="44" t="str">
        <f aca="false">Interview!A72</f>
        <v>D-TA-B-3-1</v>
      </c>
      <c r="B52" s="247"/>
      <c r="C52" s="248" t="n">
        <f aca="false">VLOOKUP(A52,'imp-questions'!A:H,5,FALSE())</f>
        <v>3</v>
      </c>
      <c r="D52" s="222" t="str">
        <f aca="false">VLOOKUP(A52,'imp-questions'!A:H,6,FALSE())</f>
        <v>Do you regularly review and update the threat modeling methodology for your applications?</v>
      </c>
      <c r="E52" s="48" t="str">
        <f aca="false">CHAR(65+VLOOKUP(A52,'imp-questions'!A:H,8,FALSE()))</f>
        <v>N</v>
      </c>
      <c r="F52" s="228" t="n">
        <f aca="false">Interview!F72</f>
        <v>0</v>
      </c>
      <c r="G52" s="50" t="n">
        <f aca="false">IFERROR(VLOOKUP(F52,AnsNTBL,2,FALSE()),0)</f>
        <v>0</v>
      </c>
      <c r="H52" s="233"/>
      <c r="I52" s="249"/>
      <c r="J52" s="227" t="n">
        <f aca="false">F52</f>
        <v>0</v>
      </c>
      <c r="K52" s="50" t="n">
        <f aca="false">IFERROR(VLOOKUP(J52,AnsNTBL,2,FALSE()),0)</f>
        <v>0</v>
      </c>
      <c r="L52" s="233"/>
      <c r="M52" s="249"/>
      <c r="N52" s="227" t="n">
        <f aca="false">J52</f>
        <v>0</v>
      </c>
      <c r="O52" s="50" t="n">
        <f aca="false">IFERROR(VLOOKUP(N52,AnsNTBL,2,FALSE()),0)</f>
        <v>0</v>
      </c>
      <c r="P52" s="233"/>
      <c r="Q52" s="249"/>
      <c r="R52" s="227" t="n">
        <f aca="false">N52</f>
        <v>0</v>
      </c>
      <c r="S52" s="50" t="n">
        <f aca="false">IFERROR(VLOOKUP(R52,AnsNTBL,2,FALSE()),0)</f>
        <v>0</v>
      </c>
      <c r="T52" s="233"/>
      <c r="U52" s="249"/>
      <c r="V52" s="227" t="n">
        <f aca="false">R52</f>
        <v>0</v>
      </c>
      <c r="W52" s="50" t="n">
        <f aca="false">IFERROR(VLOOKUP(V52,AnsNTBL,2,FALSE()),0)</f>
        <v>0</v>
      </c>
      <c r="X52" s="233"/>
      <c r="Y52" s="249"/>
    </row>
    <row r="53" customFormat="false" ht="13.5" hidden="false" customHeight="false" outlineLevel="0" collapsed="false">
      <c r="A53" s="44"/>
      <c r="B53" s="224"/>
      <c r="C53" s="225"/>
      <c r="D53" s="70"/>
      <c r="E53" s="70"/>
      <c r="F53" s="70"/>
      <c r="G53" s="70"/>
      <c r="H53" s="70"/>
      <c r="I53" s="70"/>
      <c r="J53" s="70"/>
      <c r="K53" s="70"/>
      <c r="L53" s="70"/>
      <c r="M53" s="70"/>
      <c r="N53" s="70"/>
      <c r="O53" s="70"/>
      <c r="P53" s="70"/>
      <c r="Q53" s="70"/>
      <c r="R53" s="70"/>
      <c r="S53" s="70"/>
      <c r="T53" s="70"/>
      <c r="U53" s="70"/>
      <c r="V53" s="70"/>
      <c r="W53" s="70"/>
      <c r="X53" s="70"/>
      <c r="Y53" s="70"/>
    </row>
    <row r="54" customFormat="false" ht="13.8" hidden="false" customHeight="false" outlineLevel="0" collapsed="false">
      <c r="A54" s="44"/>
      <c r="B54" s="243" t="s">
        <v>38</v>
      </c>
      <c r="C54" s="244" t="s">
        <v>39</v>
      </c>
      <c r="D54" s="250" t="s">
        <v>72</v>
      </c>
      <c r="E54" s="102"/>
      <c r="F54" s="101" t="s">
        <v>41</v>
      </c>
      <c r="G54" s="101"/>
      <c r="H54" s="103"/>
      <c r="I54" s="246" t="s">
        <v>43</v>
      </c>
      <c r="J54" s="101" t="s">
        <v>41</v>
      </c>
      <c r="K54" s="101"/>
      <c r="L54" s="103"/>
      <c r="M54" s="246" t="s">
        <v>43</v>
      </c>
      <c r="N54" s="101" t="s">
        <v>41</v>
      </c>
      <c r="O54" s="101"/>
      <c r="P54" s="103"/>
      <c r="Q54" s="246" t="s">
        <v>43</v>
      </c>
      <c r="R54" s="101" t="s">
        <v>41</v>
      </c>
      <c r="S54" s="101"/>
      <c r="T54" s="103"/>
      <c r="U54" s="246" t="s">
        <v>43</v>
      </c>
      <c r="V54" s="101" t="s">
        <v>41</v>
      </c>
      <c r="W54" s="101"/>
      <c r="X54" s="103"/>
      <c r="Y54" s="246" t="s">
        <v>43</v>
      </c>
    </row>
    <row r="55" customFormat="false" ht="13.5" hidden="false" customHeight="false" outlineLevel="0" collapsed="false">
      <c r="A55" s="44" t="str">
        <f aca="false">Interview!A75</f>
        <v>D-SR-A-1-1</v>
      </c>
      <c r="B55" s="251" t="str">
        <f aca="false">VLOOKUP(A55,'imp-questions'!A:H,4,FALSE())</f>
        <v>Software Requirements</v>
      </c>
      <c r="C55" s="248" t="n">
        <f aca="false">VLOOKUP(A55,'imp-questions'!A:H,5,FALSE())</f>
        <v>1</v>
      </c>
      <c r="D55" s="47" t="str">
        <f aca="false">VLOOKUP(A55,'imp-questions'!A:H,6,FALSE())</f>
        <v>Do project teams specify security requirements during development?</v>
      </c>
      <c r="E55" s="48" t="str">
        <f aca="false">CHAR(65+VLOOKUP(A55,'imp-questions'!A:H,8,FALSE()))</f>
        <v>F</v>
      </c>
      <c r="F55" s="226" t="n">
        <f aca="false">Interview!F75</f>
        <v>0</v>
      </c>
      <c r="G55" s="50" t="n">
        <f aca="false">IFERROR(VLOOKUP(F55,AnsFTBL,2,FALSE()),0)</f>
        <v>0</v>
      </c>
      <c r="H55" s="231" t="n">
        <f aca="false">IFERROR(AVERAGE(G55,G59),0)</f>
        <v>0</v>
      </c>
      <c r="I55" s="249" t="n">
        <f aca="false">SUM(H55:H57)</f>
        <v>0</v>
      </c>
      <c r="J55" s="227" t="n">
        <f aca="false">F55</f>
        <v>0</v>
      </c>
      <c r="K55" s="50" t="n">
        <f aca="false">IFERROR(VLOOKUP(J55,AnsFTBL,2,FALSE()),0)</f>
        <v>0</v>
      </c>
      <c r="L55" s="231" t="n">
        <f aca="false">IFERROR(AVERAGE(K55,K59),0)</f>
        <v>0</v>
      </c>
      <c r="M55" s="249" t="n">
        <f aca="false">SUM(L55:L57)</f>
        <v>0</v>
      </c>
      <c r="N55" s="227" t="n">
        <f aca="false">J55</f>
        <v>0</v>
      </c>
      <c r="O55" s="50" t="n">
        <f aca="false">IFERROR(VLOOKUP(N55,AnsFTBL,2,FALSE()),0)</f>
        <v>0</v>
      </c>
      <c r="P55" s="231" t="n">
        <f aca="false">IFERROR(AVERAGE(O55,O59),0)</f>
        <v>0</v>
      </c>
      <c r="Q55" s="249" t="n">
        <f aca="false">SUM(P55:P57)</f>
        <v>0</v>
      </c>
      <c r="R55" s="227" t="n">
        <f aca="false">N55</f>
        <v>0</v>
      </c>
      <c r="S55" s="50" t="n">
        <f aca="false">IFERROR(VLOOKUP(R55,AnsFTBL,2,FALSE()),0)</f>
        <v>0</v>
      </c>
      <c r="T55" s="231" t="n">
        <f aca="false">IFERROR(AVERAGE(S55,S59),0)</f>
        <v>0</v>
      </c>
      <c r="U55" s="249" t="n">
        <f aca="false">SUM(T55:T57)</f>
        <v>0</v>
      </c>
      <c r="V55" s="227" t="n">
        <f aca="false">R55</f>
        <v>0</v>
      </c>
      <c r="W55" s="50" t="n">
        <f aca="false">IFERROR(VLOOKUP(V55,AnsFTBL,2,FALSE()),0)</f>
        <v>0</v>
      </c>
      <c r="X55" s="231" t="n">
        <f aca="false">IFERROR(AVERAGE(W55,W59),0)</f>
        <v>0</v>
      </c>
      <c r="Y55" s="249" t="n">
        <f aca="false">SUM(X55:X57)</f>
        <v>0</v>
      </c>
    </row>
    <row r="56" customFormat="false" ht="23.85" hidden="false" customHeight="false" outlineLevel="0" collapsed="false">
      <c r="A56" s="44" t="str">
        <f aca="false">Interview!A77</f>
        <v>D-SR-A-2-1</v>
      </c>
      <c r="B56" s="251"/>
      <c r="C56" s="248" t="n">
        <f aca="false">VLOOKUP(A56,'imp-questions'!A:H,5,FALSE())</f>
        <v>2</v>
      </c>
      <c r="D56" s="47" t="str">
        <f aca="false">VLOOKUP(A56,'imp-questions'!A:H,6,FALSE())</f>
        <v>Do you define, structure, and include prioritization in the artifacts of the security requirements gathering process?</v>
      </c>
      <c r="E56" s="48" t="str">
        <f aca="false">CHAR(65+VLOOKUP(A56,'imp-questions'!A:H,8,FALSE()))</f>
        <v>H</v>
      </c>
      <c r="F56" s="252" t="n">
        <f aca="false">Interview!F77</f>
        <v>0</v>
      </c>
      <c r="G56" s="50" t="n">
        <f aca="false">IFERROR(VLOOKUP(F56,AnsHTBL,2,FALSE()),0)</f>
        <v>0</v>
      </c>
      <c r="H56" s="231" t="n">
        <f aca="false">IFERROR(AVERAGE(G56,G60),0)</f>
        <v>0</v>
      </c>
      <c r="I56" s="249"/>
      <c r="J56" s="227" t="n">
        <f aca="false">F56</f>
        <v>0</v>
      </c>
      <c r="K56" s="50" t="n">
        <f aca="false">IFERROR(VLOOKUP(J56,AnsHTBL,2,FALSE()),0)</f>
        <v>0</v>
      </c>
      <c r="L56" s="231" t="n">
        <f aca="false">IFERROR(AVERAGE(K56,K60),0)</f>
        <v>0</v>
      </c>
      <c r="M56" s="249"/>
      <c r="N56" s="227" t="n">
        <f aca="false">J56</f>
        <v>0</v>
      </c>
      <c r="O56" s="50" t="n">
        <f aca="false">IFERROR(VLOOKUP(N56,AnsHTBL,2,FALSE()),0)</f>
        <v>0</v>
      </c>
      <c r="P56" s="231" t="n">
        <f aca="false">IFERROR(AVERAGE(O56,O60),0)</f>
        <v>0</v>
      </c>
      <c r="Q56" s="249"/>
      <c r="R56" s="227" t="n">
        <f aca="false">N56</f>
        <v>0</v>
      </c>
      <c r="S56" s="50" t="n">
        <f aca="false">IFERROR(VLOOKUP(R56,AnsHTBL,2,FALSE()),0)</f>
        <v>0</v>
      </c>
      <c r="T56" s="231" t="n">
        <f aca="false">IFERROR(AVERAGE(S56,S60),0)</f>
        <v>0</v>
      </c>
      <c r="U56" s="249"/>
      <c r="V56" s="227" t="n">
        <f aca="false">R56</f>
        <v>0</v>
      </c>
      <c r="W56" s="50" t="n">
        <f aca="false">IFERROR(VLOOKUP(V56,AnsHTBL,2,FALSE()),0)</f>
        <v>0</v>
      </c>
      <c r="X56" s="231" t="n">
        <f aca="false">IFERROR(AVERAGE(W56,W60),0)</f>
        <v>0</v>
      </c>
      <c r="Y56" s="249"/>
    </row>
    <row r="57" customFormat="false" ht="23.85" hidden="false" customHeight="false" outlineLevel="0" collapsed="false">
      <c r="A57" s="44" t="str">
        <f aca="false">Interview!A79</f>
        <v>D-SR-A-3-1</v>
      </c>
      <c r="B57" s="251"/>
      <c r="C57" s="248" t="n">
        <f aca="false">VLOOKUP(A57,'imp-questions'!A:H,5,FALSE())</f>
        <v>3</v>
      </c>
      <c r="D57" s="47" t="str">
        <f aca="false">VLOOKUP(A57,'imp-questions'!A:H,6,FALSE())</f>
        <v>Do you use a standard requirements framework to streamline the elicitation of security requirements?</v>
      </c>
      <c r="E57" s="48" t="str">
        <f aca="false">CHAR(65+VLOOKUP(A57,'imp-questions'!A:H,8,FALSE()))</f>
        <v>F</v>
      </c>
      <c r="F57" s="226" t="n">
        <f aca="false">Interview!F79</f>
        <v>0</v>
      </c>
      <c r="G57" s="50" t="n">
        <f aca="false">IFERROR(VLOOKUP(F57,AnsFTBL,2,FALSE()),0)</f>
        <v>0</v>
      </c>
      <c r="H57" s="231" t="n">
        <f aca="false">IFERROR(AVERAGE(G57,G61),0)</f>
        <v>0</v>
      </c>
      <c r="I57" s="249"/>
      <c r="J57" s="227" t="n">
        <f aca="false">F57</f>
        <v>0</v>
      </c>
      <c r="K57" s="50" t="n">
        <f aca="false">IFERROR(VLOOKUP(J57,AnsFTBL,2,FALSE()),0)</f>
        <v>0</v>
      </c>
      <c r="L57" s="231" t="n">
        <f aca="false">IFERROR(AVERAGE(K57,K61),0)</f>
        <v>0</v>
      </c>
      <c r="M57" s="249"/>
      <c r="N57" s="227" t="n">
        <f aca="false">J57</f>
        <v>0</v>
      </c>
      <c r="O57" s="50" t="n">
        <f aca="false">IFERROR(VLOOKUP(N57,AnsFTBL,2,FALSE()),0)</f>
        <v>0</v>
      </c>
      <c r="P57" s="231" t="n">
        <f aca="false">IFERROR(AVERAGE(O57,O61),0)</f>
        <v>0</v>
      </c>
      <c r="Q57" s="249"/>
      <c r="R57" s="227" t="n">
        <f aca="false">N57</f>
        <v>0</v>
      </c>
      <c r="S57" s="50" t="n">
        <f aca="false">IFERROR(VLOOKUP(R57,AnsFTBL,2,FALSE()),0)</f>
        <v>0</v>
      </c>
      <c r="T57" s="231" t="n">
        <f aca="false">IFERROR(AVERAGE(S57,S61),0)</f>
        <v>0</v>
      </c>
      <c r="U57" s="249"/>
      <c r="V57" s="227" t="n">
        <f aca="false">R57</f>
        <v>0</v>
      </c>
      <c r="W57" s="50" t="n">
        <f aca="false">IFERROR(VLOOKUP(V57,AnsFTBL,2,FALSE()),0)</f>
        <v>0</v>
      </c>
      <c r="X57" s="231" t="n">
        <f aca="false">IFERROR(AVERAGE(W57,W61),0)</f>
        <v>0</v>
      </c>
      <c r="Y57" s="249"/>
    </row>
    <row r="58" customFormat="false" ht="13.5" hidden="false" customHeight="false" outlineLevel="0" collapsed="false">
      <c r="A58" s="44"/>
      <c r="B58" s="253"/>
      <c r="C58" s="225"/>
      <c r="D58" s="70"/>
      <c r="E58" s="70"/>
      <c r="F58" s="70"/>
      <c r="G58" s="70"/>
      <c r="H58" s="70"/>
      <c r="I58" s="249"/>
      <c r="J58" s="70"/>
      <c r="K58" s="70"/>
      <c r="L58" s="70"/>
      <c r="M58" s="249"/>
      <c r="N58" s="70"/>
      <c r="O58" s="70"/>
      <c r="P58" s="70"/>
      <c r="Q58" s="249"/>
      <c r="R58" s="70"/>
      <c r="S58" s="70"/>
      <c r="T58" s="70"/>
      <c r="U58" s="249"/>
      <c r="V58" s="70"/>
      <c r="W58" s="70"/>
      <c r="X58" s="70"/>
      <c r="Y58" s="249"/>
    </row>
    <row r="59" customFormat="false" ht="23.85" hidden="false" customHeight="false" outlineLevel="0" collapsed="false">
      <c r="A59" s="44" t="str">
        <f aca="false">Interview!A82</f>
        <v>D-SR-B-1-1</v>
      </c>
      <c r="B59" s="247" t="str">
        <f aca="false">VLOOKUP(A59,'imp-questions'!A:H,4,FALSE())</f>
        <v>Supplier Security</v>
      </c>
      <c r="C59" s="248" t="n">
        <f aca="false">VLOOKUP(A59,'imp-questions'!A:H,5,FALSE())</f>
        <v>1</v>
      </c>
      <c r="D59" s="47" t="str">
        <f aca="false">VLOOKUP(A59,'imp-questions'!A:H,6,FALSE())</f>
        <v>Do stakeholders review vendor collaborations for security requirements and methodology?</v>
      </c>
      <c r="E59" s="48" t="str">
        <f aca="false">CHAR(65+VLOOKUP(A59,'imp-questions'!A:H,8,FALSE()))</f>
        <v>H</v>
      </c>
      <c r="F59" s="226" t="n">
        <f aca="false">Interview!F82</f>
        <v>0</v>
      </c>
      <c r="G59" s="50" t="n">
        <f aca="false">IFERROR(VLOOKUP(F59,AnsHTBL,2,FALSE()),0)</f>
        <v>0</v>
      </c>
      <c r="H59" s="233"/>
      <c r="I59" s="249"/>
      <c r="J59" s="227" t="n">
        <f aca="false">F59</f>
        <v>0</v>
      </c>
      <c r="K59" s="50" t="n">
        <f aca="false">IFERROR(VLOOKUP(J59,AnsHTBL,2,FALSE()),0)</f>
        <v>0</v>
      </c>
      <c r="L59" s="233"/>
      <c r="M59" s="249"/>
      <c r="N59" s="227" t="n">
        <f aca="false">J59</f>
        <v>0</v>
      </c>
      <c r="O59" s="50" t="n">
        <f aca="false">IFERROR(VLOOKUP(N59,AnsHTBL,2,FALSE()),0)</f>
        <v>0</v>
      </c>
      <c r="P59" s="233"/>
      <c r="Q59" s="249"/>
      <c r="R59" s="227" t="n">
        <f aca="false">N59</f>
        <v>0</v>
      </c>
      <c r="S59" s="50" t="n">
        <f aca="false">IFERROR(VLOOKUP(R59,AnsHTBL,2,FALSE()),0)</f>
        <v>0</v>
      </c>
      <c r="T59" s="233"/>
      <c r="U59" s="249"/>
      <c r="V59" s="227" t="n">
        <f aca="false">R59</f>
        <v>0</v>
      </c>
      <c r="W59" s="50" t="n">
        <f aca="false">IFERROR(VLOOKUP(V59,AnsHTBL,2,FALSE()),0)</f>
        <v>0</v>
      </c>
      <c r="X59" s="233"/>
      <c r="Y59" s="249"/>
    </row>
    <row r="60" customFormat="false" ht="23.85" hidden="false" customHeight="false" outlineLevel="0" collapsed="false">
      <c r="A60" s="44" t="str">
        <f aca="false">Interview!A84</f>
        <v>D-SR-B-2-1</v>
      </c>
      <c r="B60" s="247"/>
      <c r="C60" s="248" t="n">
        <f aca="false">VLOOKUP(A60,'imp-questions'!A:H,5,FALSE())</f>
        <v>2</v>
      </c>
      <c r="D60" s="47" t="str">
        <f aca="false">VLOOKUP(A60,'imp-questions'!A:H,6,FALSE())</f>
        <v>Do vendors meet the security responsibilities and quality measures of service level agreements defined by the organization?</v>
      </c>
      <c r="E60" s="48" t="str">
        <f aca="false">CHAR(65+VLOOKUP(A60,'imp-questions'!A:H,8,FALSE()))</f>
        <v>H</v>
      </c>
      <c r="F60" s="252" t="n">
        <f aca="false">Interview!F84</f>
        <v>0</v>
      </c>
      <c r="G60" s="50" t="n">
        <f aca="false">IFERROR(VLOOKUP(F60,AnsHTBL,2,FALSE()),0)</f>
        <v>0</v>
      </c>
      <c r="H60" s="233"/>
      <c r="I60" s="249"/>
      <c r="J60" s="227" t="n">
        <f aca="false">F60</f>
        <v>0</v>
      </c>
      <c r="K60" s="50" t="n">
        <f aca="false">IFERROR(VLOOKUP(J60,AnsHTBL,2,FALSE()),0)</f>
        <v>0</v>
      </c>
      <c r="L60" s="233"/>
      <c r="M60" s="249"/>
      <c r="N60" s="227" t="n">
        <f aca="false">J60</f>
        <v>0</v>
      </c>
      <c r="O60" s="50" t="n">
        <f aca="false">IFERROR(VLOOKUP(N60,AnsHTBL,2,FALSE()),0)</f>
        <v>0</v>
      </c>
      <c r="P60" s="233"/>
      <c r="Q60" s="249"/>
      <c r="R60" s="227" t="n">
        <f aca="false">N60</f>
        <v>0</v>
      </c>
      <c r="S60" s="50" t="n">
        <f aca="false">IFERROR(VLOOKUP(R60,AnsHTBL,2,FALSE()),0)</f>
        <v>0</v>
      </c>
      <c r="T60" s="233"/>
      <c r="U60" s="249"/>
      <c r="V60" s="227" t="n">
        <f aca="false">R60</f>
        <v>0</v>
      </c>
      <c r="W60" s="50" t="n">
        <f aca="false">IFERROR(VLOOKUP(V60,AnsHTBL,2,FALSE()),0)</f>
        <v>0</v>
      </c>
      <c r="X60" s="233"/>
      <c r="Y60" s="249"/>
    </row>
    <row r="61" customFormat="false" ht="23.85" hidden="false" customHeight="false" outlineLevel="0" collapsed="false">
      <c r="A61" s="44" t="str">
        <f aca="false">Interview!A86</f>
        <v>D-SR-B-3-1</v>
      </c>
      <c r="B61" s="247"/>
      <c r="C61" s="248" t="n">
        <f aca="false">VLOOKUP(A61,'imp-questions'!A:H,5,FALSE())</f>
        <v>3</v>
      </c>
      <c r="D61" s="222" t="str">
        <f aca="false">VLOOKUP(A61,'imp-questions'!A:H,6,FALSE())</f>
        <v>Are vendors aligned with standard security controls and software development tools and processes that the organization utilizes?</v>
      </c>
      <c r="E61" s="48" t="str">
        <f aca="false">CHAR(65+VLOOKUP(A61,'imp-questions'!A:H,8,FALSE()))</f>
        <v>H</v>
      </c>
      <c r="F61" s="252" t="n">
        <f aca="false">Interview!F86</f>
        <v>0</v>
      </c>
      <c r="G61" s="50" t="n">
        <f aca="false">IFERROR(VLOOKUP(F61,AnsHTBL,2,FALSE()),0)</f>
        <v>0</v>
      </c>
      <c r="H61" s="233"/>
      <c r="I61" s="249"/>
      <c r="J61" s="227" t="n">
        <f aca="false">F61</f>
        <v>0</v>
      </c>
      <c r="K61" s="50" t="n">
        <f aca="false">IFERROR(VLOOKUP(J61,AnsHTBL,2,FALSE()),0)</f>
        <v>0</v>
      </c>
      <c r="L61" s="233"/>
      <c r="M61" s="249"/>
      <c r="N61" s="227" t="n">
        <f aca="false">J61</f>
        <v>0</v>
      </c>
      <c r="O61" s="50" t="n">
        <f aca="false">IFERROR(VLOOKUP(N61,AnsHTBL,2,FALSE()),0)</f>
        <v>0</v>
      </c>
      <c r="P61" s="233"/>
      <c r="Q61" s="249"/>
      <c r="R61" s="227" t="n">
        <f aca="false">N61</f>
        <v>0</v>
      </c>
      <c r="S61" s="50" t="n">
        <f aca="false">IFERROR(VLOOKUP(R61,AnsHTBL,2,FALSE()),0)</f>
        <v>0</v>
      </c>
      <c r="T61" s="233"/>
      <c r="U61" s="249"/>
      <c r="V61" s="227" t="n">
        <f aca="false">R61</f>
        <v>0</v>
      </c>
      <c r="W61" s="50" t="n">
        <f aca="false">IFERROR(VLOOKUP(V61,AnsHTBL,2,FALSE()),0)</f>
        <v>0</v>
      </c>
      <c r="X61" s="233"/>
      <c r="Y61" s="249"/>
    </row>
    <row r="62" customFormat="false" ht="13.5" hidden="false" customHeight="false" outlineLevel="0" collapsed="false">
      <c r="A62" s="44"/>
      <c r="B62" s="224"/>
      <c r="C62" s="225"/>
      <c r="D62" s="70"/>
      <c r="E62" s="70"/>
      <c r="F62" s="70"/>
      <c r="G62" s="70"/>
      <c r="H62" s="70"/>
      <c r="I62" s="70"/>
      <c r="J62" s="70"/>
      <c r="K62" s="70"/>
      <c r="L62" s="70"/>
      <c r="M62" s="70"/>
      <c r="N62" s="70"/>
      <c r="O62" s="70"/>
      <c r="P62" s="70"/>
      <c r="Q62" s="70"/>
      <c r="R62" s="70"/>
      <c r="S62" s="70"/>
      <c r="T62" s="70"/>
      <c r="U62" s="70"/>
      <c r="V62" s="70"/>
      <c r="W62" s="70"/>
      <c r="X62" s="70"/>
      <c r="Y62" s="70"/>
    </row>
    <row r="63" customFormat="false" ht="13.8" hidden="false" customHeight="false" outlineLevel="0" collapsed="false">
      <c r="A63" s="44"/>
      <c r="B63" s="243" t="s">
        <v>38</v>
      </c>
      <c r="C63" s="244" t="s">
        <v>39</v>
      </c>
      <c r="D63" s="250" t="s">
        <v>79</v>
      </c>
      <c r="E63" s="102"/>
      <c r="F63" s="101" t="s">
        <v>41</v>
      </c>
      <c r="G63" s="101"/>
      <c r="H63" s="103"/>
      <c r="I63" s="246" t="s">
        <v>43</v>
      </c>
      <c r="J63" s="101" t="s">
        <v>41</v>
      </c>
      <c r="K63" s="101"/>
      <c r="L63" s="103"/>
      <c r="M63" s="246" t="s">
        <v>43</v>
      </c>
      <c r="N63" s="101" t="s">
        <v>41</v>
      </c>
      <c r="O63" s="101"/>
      <c r="P63" s="103"/>
      <c r="Q63" s="246" t="s">
        <v>43</v>
      </c>
      <c r="R63" s="101" t="s">
        <v>41</v>
      </c>
      <c r="S63" s="101"/>
      <c r="T63" s="103"/>
      <c r="U63" s="246" t="s">
        <v>43</v>
      </c>
      <c r="V63" s="101" t="s">
        <v>41</v>
      </c>
      <c r="W63" s="101"/>
      <c r="X63" s="103"/>
      <c r="Y63" s="246" t="s">
        <v>43</v>
      </c>
    </row>
    <row r="64" customFormat="false" ht="13.5" hidden="false" customHeight="false" outlineLevel="0" collapsed="false">
      <c r="A64" s="44" t="str">
        <f aca="false">Interview!A89</f>
        <v>D-SA-A-1-1</v>
      </c>
      <c r="B64" s="251" t="str">
        <f aca="false">VLOOKUP(A64,'imp-questions'!A:H,4,FALSE())</f>
        <v>Architecture Design</v>
      </c>
      <c r="C64" s="248" t="n">
        <f aca="false">VLOOKUP(A64,'imp-questions'!A:H,5,FALSE())</f>
        <v>1</v>
      </c>
      <c r="D64" s="47" t="str">
        <f aca="false">VLOOKUP(A64,'imp-questions'!A:H,6,FALSE())</f>
        <v>Do teams use security principles during design?</v>
      </c>
      <c r="E64" s="48" t="str">
        <f aca="false">CHAR(65+VLOOKUP(A64,'imp-questions'!A:H,8,FALSE()))</f>
        <v>F</v>
      </c>
      <c r="F64" s="226" t="n">
        <f aca="false">Interview!F89</f>
        <v>0</v>
      </c>
      <c r="G64" s="50" t="n">
        <f aca="false">IFERROR(VLOOKUP(F64,AnsFTBL,2,FALSE()),0)</f>
        <v>0</v>
      </c>
      <c r="H64" s="231" t="n">
        <f aca="false">IFERROR(AVERAGE(G64,G68),0)</f>
        <v>0</v>
      </c>
      <c r="I64" s="254" t="n">
        <f aca="false">SUM(H64:H66)</f>
        <v>0</v>
      </c>
      <c r="J64" s="227" t="n">
        <f aca="false">F64</f>
        <v>0</v>
      </c>
      <c r="K64" s="50" t="n">
        <f aca="false">IFERROR(VLOOKUP(J64,AnsFTBL,2,FALSE()),0)</f>
        <v>0</v>
      </c>
      <c r="L64" s="231" t="n">
        <f aca="false">IFERROR(AVERAGE(K64,K68),0)</f>
        <v>0</v>
      </c>
      <c r="M64" s="254" t="n">
        <f aca="false">SUM(L64:L66)</f>
        <v>0</v>
      </c>
      <c r="N64" s="227" t="n">
        <f aca="false">J64</f>
        <v>0</v>
      </c>
      <c r="O64" s="50" t="n">
        <f aca="false">IFERROR(VLOOKUP(N64,AnsFTBL,2,FALSE()),0)</f>
        <v>0</v>
      </c>
      <c r="P64" s="231" t="n">
        <f aca="false">IFERROR(AVERAGE(O64,O68),0)</f>
        <v>0</v>
      </c>
      <c r="Q64" s="254" t="n">
        <f aca="false">SUM(P64:P66)</f>
        <v>0</v>
      </c>
      <c r="R64" s="227" t="n">
        <f aca="false">N64</f>
        <v>0</v>
      </c>
      <c r="S64" s="50" t="n">
        <f aca="false">IFERROR(VLOOKUP(R64,AnsFTBL,2,FALSE()),0)</f>
        <v>0</v>
      </c>
      <c r="T64" s="231" t="n">
        <f aca="false">IFERROR(AVERAGE(S64,S68),0)</f>
        <v>0</v>
      </c>
      <c r="U64" s="254" t="n">
        <f aca="false">SUM(T64:T66)</f>
        <v>0</v>
      </c>
      <c r="V64" s="227" t="n">
        <f aca="false">R64</f>
        <v>0</v>
      </c>
      <c r="W64" s="50" t="n">
        <f aca="false">IFERROR(VLOOKUP(V64,AnsFTBL,2,FALSE()),0)</f>
        <v>0</v>
      </c>
      <c r="X64" s="231" t="n">
        <f aca="false">IFERROR(AVERAGE(W64,W68),0)</f>
        <v>0</v>
      </c>
      <c r="Y64" s="254" t="n">
        <f aca="false">SUM(X64:X66)</f>
        <v>0</v>
      </c>
    </row>
    <row r="65" customFormat="false" ht="13.5" hidden="false" customHeight="false" outlineLevel="0" collapsed="false">
      <c r="A65" s="44" t="str">
        <f aca="false">Interview!A91</f>
        <v>D-SA-A-2-1</v>
      </c>
      <c r="B65" s="251"/>
      <c r="C65" s="248" t="n">
        <f aca="false">VLOOKUP(A65,'imp-questions'!A:H,5,FALSE())</f>
        <v>2</v>
      </c>
      <c r="D65" s="47" t="str">
        <f aca="false">VLOOKUP(A65,'imp-questions'!A:H,6,FALSE())</f>
        <v>Do you use shared security services during design?</v>
      </c>
      <c r="E65" s="48" t="str">
        <f aca="false">CHAR(65+VLOOKUP(A65,'imp-questions'!A:H,8,FALSE()))</f>
        <v>F</v>
      </c>
      <c r="F65" s="226" t="n">
        <f aca="false">Interview!F91</f>
        <v>0</v>
      </c>
      <c r="G65" s="50" t="n">
        <f aca="false">IFERROR(VLOOKUP(F65,AnsFTBL,2,FALSE()),0)</f>
        <v>0</v>
      </c>
      <c r="H65" s="231" t="n">
        <f aca="false">IFERROR(AVERAGE(G65,G69),0)</f>
        <v>0</v>
      </c>
      <c r="I65" s="254"/>
      <c r="J65" s="227" t="n">
        <f aca="false">F65</f>
        <v>0</v>
      </c>
      <c r="K65" s="50" t="n">
        <f aca="false">IFERROR(VLOOKUP(J65,AnsFTBL,2,FALSE()),0)</f>
        <v>0</v>
      </c>
      <c r="L65" s="231" t="n">
        <f aca="false">IFERROR(AVERAGE(K65,K69),0)</f>
        <v>0</v>
      </c>
      <c r="M65" s="254"/>
      <c r="N65" s="227" t="n">
        <f aca="false">J65</f>
        <v>0</v>
      </c>
      <c r="O65" s="50" t="n">
        <f aca="false">IFERROR(VLOOKUP(N65,AnsFTBL,2,FALSE()),0)</f>
        <v>0</v>
      </c>
      <c r="P65" s="231" t="n">
        <f aca="false">IFERROR(AVERAGE(O65,O69),0)</f>
        <v>0</v>
      </c>
      <c r="Q65" s="254"/>
      <c r="R65" s="227" t="n">
        <f aca="false">N65</f>
        <v>0</v>
      </c>
      <c r="S65" s="50" t="n">
        <f aca="false">IFERROR(VLOOKUP(R65,AnsFTBL,2,FALSE()),0)</f>
        <v>0</v>
      </c>
      <c r="T65" s="231" t="n">
        <f aca="false">IFERROR(AVERAGE(S65,S69),0)</f>
        <v>0</v>
      </c>
      <c r="U65" s="254"/>
      <c r="V65" s="227" t="n">
        <f aca="false">R65</f>
        <v>0</v>
      </c>
      <c r="W65" s="50" t="n">
        <f aca="false">IFERROR(VLOOKUP(V65,AnsFTBL,2,FALSE()),0)</f>
        <v>0</v>
      </c>
      <c r="X65" s="231" t="n">
        <f aca="false">IFERROR(AVERAGE(W65,W69),0)</f>
        <v>0</v>
      </c>
      <c r="Y65" s="254"/>
    </row>
    <row r="66" customFormat="false" ht="13.5" hidden="false" customHeight="false" outlineLevel="0" collapsed="false">
      <c r="A66" s="44" t="str">
        <f aca="false">Interview!A93</f>
        <v>D-SA-A-3-1</v>
      </c>
      <c r="B66" s="251"/>
      <c r="C66" s="248" t="n">
        <f aca="false">VLOOKUP(A66,'imp-questions'!A:H,5,FALSE())</f>
        <v>3</v>
      </c>
      <c r="D66" s="222" t="str">
        <f aca="false">VLOOKUP(A66,'imp-questions'!A:H,6,FALSE())</f>
        <v>Do you base your design on available reference architectures?</v>
      </c>
      <c r="E66" s="48" t="str">
        <f aca="false">CHAR(65+VLOOKUP(A66,'imp-questions'!A:H,8,FALSE()))</f>
        <v>F</v>
      </c>
      <c r="F66" s="226" t="n">
        <f aca="false">Interview!F93</f>
        <v>0</v>
      </c>
      <c r="G66" s="50" t="n">
        <f aca="false">IFERROR(VLOOKUP(F66,AnsFTBL,2,FALSE()),0)</f>
        <v>0</v>
      </c>
      <c r="H66" s="231" t="n">
        <f aca="false">IFERROR(AVERAGE(G66,G70),0)</f>
        <v>0</v>
      </c>
      <c r="I66" s="254"/>
      <c r="J66" s="227" t="n">
        <f aca="false">F66</f>
        <v>0</v>
      </c>
      <c r="K66" s="50" t="n">
        <f aca="false">IFERROR(VLOOKUP(J66,AnsFTBL,2,FALSE()),0)</f>
        <v>0</v>
      </c>
      <c r="L66" s="231" t="n">
        <f aca="false">IFERROR(AVERAGE(K66,K70),0)</f>
        <v>0</v>
      </c>
      <c r="M66" s="254"/>
      <c r="N66" s="227" t="n">
        <f aca="false">J66</f>
        <v>0</v>
      </c>
      <c r="O66" s="50" t="n">
        <f aca="false">IFERROR(VLOOKUP(N66,AnsFTBL,2,FALSE()),0)</f>
        <v>0</v>
      </c>
      <c r="P66" s="231" t="n">
        <f aca="false">IFERROR(AVERAGE(O66,O70),0)</f>
        <v>0</v>
      </c>
      <c r="Q66" s="254"/>
      <c r="R66" s="227" t="n">
        <f aca="false">N66</f>
        <v>0</v>
      </c>
      <c r="S66" s="50" t="n">
        <f aca="false">IFERROR(VLOOKUP(R66,AnsFTBL,2,FALSE()),0)</f>
        <v>0</v>
      </c>
      <c r="T66" s="231" t="n">
        <f aca="false">IFERROR(AVERAGE(S66,S70),0)</f>
        <v>0</v>
      </c>
      <c r="U66" s="254"/>
      <c r="V66" s="227" t="n">
        <f aca="false">R66</f>
        <v>0</v>
      </c>
      <c r="W66" s="50" t="n">
        <f aca="false">IFERROR(VLOOKUP(V66,AnsFTBL,2,FALSE()),0)</f>
        <v>0</v>
      </c>
      <c r="X66" s="231" t="n">
        <f aca="false">IFERROR(AVERAGE(W66,W70),0)</f>
        <v>0</v>
      </c>
      <c r="Y66" s="254"/>
    </row>
    <row r="67" customFormat="false" ht="13.5" hidden="false" customHeight="false" outlineLevel="0" collapsed="false">
      <c r="A67" s="44"/>
      <c r="B67" s="253"/>
      <c r="C67" s="225"/>
      <c r="D67" s="70"/>
      <c r="E67" s="70"/>
      <c r="F67" s="70"/>
      <c r="G67" s="70"/>
      <c r="H67" s="70"/>
      <c r="I67" s="254"/>
      <c r="J67" s="70"/>
      <c r="K67" s="70"/>
      <c r="L67" s="70"/>
      <c r="M67" s="254"/>
      <c r="N67" s="70"/>
      <c r="O67" s="70"/>
      <c r="P67" s="70"/>
      <c r="Q67" s="254"/>
      <c r="R67" s="70"/>
      <c r="S67" s="70"/>
      <c r="T67" s="70"/>
      <c r="U67" s="254"/>
      <c r="V67" s="70"/>
      <c r="W67" s="70"/>
      <c r="X67" s="70"/>
      <c r="Y67" s="254"/>
    </row>
    <row r="68" customFormat="false" ht="23.85" hidden="false" customHeight="false" outlineLevel="0" collapsed="false">
      <c r="A68" s="44" t="str">
        <f aca="false">Interview!A96</f>
        <v>D-SA-B-1-1</v>
      </c>
      <c r="B68" s="255" t="str">
        <f aca="false">VLOOKUP(A68,'imp-questions'!A:H,4,FALSE())</f>
        <v>Technology Management</v>
      </c>
      <c r="C68" s="248" t="n">
        <f aca="false">VLOOKUP(A68,'imp-questions'!A:H,5,FALSE())</f>
        <v>1</v>
      </c>
      <c r="D68" s="47" t="str">
        <f aca="false">VLOOKUP(A68,'imp-questions'!A:H,6,FALSE())</f>
        <v>Do you evaluate the security quality of important technologies used for development?</v>
      </c>
      <c r="E68" s="48" t="str">
        <f aca="false">CHAR(65+VLOOKUP(A68,'imp-questions'!A:H,8,FALSE()))</f>
        <v>F</v>
      </c>
      <c r="F68" s="226" t="n">
        <f aca="false">Interview!F96</f>
        <v>0</v>
      </c>
      <c r="G68" s="50" t="n">
        <f aca="false">IFERROR(VLOOKUP(F68,AnsFTBL,2,FALSE()),0)</f>
        <v>0</v>
      </c>
      <c r="H68" s="233"/>
      <c r="I68" s="254"/>
      <c r="J68" s="227" t="n">
        <f aca="false">F68</f>
        <v>0</v>
      </c>
      <c r="K68" s="50" t="n">
        <f aca="false">IFERROR(VLOOKUP(J68,AnsFTBL,2,FALSE()),0)</f>
        <v>0</v>
      </c>
      <c r="L68" s="233"/>
      <c r="M68" s="254"/>
      <c r="N68" s="227" t="n">
        <f aca="false">J68</f>
        <v>0</v>
      </c>
      <c r="O68" s="50" t="n">
        <f aca="false">IFERROR(VLOOKUP(N68,AnsFTBL,2,FALSE()),0)</f>
        <v>0</v>
      </c>
      <c r="P68" s="233"/>
      <c r="Q68" s="254"/>
      <c r="R68" s="227" t="n">
        <f aca="false">N68</f>
        <v>0</v>
      </c>
      <c r="S68" s="50" t="n">
        <f aca="false">IFERROR(VLOOKUP(R68,AnsFTBL,2,FALSE()),0)</f>
        <v>0</v>
      </c>
      <c r="T68" s="233"/>
      <c r="U68" s="254"/>
      <c r="V68" s="227" t="n">
        <f aca="false">R68</f>
        <v>0</v>
      </c>
      <c r="W68" s="50" t="n">
        <f aca="false">IFERROR(VLOOKUP(V68,AnsFTBL,2,FALSE()),0)</f>
        <v>0</v>
      </c>
      <c r="X68" s="233"/>
      <c r="Y68" s="254"/>
    </row>
    <row r="69" customFormat="false" ht="13.5" hidden="false" customHeight="false" outlineLevel="0" collapsed="false">
      <c r="A69" s="44" t="str">
        <f aca="false">Interview!A98</f>
        <v>D-SA-B-2-1</v>
      </c>
      <c r="B69" s="255"/>
      <c r="C69" s="248" t="n">
        <f aca="false">VLOOKUP(A69,'imp-questions'!A:H,5,FALSE())</f>
        <v>2</v>
      </c>
      <c r="D69" s="47" t="str">
        <f aca="false">VLOOKUP(A69,'imp-questions'!A:H,6,FALSE())</f>
        <v>Do you have a list of recommended technologies for the organization?</v>
      </c>
      <c r="E69" s="48" t="str">
        <f aca="false">CHAR(65+VLOOKUP(A69,'imp-questions'!A:H,8,FALSE()))</f>
        <v>U</v>
      </c>
      <c r="F69" s="252" t="n">
        <f aca="false">Interview!F98</f>
        <v>0</v>
      </c>
      <c r="G69" s="50" t="n">
        <f aca="false">IFERROR(VLOOKUP(F69,AnsUTBL,2,FALSE()),0)</f>
        <v>0</v>
      </c>
      <c r="H69" s="233"/>
      <c r="I69" s="254"/>
      <c r="J69" s="227" t="n">
        <f aca="false">F69</f>
        <v>0</v>
      </c>
      <c r="K69" s="50" t="n">
        <f aca="false">IFERROR(VLOOKUP(J69,AnsUTBL,2,FALSE()),0)</f>
        <v>0</v>
      </c>
      <c r="L69" s="233"/>
      <c r="M69" s="254"/>
      <c r="N69" s="227" t="n">
        <f aca="false">J69</f>
        <v>0</v>
      </c>
      <c r="O69" s="50" t="n">
        <f aca="false">IFERROR(VLOOKUP(N69,AnsUTBL,2,FALSE()),0)</f>
        <v>0</v>
      </c>
      <c r="P69" s="233"/>
      <c r="Q69" s="254"/>
      <c r="R69" s="227" t="n">
        <f aca="false">N69</f>
        <v>0</v>
      </c>
      <c r="S69" s="50" t="n">
        <f aca="false">IFERROR(VLOOKUP(R69,AnsUTBL,2,FALSE()),0)</f>
        <v>0</v>
      </c>
      <c r="T69" s="233"/>
      <c r="U69" s="254"/>
      <c r="V69" s="227" t="n">
        <f aca="false">R69</f>
        <v>0</v>
      </c>
      <c r="W69" s="50" t="n">
        <f aca="false">IFERROR(VLOOKUP(V69,AnsUTBL,2,FALSE()),0)</f>
        <v>0</v>
      </c>
      <c r="X69" s="233"/>
      <c r="Y69" s="254"/>
    </row>
    <row r="70" customFormat="false" ht="23.85" hidden="false" customHeight="false" outlineLevel="0" collapsed="false">
      <c r="A70" s="44" t="str">
        <f aca="false">Interview!A100</f>
        <v>D-SA-B-3-1</v>
      </c>
      <c r="B70" s="255"/>
      <c r="C70" s="248" t="n">
        <f aca="false">VLOOKUP(A70,'imp-questions'!A:H,5,FALSE())</f>
        <v>3</v>
      </c>
      <c r="D70" s="222" t="str">
        <f aca="false">VLOOKUP(A70,'imp-questions'!A:H,6,FALSE())</f>
        <v>Do you enforce the use of recommended technologies within the organization?</v>
      </c>
      <c r="E70" s="48" t="str">
        <f aca="false">CHAR(65+VLOOKUP(A70,'imp-questions'!A:H,8,FALSE()))</f>
        <v>F</v>
      </c>
      <c r="F70" s="226" t="n">
        <f aca="false">Interview!F100</f>
        <v>0</v>
      </c>
      <c r="G70" s="50" t="n">
        <f aca="false">IFERROR(VLOOKUP(F70,AnsFTBL,2,FALSE()),0)</f>
        <v>0</v>
      </c>
      <c r="H70" s="233"/>
      <c r="I70" s="254"/>
      <c r="J70" s="227" t="n">
        <f aca="false">F70</f>
        <v>0</v>
      </c>
      <c r="K70" s="50" t="n">
        <f aca="false">IFERROR(VLOOKUP(J70,AnsFTBL,2,FALSE()),0)</f>
        <v>0</v>
      </c>
      <c r="L70" s="233"/>
      <c r="M70" s="254"/>
      <c r="N70" s="227" t="n">
        <f aca="false">J70</f>
        <v>0</v>
      </c>
      <c r="O70" s="50" t="n">
        <f aca="false">IFERROR(VLOOKUP(N70,AnsFTBL,2,FALSE()),0)</f>
        <v>0</v>
      </c>
      <c r="P70" s="233"/>
      <c r="Q70" s="254"/>
      <c r="R70" s="227" t="n">
        <f aca="false">N70</f>
        <v>0</v>
      </c>
      <c r="S70" s="50" t="n">
        <f aca="false">IFERROR(VLOOKUP(R70,AnsFTBL,2,FALSE()),0)</f>
        <v>0</v>
      </c>
      <c r="T70" s="233"/>
      <c r="U70" s="254"/>
      <c r="V70" s="227" t="n">
        <f aca="false">R70</f>
        <v>0</v>
      </c>
      <c r="W70" s="50" t="n">
        <f aca="false">IFERROR(VLOOKUP(V70,AnsFTBL,2,FALSE()),0)</f>
        <v>0</v>
      </c>
      <c r="X70" s="233"/>
      <c r="Y70" s="254"/>
    </row>
    <row r="71" customFormat="false" ht="13.5" hidden="false" customHeight="false" outlineLevel="0" collapsed="false">
      <c r="A71" s="44"/>
      <c r="B71" s="253"/>
      <c r="C71" s="225"/>
      <c r="D71" s="70"/>
      <c r="E71" s="70"/>
      <c r="F71" s="70"/>
      <c r="G71" s="70"/>
      <c r="H71" s="70"/>
      <c r="I71" s="70"/>
      <c r="J71" s="70"/>
      <c r="K71" s="70"/>
      <c r="L71" s="70"/>
      <c r="M71" s="70"/>
      <c r="N71" s="70"/>
      <c r="O71" s="70"/>
      <c r="P71" s="70"/>
      <c r="Q71" s="70"/>
      <c r="R71" s="70"/>
      <c r="S71" s="70"/>
      <c r="T71" s="70"/>
      <c r="U71" s="70"/>
      <c r="V71" s="70"/>
      <c r="W71" s="70"/>
      <c r="X71" s="70"/>
      <c r="Y71" s="70"/>
    </row>
    <row r="72" customFormat="false" ht="23.85" hidden="false" customHeight="true" outlineLevel="0" collapsed="false">
      <c r="A72" s="44"/>
      <c r="B72" s="256" t="s">
        <v>86</v>
      </c>
      <c r="C72" s="256"/>
      <c r="D72" s="257"/>
      <c r="E72" s="257"/>
      <c r="F72" s="258" t="s">
        <v>157</v>
      </c>
      <c r="G72" s="258"/>
      <c r="H72" s="258"/>
      <c r="I72" s="258"/>
      <c r="J72" s="259" t="s">
        <v>163</v>
      </c>
      <c r="K72" s="259"/>
      <c r="L72" s="259"/>
      <c r="M72" s="259"/>
      <c r="N72" s="259" t="s">
        <v>164</v>
      </c>
      <c r="O72" s="259"/>
      <c r="P72" s="259"/>
      <c r="Q72" s="259"/>
      <c r="R72" s="259" t="s">
        <v>165</v>
      </c>
      <c r="S72" s="259"/>
      <c r="T72" s="259"/>
      <c r="U72" s="259"/>
      <c r="V72" s="259" t="s">
        <v>166</v>
      </c>
      <c r="W72" s="259"/>
      <c r="X72" s="259"/>
      <c r="Y72" s="259"/>
    </row>
    <row r="73" customFormat="false" ht="13.8" hidden="false" customHeight="false" outlineLevel="0" collapsed="false">
      <c r="A73" s="44"/>
      <c r="B73" s="260" t="s">
        <v>38</v>
      </c>
      <c r="C73" s="261" t="s">
        <v>39</v>
      </c>
      <c r="D73" s="260" t="s">
        <v>87</v>
      </c>
      <c r="E73" s="109"/>
      <c r="F73" s="108" t="s">
        <v>41</v>
      </c>
      <c r="G73" s="108"/>
      <c r="H73" s="110"/>
      <c r="I73" s="262" t="s">
        <v>43</v>
      </c>
      <c r="J73" s="108" t="s">
        <v>41</v>
      </c>
      <c r="K73" s="108"/>
      <c r="L73" s="110"/>
      <c r="M73" s="262" t="s">
        <v>43</v>
      </c>
      <c r="N73" s="108" t="s">
        <v>41</v>
      </c>
      <c r="O73" s="108"/>
      <c r="P73" s="110"/>
      <c r="Q73" s="262" t="s">
        <v>43</v>
      </c>
      <c r="R73" s="108" t="s">
        <v>41</v>
      </c>
      <c r="S73" s="108"/>
      <c r="T73" s="110"/>
      <c r="U73" s="262" t="s">
        <v>43</v>
      </c>
      <c r="V73" s="108" t="s">
        <v>41</v>
      </c>
      <c r="W73" s="108"/>
      <c r="X73" s="110"/>
      <c r="Y73" s="262" t="s">
        <v>43</v>
      </c>
    </row>
    <row r="74" customFormat="false" ht="13.5" hidden="false" customHeight="false" outlineLevel="0" collapsed="false">
      <c r="A74" s="44" t="str">
        <f aca="false">Interview!A104</f>
        <v>I-SB-A-1-1</v>
      </c>
      <c r="B74" s="263" t="str">
        <f aca="false">VLOOKUP(A74,'imp-questions'!A:H,4,FALSE())</f>
        <v>Build Process</v>
      </c>
      <c r="C74" s="264" t="n">
        <f aca="false">VLOOKUP(A74,'imp-questions'!A:H,5,FALSE())</f>
        <v>1</v>
      </c>
      <c r="D74" s="47" t="str">
        <f aca="false">VLOOKUP(A74,'imp-questions'!A:H,6,FALSE())</f>
        <v>Is your full build process formally described?</v>
      </c>
      <c r="E74" s="48" t="str">
        <f aca="false">CHAR(65+VLOOKUP(A74,'imp-questions'!A:H,8,FALSE()))</f>
        <v>F</v>
      </c>
      <c r="F74" s="226" t="n">
        <f aca="false">Interview!F104</f>
        <v>0</v>
      </c>
      <c r="G74" s="50" t="n">
        <f aca="false">IFERROR(VLOOKUP(F74,AnsFTBL,2,FALSE()),0)</f>
        <v>0</v>
      </c>
      <c r="H74" s="231" t="n">
        <f aca="false">IFERROR(AVERAGE(G74,G78),0)</f>
        <v>0</v>
      </c>
      <c r="I74" s="265" t="n">
        <f aca="false">SUM(H74:H76)</f>
        <v>0</v>
      </c>
      <c r="J74" s="226" t="n">
        <f aca="false">Interview!J104</f>
        <v>0</v>
      </c>
      <c r="K74" s="50" t="n">
        <f aca="false">IFERROR(VLOOKUP(J74,AnsFTBL,2,FALSE()),0)</f>
        <v>0</v>
      </c>
      <c r="L74" s="231" t="n">
        <f aca="false">IFERROR(AVERAGE(K74,K78),0)</f>
        <v>0</v>
      </c>
      <c r="M74" s="265" t="n">
        <f aca="false">SUM(L74:L76)</f>
        <v>0</v>
      </c>
      <c r="N74" s="226" t="n">
        <f aca="false">Interview!N104</f>
        <v>0</v>
      </c>
      <c r="O74" s="50" t="n">
        <f aca="false">IFERROR(VLOOKUP(N74,AnsFTBL,2,FALSE()),0)</f>
        <v>0</v>
      </c>
      <c r="P74" s="231" t="n">
        <f aca="false">IFERROR(AVERAGE(O74,O78),0)</f>
        <v>0</v>
      </c>
      <c r="Q74" s="265" t="n">
        <f aca="false">SUM(P74:P76)</f>
        <v>0</v>
      </c>
      <c r="R74" s="227" t="n">
        <f aca="false">N74</f>
        <v>0</v>
      </c>
      <c r="S74" s="50" t="n">
        <f aca="false">IFERROR(VLOOKUP(R74,AnsFTBL,2,FALSE()),0)</f>
        <v>0</v>
      </c>
      <c r="T74" s="231" t="n">
        <f aca="false">IFERROR(AVERAGE(S74,S78),0)</f>
        <v>0</v>
      </c>
      <c r="U74" s="265" t="n">
        <f aca="false">SUM(T74:T76)</f>
        <v>0</v>
      </c>
      <c r="V74" s="227" t="n">
        <f aca="false">R74</f>
        <v>0</v>
      </c>
      <c r="W74" s="50" t="n">
        <f aca="false">IFERROR(VLOOKUP(V74,AnsFTBL,2,FALSE()),0)</f>
        <v>0</v>
      </c>
      <c r="X74" s="231" t="n">
        <f aca="false">IFERROR(AVERAGE(W74,W78),0)</f>
        <v>0</v>
      </c>
      <c r="Y74" s="265" t="n">
        <f aca="false">SUM(X74:X76)</f>
        <v>0</v>
      </c>
    </row>
    <row r="75" customFormat="false" ht="13.5" hidden="false" customHeight="false" outlineLevel="0" collapsed="false">
      <c r="A75" s="44" t="str">
        <f aca="false">Interview!A106</f>
        <v>I-SB-A-2-1</v>
      </c>
      <c r="B75" s="263"/>
      <c r="C75" s="264" t="n">
        <f aca="false">VLOOKUP(A75,'imp-questions'!A:H,5,FALSE())</f>
        <v>2</v>
      </c>
      <c r="D75" s="47" t="str">
        <f aca="false">VLOOKUP(A75,'imp-questions'!A:H,6,FALSE())</f>
        <v>Is the build process fully automated?</v>
      </c>
      <c r="E75" s="48" t="str">
        <f aca="false">CHAR(65+VLOOKUP(A75,'imp-questions'!A:H,8,FALSE()))</f>
        <v>F</v>
      </c>
      <c r="F75" s="226" t="n">
        <f aca="false">Interview!F106</f>
        <v>0</v>
      </c>
      <c r="G75" s="50" t="n">
        <f aca="false">IFERROR(VLOOKUP(F75,AnsFTBL,2,FALSE()),0)</f>
        <v>0</v>
      </c>
      <c r="H75" s="231" t="n">
        <f aca="false">IFERROR(AVERAGE(G75,G79),0)</f>
        <v>0</v>
      </c>
      <c r="I75" s="265"/>
      <c r="J75" s="226" t="n">
        <f aca="false">Interview!J106</f>
        <v>0</v>
      </c>
      <c r="K75" s="50" t="n">
        <f aca="false">IFERROR(VLOOKUP(J75,AnsFTBL,2,FALSE()),0)</f>
        <v>0</v>
      </c>
      <c r="L75" s="231" t="n">
        <f aca="false">IFERROR(AVERAGE(K75,K79),0)</f>
        <v>0</v>
      </c>
      <c r="M75" s="265"/>
      <c r="N75" s="226" t="n">
        <f aca="false">Interview!N106</f>
        <v>0</v>
      </c>
      <c r="O75" s="50" t="n">
        <f aca="false">IFERROR(VLOOKUP(N75,AnsFTBL,2,FALSE()),0)</f>
        <v>0</v>
      </c>
      <c r="P75" s="231" t="n">
        <f aca="false">IFERROR(AVERAGE(O75,O79),0)</f>
        <v>0</v>
      </c>
      <c r="Q75" s="265"/>
      <c r="R75" s="227" t="n">
        <f aca="false">N75</f>
        <v>0</v>
      </c>
      <c r="S75" s="50" t="n">
        <f aca="false">IFERROR(VLOOKUP(R75,AnsFTBL,2,FALSE()),0)</f>
        <v>0</v>
      </c>
      <c r="T75" s="231" t="n">
        <f aca="false">IFERROR(AVERAGE(S75,S79),0)</f>
        <v>0</v>
      </c>
      <c r="U75" s="265"/>
      <c r="V75" s="227" t="n">
        <f aca="false">R75</f>
        <v>0</v>
      </c>
      <c r="W75" s="50" t="n">
        <f aca="false">IFERROR(VLOOKUP(V75,AnsFTBL,2,FALSE()),0)</f>
        <v>0</v>
      </c>
      <c r="X75" s="231" t="n">
        <f aca="false">IFERROR(AVERAGE(W75,W79),0)</f>
        <v>0</v>
      </c>
      <c r="Y75" s="265"/>
    </row>
    <row r="76" customFormat="false" ht="13.5" hidden="false" customHeight="false" outlineLevel="0" collapsed="false">
      <c r="A76" s="44" t="str">
        <f aca="false">Interview!A108</f>
        <v>I-SB-A-3-1</v>
      </c>
      <c r="B76" s="263"/>
      <c r="C76" s="264" t="n">
        <f aca="false">VLOOKUP(A76,'imp-questions'!A:H,5,FALSE())</f>
        <v>3</v>
      </c>
      <c r="D76" s="222" t="str">
        <f aca="false">VLOOKUP(A76,'imp-questions'!A:H,6,FALSE())</f>
        <v>Do you enforce automated security checks in your build processes?</v>
      </c>
      <c r="E76" s="48" t="str">
        <f aca="false">CHAR(65+VLOOKUP(A76,'imp-questions'!A:H,8,FALSE()))</f>
        <v>F</v>
      </c>
      <c r="F76" s="226" t="n">
        <f aca="false">Interview!F108</f>
        <v>0</v>
      </c>
      <c r="G76" s="50" t="n">
        <f aca="false">IFERROR(VLOOKUP(F76,AnsFTBL,2,FALSE()),0)</f>
        <v>0</v>
      </c>
      <c r="H76" s="231" t="n">
        <f aca="false">IFERROR(AVERAGE(G76,G80),0)</f>
        <v>0</v>
      </c>
      <c r="I76" s="265"/>
      <c r="J76" s="226" t="n">
        <f aca="false">Interview!J108</f>
        <v>0</v>
      </c>
      <c r="K76" s="50" t="n">
        <f aca="false">IFERROR(VLOOKUP(J76,AnsFTBL,2,FALSE()),0)</f>
        <v>0</v>
      </c>
      <c r="L76" s="231" t="n">
        <f aca="false">IFERROR(AVERAGE(K76,K80),0)</f>
        <v>0</v>
      </c>
      <c r="M76" s="265"/>
      <c r="N76" s="226" t="n">
        <f aca="false">Interview!N108</f>
        <v>0</v>
      </c>
      <c r="O76" s="50" t="n">
        <f aca="false">IFERROR(VLOOKUP(N76,AnsFTBL,2,FALSE()),0)</f>
        <v>0</v>
      </c>
      <c r="P76" s="231" t="n">
        <f aca="false">IFERROR(AVERAGE(O76,O80),0)</f>
        <v>0</v>
      </c>
      <c r="Q76" s="265"/>
      <c r="R76" s="227" t="n">
        <f aca="false">N76</f>
        <v>0</v>
      </c>
      <c r="S76" s="50" t="n">
        <f aca="false">IFERROR(VLOOKUP(R76,AnsFTBL,2,FALSE()),0)</f>
        <v>0</v>
      </c>
      <c r="T76" s="231" t="n">
        <f aca="false">IFERROR(AVERAGE(S76,S80),0)</f>
        <v>0</v>
      </c>
      <c r="U76" s="265"/>
      <c r="V76" s="227" t="n">
        <f aca="false">R76</f>
        <v>0</v>
      </c>
      <c r="W76" s="50" t="n">
        <f aca="false">IFERROR(VLOOKUP(V76,AnsFTBL,2,FALSE()),0)</f>
        <v>0</v>
      </c>
      <c r="X76" s="231" t="n">
        <f aca="false">IFERROR(AVERAGE(W76,W80),0)</f>
        <v>0</v>
      </c>
      <c r="Y76" s="265"/>
    </row>
    <row r="77" customFormat="false" ht="13.5" hidden="false" customHeight="false" outlineLevel="0" collapsed="false">
      <c r="A77" s="44"/>
      <c r="B77" s="224"/>
      <c r="C77" s="225"/>
      <c r="D77" s="70"/>
      <c r="E77" s="70"/>
      <c r="F77" s="70"/>
      <c r="G77" s="70"/>
      <c r="H77" s="70"/>
      <c r="I77" s="265"/>
      <c r="J77" s="70"/>
      <c r="K77" s="70"/>
      <c r="L77" s="70"/>
      <c r="M77" s="265"/>
      <c r="N77" s="70"/>
      <c r="O77" s="70"/>
      <c r="P77" s="70"/>
      <c r="Q77" s="265"/>
      <c r="R77" s="70"/>
      <c r="S77" s="70"/>
      <c r="T77" s="70"/>
      <c r="U77" s="265"/>
      <c r="V77" s="70"/>
      <c r="W77" s="70"/>
      <c r="X77" s="70"/>
      <c r="Y77" s="265"/>
    </row>
    <row r="78" customFormat="false" ht="13.5" hidden="false" customHeight="false" outlineLevel="0" collapsed="false">
      <c r="A78" s="44" t="str">
        <f aca="false">Interview!A111</f>
        <v>I-SB-B-1-1</v>
      </c>
      <c r="B78" s="263" t="str">
        <f aca="false">VLOOKUP(A78,'imp-questions'!A:H,4,FALSE())</f>
        <v>Software Dependencies</v>
      </c>
      <c r="C78" s="264" t="n">
        <f aca="false">VLOOKUP(A78,'imp-questions'!A:H,5,FALSE())</f>
        <v>1</v>
      </c>
      <c r="D78" s="47" t="str">
        <f aca="false">VLOOKUP(A78,'imp-questions'!A:H,6,FALSE())</f>
        <v>Do you have solid knowledge about dependencies you're relying on?</v>
      </c>
      <c r="E78" s="48" t="str">
        <f aca="false">CHAR(65+VLOOKUP(A78,'imp-questions'!A:H,8,FALSE()))</f>
        <v>F</v>
      </c>
      <c r="F78" s="226" t="n">
        <f aca="false">Interview!F111</f>
        <v>0</v>
      </c>
      <c r="G78" s="50" t="n">
        <f aca="false">IFERROR(VLOOKUP(F78,AnsFTBL,2,FALSE()),0)</f>
        <v>0</v>
      </c>
      <c r="H78" s="233"/>
      <c r="I78" s="265"/>
      <c r="J78" s="226" t="n">
        <f aca="false">Interview!J111</f>
        <v>0</v>
      </c>
      <c r="K78" s="50" t="n">
        <f aca="false">IFERROR(VLOOKUP(J78,AnsFTBL,2,FALSE()),0)</f>
        <v>0</v>
      </c>
      <c r="L78" s="233"/>
      <c r="M78" s="265"/>
      <c r="N78" s="226" t="n">
        <f aca="false">Interview!N111</f>
        <v>0</v>
      </c>
      <c r="O78" s="50" t="n">
        <f aca="false">IFERROR(VLOOKUP(N78,AnsFTBL,2,FALSE()),0)</f>
        <v>0</v>
      </c>
      <c r="P78" s="233"/>
      <c r="Q78" s="265"/>
      <c r="R78" s="227" t="n">
        <f aca="false">N78</f>
        <v>0</v>
      </c>
      <c r="S78" s="50" t="n">
        <f aca="false">IFERROR(VLOOKUP(R78,AnsFTBL,2,FALSE()),0)</f>
        <v>0</v>
      </c>
      <c r="T78" s="233"/>
      <c r="U78" s="265"/>
      <c r="V78" s="227" t="n">
        <f aca="false">R78</f>
        <v>0</v>
      </c>
      <c r="W78" s="50" t="n">
        <f aca="false">IFERROR(VLOOKUP(V78,AnsFTBL,2,FALSE()),0)</f>
        <v>0</v>
      </c>
      <c r="X78" s="233"/>
      <c r="Y78" s="265"/>
    </row>
    <row r="79" customFormat="false" ht="13.5" hidden="false" customHeight="false" outlineLevel="0" collapsed="false">
      <c r="A79" s="44" t="str">
        <f aca="false">Interview!A113</f>
        <v>I-SB-B-2-1</v>
      </c>
      <c r="B79" s="263"/>
      <c r="C79" s="264" t="n">
        <f aca="false">VLOOKUP(A79,'imp-questions'!A:H,5,FALSE())</f>
        <v>2</v>
      </c>
      <c r="D79" s="47" t="str">
        <f aca="false">VLOOKUP(A79,'imp-questions'!A:H,6,FALSE())</f>
        <v>Do you handle 3rd party dependency risk by a formal process?</v>
      </c>
      <c r="E79" s="48" t="str">
        <f aca="false">CHAR(65+VLOOKUP(A79,'imp-questions'!A:H,8,FALSE()))</f>
        <v>F</v>
      </c>
      <c r="F79" s="226" t="n">
        <f aca="false">Interview!F113</f>
        <v>0</v>
      </c>
      <c r="G79" s="50" t="n">
        <f aca="false">IFERROR(VLOOKUP(F79,AnsFTBL,2,FALSE()),0)</f>
        <v>0</v>
      </c>
      <c r="H79" s="233"/>
      <c r="I79" s="265"/>
      <c r="J79" s="226" t="n">
        <f aca="false">Interview!J113</f>
        <v>0</v>
      </c>
      <c r="K79" s="50" t="n">
        <f aca="false">IFERROR(VLOOKUP(J79,AnsFTBL,2,FALSE()),0)</f>
        <v>0</v>
      </c>
      <c r="L79" s="233"/>
      <c r="M79" s="265"/>
      <c r="N79" s="226" t="n">
        <f aca="false">Interview!N113</f>
        <v>0</v>
      </c>
      <c r="O79" s="50" t="n">
        <f aca="false">IFERROR(VLOOKUP(N79,AnsFTBL,2,FALSE()),0)</f>
        <v>0</v>
      </c>
      <c r="P79" s="233"/>
      <c r="Q79" s="265"/>
      <c r="R79" s="227" t="n">
        <f aca="false">N79</f>
        <v>0</v>
      </c>
      <c r="S79" s="50" t="n">
        <f aca="false">IFERROR(VLOOKUP(R79,AnsFTBL,2,FALSE()),0)</f>
        <v>0</v>
      </c>
      <c r="T79" s="233"/>
      <c r="U79" s="265"/>
      <c r="V79" s="227" t="n">
        <f aca="false">R79</f>
        <v>0</v>
      </c>
      <c r="W79" s="50" t="n">
        <f aca="false">IFERROR(VLOOKUP(V79,AnsFTBL,2,FALSE()),0)</f>
        <v>0</v>
      </c>
      <c r="X79" s="233"/>
      <c r="Y79" s="265"/>
    </row>
    <row r="80" customFormat="false" ht="23.85" hidden="false" customHeight="false" outlineLevel="0" collapsed="false">
      <c r="A80" s="44" t="str">
        <f aca="false">Interview!A115</f>
        <v>I-SB-B-3-1</v>
      </c>
      <c r="B80" s="263"/>
      <c r="C80" s="264" t="n">
        <f aca="false">VLOOKUP(A80,'imp-questions'!A:H,5,FALSE())</f>
        <v>3</v>
      </c>
      <c r="D80" s="222" t="str">
        <f aca="false">VLOOKUP(A80,'imp-questions'!A:H,6,FALSE())</f>
        <v>Do you prevent build of software if it's affected by vulnerabilities in dependencies?</v>
      </c>
      <c r="E80" s="48" t="str">
        <f aca="false">CHAR(65+VLOOKUP(A80,'imp-questions'!A:H,8,FALSE()))</f>
        <v>F</v>
      </c>
      <c r="F80" s="226" t="n">
        <f aca="false">Interview!F115</f>
        <v>0</v>
      </c>
      <c r="G80" s="50" t="n">
        <f aca="false">IFERROR(VLOOKUP(F80,AnsFTBL,2,FALSE()),0)</f>
        <v>0</v>
      </c>
      <c r="H80" s="233"/>
      <c r="I80" s="265"/>
      <c r="J80" s="226" t="n">
        <f aca="false">Interview!J115</f>
        <v>0</v>
      </c>
      <c r="K80" s="50" t="n">
        <f aca="false">IFERROR(VLOOKUP(J80,AnsFTBL,2,FALSE()),0)</f>
        <v>0</v>
      </c>
      <c r="L80" s="233"/>
      <c r="M80" s="265"/>
      <c r="N80" s="226" t="n">
        <f aca="false">Interview!N115</f>
        <v>0</v>
      </c>
      <c r="O80" s="50" t="n">
        <f aca="false">IFERROR(VLOOKUP(N80,AnsFTBL,2,FALSE()),0)</f>
        <v>0</v>
      </c>
      <c r="P80" s="233"/>
      <c r="Q80" s="265"/>
      <c r="R80" s="227" t="n">
        <f aca="false">N80</f>
        <v>0</v>
      </c>
      <c r="S80" s="50" t="n">
        <f aca="false">IFERROR(VLOOKUP(R80,AnsFTBL,2,FALSE()),0)</f>
        <v>0</v>
      </c>
      <c r="T80" s="233"/>
      <c r="U80" s="265"/>
      <c r="V80" s="227" t="n">
        <f aca="false">R80</f>
        <v>0</v>
      </c>
      <c r="W80" s="50" t="n">
        <f aca="false">IFERROR(VLOOKUP(V80,AnsFTBL,2,FALSE()),0)</f>
        <v>0</v>
      </c>
      <c r="X80" s="233"/>
      <c r="Y80" s="265"/>
    </row>
    <row r="81" customFormat="false" ht="13.5" hidden="false" customHeight="false" outlineLevel="0" collapsed="false">
      <c r="A81" s="44"/>
      <c r="B81" s="224"/>
      <c r="C81" s="225"/>
      <c r="D81" s="70"/>
      <c r="E81" s="70"/>
      <c r="F81" s="70"/>
      <c r="G81" s="70"/>
      <c r="H81" s="70"/>
      <c r="I81" s="70"/>
      <c r="J81" s="70"/>
      <c r="K81" s="70"/>
      <c r="L81" s="70"/>
      <c r="M81" s="70"/>
      <c r="N81" s="70"/>
      <c r="O81" s="70"/>
      <c r="P81" s="70"/>
      <c r="Q81" s="70"/>
      <c r="R81" s="70"/>
      <c r="S81" s="70"/>
      <c r="T81" s="70"/>
      <c r="U81" s="70"/>
      <c r="V81" s="70"/>
      <c r="W81" s="70"/>
      <c r="X81" s="70"/>
      <c r="Y81" s="70"/>
    </row>
    <row r="82" customFormat="false" ht="13.8" hidden="false" customHeight="false" outlineLevel="0" collapsed="false">
      <c r="A82" s="44"/>
      <c r="B82" s="260" t="s">
        <v>38</v>
      </c>
      <c r="C82" s="261" t="s">
        <v>39</v>
      </c>
      <c r="D82" s="266" t="s">
        <v>94</v>
      </c>
      <c r="E82" s="267"/>
      <c r="F82" s="115" t="s">
        <v>41</v>
      </c>
      <c r="G82" s="115"/>
      <c r="H82" s="268"/>
      <c r="I82" s="262" t="s">
        <v>43</v>
      </c>
      <c r="J82" s="115" t="s">
        <v>41</v>
      </c>
      <c r="K82" s="115"/>
      <c r="L82" s="268"/>
      <c r="M82" s="262" t="s">
        <v>43</v>
      </c>
      <c r="N82" s="115" t="s">
        <v>41</v>
      </c>
      <c r="O82" s="115"/>
      <c r="P82" s="268"/>
      <c r="Q82" s="262" t="s">
        <v>43</v>
      </c>
      <c r="R82" s="115" t="s">
        <v>41</v>
      </c>
      <c r="S82" s="115"/>
      <c r="T82" s="268"/>
      <c r="U82" s="262" t="s">
        <v>43</v>
      </c>
      <c r="V82" s="115" t="s">
        <v>41</v>
      </c>
      <c r="W82" s="115"/>
      <c r="X82" s="268"/>
      <c r="Y82" s="262" t="s">
        <v>43</v>
      </c>
    </row>
    <row r="83" customFormat="false" ht="13.5" hidden="false" customHeight="false" outlineLevel="0" collapsed="false">
      <c r="A83" s="44" t="str">
        <f aca="false">Interview!A118</f>
        <v>I-SD-A-1-1</v>
      </c>
      <c r="B83" s="263" t="str">
        <f aca="false">VLOOKUP(A83,'imp-questions'!A:H,4,FALSE())</f>
        <v>Deployment Process</v>
      </c>
      <c r="C83" s="264" t="n">
        <f aca="false">VLOOKUP(A83,'imp-questions'!A:H,5,FALSE())</f>
        <v>1</v>
      </c>
      <c r="D83" s="47" t="str">
        <f aca="false">VLOOKUP(A83,'imp-questions'!A:H,6,FALSE())</f>
        <v>Do you use repeatable deployment processes?</v>
      </c>
      <c r="E83" s="48" t="str">
        <f aca="false">CHAR(65+VLOOKUP(A83,'imp-questions'!A:H,8,FALSE()))</f>
        <v>F</v>
      </c>
      <c r="F83" s="226" t="n">
        <f aca="false">Interview!F118</f>
        <v>0</v>
      </c>
      <c r="G83" s="50" t="n">
        <f aca="false">IFERROR(VLOOKUP(F83,AnsFTBL,2,FALSE()),0)</f>
        <v>0</v>
      </c>
      <c r="H83" s="231" t="n">
        <f aca="false">IFERROR(AVERAGE(G83,G87),0)</f>
        <v>0</v>
      </c>
      <c r="I83" s="265" t="n">
        <f aca="false">SUM(H83:H85)</f>
        <v>0</v>
      </c>
      <c r="J83" s="226" t="n">
        <f aca="false">Interview!J118</f>
        <v>0</v>
      </c>
      <c r="K83" s="50" t="n">
        <f aca="false">IFERROR(VLOOKUP(J83,AnsFTBL,2,FALSE()),0)</f>
        <v>0</v>
      </c>
      <c r="L83" s="231" t="n">
        <f aca="false">IFERROR(AVERAGE(K83,K87),0)</f>
        <v>0</v>
      </c>
      <c r="M83" s="265" t="n">
        <f aca="false">SUM(L83:L85)</f>
        <v>0</v>
      </c>
      <c r="N83" s="226" t="n">
        <f aca="false">Interview!N118</f>
        <v>0</v>
      </c>
      <c r="O83" s="50" t="n">
        <f aca="false">IFERROR(VLOOKUP(N83,AnsFTBL,2,FALSE()),0)</f>
        <v>0</v>
      </c>
      <c r="P83" s="231" t="n">
        <f aca="false">IFERROR(AVERAGE(O83,O87),0)</f>
        <v>0</v>
      </c>
      <c r="Q83" s="265" t="n">
        <f aca="false">SUM(P83:P85)</f>
        <v>0</v>
      </c>
      <c r="R83" s="227" t="n">
        <f aca="false">N83</f>
        <v>0</v>
      </c>
      <c r="S83" s="50" t="n">
        <f aca="false">IFERROR(VLOOKUP(R83,AnsFTBL,2,FALSE()),0)</f>
        <v>0</v>
      </c>
      <c r="T83" s="231" t="n">
        <f aca="false">IFERROR(AVERAGE(S83,S87),0)</f>
        <v>0</v>
      </c>
      <c r="U83" s="265" t="n">
        <f aca="false">SUM(T83:T85)</f>
        <v>0</v>
      </c>
      <c r="V83" s="227" t="n">
        <f aca="false">R83</f>
        <v>0</v>
      </c>
      <c r="W83" s="50" t="n">
        <f aca="false">IFERROR(VLOOKUP(V83,AnsFTBL,2,FALSE()),0)</f>
        <v>0</v>
      </c>
      <c r="X83" s="231" t="n">
        <f aca="false">IFERROR(AVERAGE(W83,W87),0)</f>
        <v>0</v>
      </c>
      <c r="Y83" s="265" t="n">
        <f aca="false">SUM(X83:X85)</f>
        <v>0</v>
      </c>
    </row>
    <row r="84" customFormat="false" ht="13.5" hidden="false" customHeight="false" outlineLevel="0" collapsed="false">
      <c r="A84" s="44" t="str">
        <f aca="false">Interview!A120</f>
        <v>I-SD-A-2-1</v>
      </c>
      <c r="B84" s="263"/>
      <c r="C84" s="264" t="n">
        <f aca="false">VLOOKUP(A84,'imp-questions'!A:H,5,FALSE())</f>
        <v>2</v>
      </c>
      <c r="D84" s="47" t="str">
        <f aca="false">VLOOKUP(A84,'imp-questions'!A:H,6,FALSE())</f>
        <v>Are deployment processes automated and employing security checks?</v>
      </c>
      <c r="E84" s="48" t="str">
        <f aca="false">CHAR(65+VLOOKUP(A84,'imp-questions'!A:H,8,FALSE()))</f>
        <v>F</v>
      </c>
      <c r="F84" s="226" t="n">
        <f aca="false">Interview!F120</f>
        <v>0</v>
      </c>
      <c r="G84" s="50" t="n">
        <f aca="false">IFERROR(VLOOKUP(F84,AnsFTBL,2,FALSE()),0)</f>
        <v>0</v>
      </c>
      <c r="H84" s="231" t="n">
        <f aca="false">IFERROR(AVERAGE(G84,G88),0)</f>
        <v>0</v>
      </c>
      <c r="I84" s="265"/>
      <c r="J84" s="226" t="n">
        <f aca="false">Interview!J120</f>
        <v>0</v>
      </c>
      <c r="K84" s="50" t="n">
        <f aca="false">IFERROR(VLOOKUP(J84,AnsFTBL,2,FALSE()),0)</f>
        <v>0</v>
      </c>
      <c r="L84" s="231" t="n">
        <f aca="false">IFERROR(AVERAGE(K84,K88),0)</f>
        <v>0</v>
      </c>
      <c r="M84" s="265"/>
      <c r="N84" s="226" t="n">
        <f aca="false">Interview!N120</f>
        <v>0</v>
      </c>
      <c r="O84" s="50" t="n">
        <f aca="false">IFERROR(VLOOKUP(N84,AnsFTBL,2,FALSE()),0)</f>
        <v>0</v>
      </c>
      <c r="P84" s="231" t="n">
        <f aca="false">IFERROR(AVERAGE(O84,O88),0)</f>
        <v>0</v>
      </c>
      <c r="Q84" s="265"/>
      <c r="R84" s="227" t="n">
        <f aca="false">N84</f>
        <v>0</v>
      </c>
      <c r="S84" s="50" t="n">
        <f aca="false">IFERROR(VLOOKUP(R84,AnsFTBL,2,FALSE()),0)</f>
        <v>0</v>
      </c>
      <c r="T84" s="231" t="n">
        <f aca="false">IFERROR(AVERAGE(S84,S88),0)</f>
        <v>0</v>
      </c>
      <c r="U84" s="265"/>
      <c r="V84" s="227" t="n">
        <f aca="false">R84</f>
        <v>0</v>
      </c>
      <c r="W84" s="50" t="n">
        <f aca="false">IFERROR(VLOOKUP(V84,AnsFTBL,2,FALSE()),0)</f>
        <v>0</v>
      </c>
      <c r="X84" s="231" t="n">
        <f aca="false">IFERROR(AVERAGE(W84,W88),0)</f>
        <v>0</v>
      </c>
      <c r="Y84" s="265"/>
    </row>
    <row r="85" customFormat="false" ht="13.5" hidden="false" customHeight="false" outlineLevel="0" collapsed="false">
      <c r="A85" s="44" t="str">
        <f aca="false">Interview!A122</f>
        <v>I-SD-A-3-1</v>
      </c>
      <c r="B85" s="263"/>
      <c r="C85" s="264" t="n">
        <f aca="false">VLOOKUP(A85,'imp-questions'!A:H,5,FALSE())</f>
        <v>3</v>
      </c>
      <c r="D85" s="222" t="str">
        <f aca="false">VLOOKUP(A85,'imp-questions'!A:H,6,FALSE())</f>
        <v>Do you consistently validate the integrity of deployed artifacts?</v>
      </c>
      <c r="E85" s="48" t="str">
        <f aca="false">CHAR(65+VLOOKUP(A85,'imp-questions'!A:H,8,FALSE()))</f>
        <v>F</v>
      </c>
      <c r="F85" s="226" t="n">
        <f aca="false">Interview!F122</f>
        <v>0</v>
      </c>
      <c r="G85" s="50" t="n">
        <f aca="false">IFERROR(VLOOKUP(F85,AnsFTBL,2,FALSE()),0)</f>
        <v>0</v>
      </c>
      <c r="H85" s="231" t="n">
        <f aca="false">IFERROR(AVERAGE(G85,G89),0)</f>
        <v>0</v>
      </c>
      <c r="I85" s="265"/>
      <c r="J85" s="226" t="n">
        <f aca="false">Interview!J122</f>
        <v>0</v>
      </c>
      <c r="K85" s="50" t="n">
        <f aca="false">IFERROR(VLOOKUP(J85,AnsFTBL,2,FALSE()),0)</f>
        <v>0</v>
      </c>
      <c r="L85" s="231" t="n">
        <f aca="false">IFERROR(AVERAGE(K85,K89),0)</f>
        <v>0</v>
      </c>
      <c r="M85" s="265"/>
      <c r="N85" s="226" t="n">
        <f aca="false">Interview!N122</f>
        <v>0</v>
      </c>
      <c r="O85" s="50" t="n">
        <f aca="false">IFERROR(VLOOKUP(N85,AnsFTBL,2,FALSE()),0)</f>
        <v>0</v>
      </c>
      <c r="P85" s="231" t="n">
        <f aca="false">IFERROR(AVERAGE(O85,O89),0)</f>
        <v>0</v>
      </c>
      <c r="Q85" s="265"/>
      <c r="R85" s="227" t="n">
        <f aca="false">N85</f>
        <v>0</v>
      </c>
      <c r="S85" s="50" t="n">
        <f aca="false">IFERROR(VLOOKUP(R85,AnsFTBL,2,FALSE()),0)</f>
        <v>0</v>
      </c>
      <c r="T85" s="231" t="n">
        <f aca="false">IFERROR(AVERAGE(S85,S89),0)</f>
        <v>0</v>
      </c>
      <c r="U85" s="265"/>
      <c r="V85" s="227" t="n">
        <f aca="false">R85</f>
        <v>0</v>
      </c>
      <c r="W85" s="50" t="n">
        <f aca="false">IFERROR(VLOOKUP(V85,AnsFTBL,2,FALSE()),0)</f>
        <v>0</v>
      </c>
      <c r="X85" s="231" t="n">
        <f aca="false">IFERROR(AVERAGE(W85,W89),0)</f>
        <v>0</v>
      </c>
      <c r="Y85" s="265"/>
    </row>
    <row r="86" customFormat="false" ht="13.5" hidden="false" customHeight="false" outlineLevel="0" collapsed="false">
      <c r="A86" s="44"/>
      <c r="B86" s="224"/>
      <c r="C86" s="225"/>
      <c r="D86" s="70"/>
      <c r="E86" s="70"/>
      <c r="F86" s="70"/>
      <c r="G86" s="70"/>
      <c r="H86" s="70"/>
      <c r="I86" s="265"/>
      <c r="J86" s="70"/>
      <c r="K86" s="70"/>
      <c r="L86" s="70"/>
      <c r="M86" s="265"/>
      <c r="N86" s="70"/>
      <c r="O86" s="70"/>
      <c r="P86" s="70"/>
      <c r="Q86" s="265"/>
      <c r="R86" s="70"/>
      <c r="S86" s="70"/>
      <c r="T86" s="70"/>
      <c r="U86" s="265"/>
      <c r="V86" s="70"/>
      <c r="W86" s="70"/>
      <c r="X86" s="70"/>
      <c r="Y86" s="265"/>
    </row>
    <row r="87" customFormat="false" ht="23.85" hidden="false" customHeight="false" outlineLevel="0" collapsed="false">
      <c r="A87" s="44" t="str">
        <f aca="false">Interview!A125</f>
        <v>I-SD-B-1-1</v>
      </c>
      <c r="B87" s="263" t="str">
        <f aca="false">VLOOKUP(A87,'imp-questions'!A:H,4,FALSE())</f>
        <v>Secret Management</v>
      </c>
      <c r="C87" s="264" t="n">
        <f aca="false">VLOOKUP(A87,'imp-questions'!A:H,5,FALSE())</f>
        <v>1</v>
      </c>
      <c r="D87" s="47" t="str">
        <f aca="false">VLOOKUP(A87,'imp-questions'!A:H,6,FALSE())</f>
        <v>Do you limit access to application secrets according to the least privilege principle?</v>
      </c>
      <c r="E87" s="48" t="str">
        <f aca="false">CHAR(65+VLOOKUP(A87,'imp-questions'!A:H,8,FALSE()))</f>
        <v>F</v>
      </c>
      <c r="F87" s="226" t="n">
        <f aca="false">Interview!F125</f>
        <v>0</v>
      </c>
      <c r="G87" s="50" t="n">
        <f aca="false">IFERROR(VLOOKUP(F87,AnsFTBL,2,FALSE()),0)</f>
        <v>0</v>
      </c>
      <c r="H87" s="233"/>
      <c r="I87" s="265"/>
      <c r="J87" s="226" t="n">
        <f aca="false">Interview!J125</f>
        <v>0</v>
      </c>
      <c r="K87" s="50" t="n">
        <f aca="false">IFERROR(VLOOKUP(J87,AnsFTBL,2,FALSE()),0)</f>
        <v>0</v>
      </c>
      <c r="L87" s="233"/>
      <c r="M87" s="265"/>
      <c r="N87" s="226" t="n">
        <f aca="false">Interview!N125</f>
        <v>0</v>
      </c>
      <c r="O87" s="50" t="n">
        <f aca="false">IFERROR(VLOOKUP(N87,AnsFTBL,2,FALSE()),0)</f>
        <v>0</v>
      </c>
      <c r="P87" s="233"/>
      <c r="Q87" s="265"/>
      <c r="R87" s="227" t="n">
        <f aca="false">N87</f>
        <v>0</v>
      </c>
      <c r="S87" s="50" t="n">
        <f aca="false">IFERROR(VLOOKUP(R87,AnsFTBL,2,FALSE()),0)</f>
        <v>0</v>
      </c>
      <c r="T87" s="233"/>
      <c r="U87" s="265"/>
      <c r="V87" s="227" t="n">
        <f aca="false">R87</f>
        <v>0</v>
      </c>
      <c r="W87" s="50" t="n">
        <f aca="false">IFERROR(VLOOKUP(V87,AnsFTBL,2,FALSE()),0)</f>
        <v>0</v>
      </c>
      <c r="X87" s="233"/>
      <c r="Y87" s="265"/>
    </row>
    <row r="88" customFormat="false" ht="13.5" hidden="false" customHeight="false" outlineLevel="0" collapsed="false">
      <c r="A88" s="44" t="str">
        <f aca="false">Interview!A127</f>
        <v>I-SD-B-2-1</v>
      </c>
      <c r="B88" s="263"/>
      <c r="C88" s="264" t="n">
        <f aca="false">VLOOKUP(A88,'imp-questions'!A:H,5,FALSE())</f>
        <v>2</v>
      </c>
      <c r="D88" s="47" t="str">
        <f aca="false">VLOOKUP(A88,'imp-questions'!A:H,6,FALSE())</f>
        <v>Do you inject production secrets into configuration files during deployment?</v>
      </c>
      <c r="E88" s="48" t="str">
        <f aca="false">CHAR(65+VLOOKUP(A88,'imp-questions'!A:H,8,FALSE()))</f>
        <v>F</v>
      </c>
      <c r="F88" s="226" t="n">
        <f aca="false">Interview!F127</f>
        <v>0</v>
      </c>
      <c r="G88" s="50" t="n">
        <f aca="false">IFERROR(VLOOKUP(F88,AnsFTBL,2,FALSE()),0)</f>
        <v>0</v>
      </c>
      <c r="H88" s="233"/>
      <c r="I88" s="265"/>
      <c r="J88" s="226" t="n">
        <f aca="false">Interview!J127</f>
        <v>0</v>
      </c>
      <c r="K88" s="50" t="n">
        <f aca="false">IFERROR(VLOOKUP(J88,AnsFTBL,2,FALSE()),0)</f>
        <v>0</v>
      </c>
      <c r="L88" s="233"/>
      <c r="M88" s="265"/>
      <c r="N88" s="226" t="n">
        <f aca="false">Interview!N127</f>
        <v>0</v>
      </c>
      <c r="O88" s="50" t="n">
        <f aca="false">IFERROR(VLOOKUP(N88,AnsFTBL,2,FALSE()),0)</f>
        <v>0</v>
      </c>
      <c r="P88" s="233"/>
      <c r="Q88" s="265"/>
      <c r="R88" s="227" t="n">
        <f aca="false">N88</f>
        <v>0</v>
      </c>
      <c r="S88" s="50" t="n">
        <f aca="false">IFERROR(VLOOKUP(R88,AnsFTBL,2,FALSE()),0)</f>
        <v>0</v>
      </c>
      <c r="T88" s="233"/>
      <c r="U88" s="265"/>
      <c r="V88" s="227" t="n">
        <f aca="false">R88</f>
        <v>0</v>
      </c>
      <c r="W88" s="50" t="n">
        <f aca="false">IFERROR(VLOOKUP(V88,AnsFTBL,2,FALSE()),0)</f>
        <v>0</v>
      </c>
      <c r="X88" s="233"/>
      <c r="Y88" s="265"/>
    </row>
    <row r="89" customFormat="false" ht="13.5" hidden="false" customHeight="false" outlineLevel="0" collapsed="false">
      <c r="A89" s="44" t="str">
        <f aca="false">Interview!A129</f>
        <v>I-SD-B-3-1</v>
      </c>
      <c r="B89" s="263"/>
      <c r="C89" s="264" t="n">
        <f aca="false">VLOOKUP(A89,'imp-questions'!A:H,5,FALSE())</f>
        <v>3</v>
      </c>
      <c r="D89" s="222" t="str">
        <f aca="false">VLOOKUP(A89,'imp-questions'!A:H,6,FALSE())</f>
        <v>Do you practice proper lifecycle management for application secrets?</v>
      </c>
      <c r="E89" s="48" t="str">
        <f aca="false">CHAR(65+VLOOKUP(A89,'imp-questions'!A:H,8,FALSE()))</f>
        <v>F</v>
      </c>
      <c r="F89" s="226" t="n">
        <f aca="false">Interview!F129</f>
        <v>0</v>
      </c>
      <c r="G89" s="50" t="n">
        <f aca="false">IFERROR(VLOOKUP(F89,AnsFTBL,2,FALSE()),0)</f>
        <v>0</v>
      </c>
      <c r="H89" s="233"/>
      <c r="I89" s="265"/>
      <c r="J89" s="226" t="n">
        <f aca="false">Interview!J129</f>
        <v>0</v>
      </c>
      <c r="K89" s="50" t="n">
        <f aca="false">IFERROR(VLOOKUP(J89,AnsFTBL,2,FALSE()),0)</f>
        <v>0</v>
      </c>
      <c r="L89" s="233"/>
      <c r="M89" s="265"/>
      <c r="N89" s="226" t="n">
        <f aca="false">Interview!N129</f>
        <v>0</v>
      </c>
      <c r="O89" s="50" t="n">
        <f aca="false">IFERROR(VLOOKUP(N89,AnsFTBL,2,FALSE()),0)</f>
        <v>0</v>
      </c>
      <c r="P89" s="233"/>
      <c r="Q89" s="265"/>
      <c r="R89" s="227" t="n">
        <f aca="false">N89</f>
        <v>0</v>
      </c>
      <c r="S89" s="50" t="n">
        <f aca="false">IFERROR(VLOOKUP(R89,AnsFTBL,2,FALSE()),0)</f>
        <v>0</v>
      </c>
      <c r="T89" s="233"/>
      <c r="U89" s="265"/>
      <c r="V89" s="227" t="n">
        <f aca="false">R89</f>
        <v>0</v>
      </c>
      <c r="W89" s="50" t="n">
        <f aca="false">IFERROR(VLOOKUP(V89,AnsFTBL,2,FALSE()),0)</f>
        <v>0</v>
      </c>
      <c r="X89" s="233"/>
      <c r="Y89" s="265"/>
    </row>
    <row r="90" customFormat="false" ht="13.5" hidden="false" customHeight="false" outlineLevel="0" collapsed="false">
      <c r="A90" s="44"/>
      <c r="B90" s="224"/>
      <c r="C90" s="225"/>
      <c r="D90" s="70"/>
      <c r="E90" s="70"/>
      <c r="F90" s="70"/>
      <c r="G90" s="70"/>
      <c r="H90" s="70"/>
      <c r="I90" s="70"/>
      <c r="J90" s="70"/>
      <c r="K90" s="70"/>
      <c r="L90" s="70"/>
      <c r="M90" s="70"/>
      <c r="N90" s="70"/>
      <c r="O90" s="70"/>
      <c r="P90" s="70"/>
      <c r="Q90" s="70"/>
      <c r="R90" s="70"/>
      <c r="S90" s="70"/>
      <c r="T90" s="70"/>
      <c r="U90" s="70"/>
      <c r="V90" s="70"/>
      <c r="W90" s="70"/>
      <c r="X90" s="70"/>
      <c r="Y90" s="70"/>
    </row>
    <row r="91" customFormat="false" ht="13.8" hidden="false" customHeight="false" outlineLevel="0" collapsed="false">
      <c r="A91" s="44"/>
      <c r="B91" s="260" t="s">
        <v>38</v>
      </c>
      <c r="C91" s="261" t="s">
        <v>39</v>
      </c>
      <c r="D91" s="266" t="s">
        <v>101</v>
      </c>
      <c r="E91" s="267"/>
      <c r="F91" s="115" t="s">
        <v>41</v>
      </c>
      <c r="G91" s="115"/>
      <c r="H91" s="268"/>
      <c r="I91" s="262" t="s">
        <v>43</v>
      </c>
      <c r="J91" s="115" t="s">
        <v>41</v>
      </c>
      <c r="K91" s="115"/>
      <c r="L91" s="268"/>
      <c r="M91" s="262" t="s">
        <v>43</v>
      </c>
      <c r="N91" s="115" t="s">
        <v>41</v>
      </c>
      <c r="O91" s="115"/>
      <c r="P91" s="268"/>
      <c r="Q91" s="262" t="s">
        <v>43</v>
      </c>
      <c r="R91" s="115" t="s">
        <v>41</v>
      </c>
      <c r="S91" s="115"/>
      <c r="T91" s="268"/>
      <c r="U91" s="262" t="s">
        <v>43</v>
      </c>
      <c r="V91" s="115" t="s">
        <v>41</v>
      </c>
      <c r="W91" s="115"/>
      <c r="X91" s="268"/>
      <c r="Y91" s="262" t="s">
        <v>43</v>
      </c>
    </row>
    <row r="92" customFormat="false" ht="13.5" hidden="false" customHeight="false" outlineLevel="0" collapsed="false">
      <c r="A92" s="44" t="str">
        <f aca="false">Interview!A132</f>
        <v>I-DM-A-1-1</v>
      </c>
      <c r="B92" s="263" t="str">
        <f aca="false">VLOOKUP(A92,'imp-questions'!A:H,4,FALSE())</f>
        <v>Defect Tracking</v>
      </c>
      <c r="C92" s="264" t="n">
        <f aca="false">VLOOKUP(A92,'imp-questions'!A:H,5,FALSE())</f>
        <v>1</v>
      </c>
      <c r="D92" s="47" t="str">
        <f aca="false">VLOOKUP(A92,'imp-questions'!A:H,6,FALSE())</f>
        <v>Do you track all known security defects in accessible locations?</v>
      </c>
      <c r="E92" s="48" t="str">
        <f aca="false">CHAR(65+VLOOKUP(A92,'imp-questions'!A:H,8,FALSE()))</f>
        <v>F</v>
      </c>
      <c r="F92" s="226" t="n">
        <f aca="false">Interview!F132</f>
        <v>0</v>
      </c>
      <c r="G92" s="50" t="n">
        <f aca="false">IFERROR(VLOOKUP(F92,AnsFTBL,2,FALSE()),0)</f>
        <v>0</v>
      </c>
      <c r="H92" s="231" t="n">
        <f aca="false">IFERROR(AVERAGE(G92,G96),0)</f>
        <v>0</v>
      </c>
      <c r="I92" s="269" t="n">
        <f aca="false">SUM(H92:H94)</f>
        <v>0</v>
      </c>
      <c r="J92" s="226" t="n">
        <f aca="false">Interview!J132</f>
        <v>0</v>
      </c>
      <c r="K92" s="50" t="n">
        <f aca="false">IFERROR(VLOOKUP(J92,AnsFTBL,2,FALSE()),0)</f>
        <v>0</v>
      </c>
      <c r="L92" s="231" t="n">
        <f aca="false">IFERROR(AVERAGE(K92,K96),0)</f>
        <v>0</v>
      </c>
      <c r="M92" s="269" t="n">
        <f aca="false">SUM(L92:L94)</f>
        <v>0</v>
      </c>
      <c r="N92" s="226" t="n">
        <f aca="false">Interview!N132</f>
        <v>0</v>
      </c>
      <c r="O92" s="50" t="n">
        <f aca="false">IFERROR(VLOOKUP(N92,AnsFTBL,2,FALSE()),0)</f>
        <v>0</v>
      </c>
      <c r="P92" s="231" t="n">
        <f aca="false">IFERROR(AVERAGE(O92,O96),0)</f>
        <v>0</v>
      </c>
      <c r="Q92" s="269" t="n">
        <f aca="false">SUM(P92:P94)</f>
        <v>0</v>
      </c>
      <c r="R92" s="227" t="n">
        <f aca="false">N92</f>
        <v>0</v>
      </c>
      <c r="S92" s="50" t="n">
        <f aca="false">IFERROR(VLOOKUP(R92,AnsFTBL,2,FALSE()),0)</f>
        <v>0</v>
      </c>
      <c r="T92" s="231" t="n">
        <f aca="false">IFERROR(AVERAGE(S92,S96),0)</f>
        <v>0</v>
      </c>
      <c r="U92" s="269" t="n">
        <f aca="false">SUM(T92:T94)</f>
        <v>0</v>
      </c>
      <c r="V92" s="227" t="n">
        <f aca="false">R92</f>
        <v>0</v>
      </c>
      <c r="W92" s="50" t="n">
        <f aca="false">IFERROR(VLOOKUP(V92,AnsFTBL,2,FALSE()),0)</f>
        <v>0</v>
      </c>
      <c r="X92" s="231" t="n">
        <f aca="false">IFERROR(AVERAGE(W92,W96),0)</f>
        <v>0</v>
      </c>
      <c r="Y92" s="269" t="n">
        <f aca="false">SUM(X92:X94)</f>
        <v>0</v>
      </c>
    </row>
    <row r="93" customFormat="false" ht="23.85" hidden="false" customHeight="false" outlineLevel="0" collapsed="false">
      <c r="A93" s="44" t="str">
        <f aca="false">Interview!A134</f>
        <v>I-DM-A-2-1</v>
      </c>
      <c r="B93" s="263"/>
      <c r="C93" s="264" t="n">
        <f aca="false">VLOOKUP(A93,'imp-questions'!A:H,5,FALSE())</f>
        <v>2</v>
      </c>
      <c r="D93" s="47" t="str">
        <f aca="false">VLOOKUP(A93,'imp-questions'!A:H,6,FALSE())</f>
        <v>Do you keep an overview of the state of security defects across the organization?</v>
      </c>
      <c r="E93" s="48" t="str">
        <f aca="false">CHAR(65+VLOOKUP(A93,'imp-questions'!A:H,8,FALSE()))</f>
        <v>F</v>
      </c>
      <c r="F93" s="226" t="n">
        <f aca="false">Interview!F134</f>
        <v>0</v>
      </c>
      <c r="G93" s="50" t="n">
        <f aca="false">IFERROR(VLOOKUP(F93,AnsFTBL,2,FALSE()),0)</f>
        <v>0</v>
      </c>
      <c r="H93" s="231" t="n">
        <f aca="false">IFERROR(AVERAGE(G93,G97),0)</f>
        <v>0</v>
      </c>
      <c r="I93" s="269"/>
      <c r="J93" s="226" t="n">
        <f aca="false">Interview!J134</f>
        <v>0</v>
      </c>
      <c r="K93" s="50" t="n">
        <f aca="false">IFERROR(VLOOKUP(J93,AnsFTBL,2,FALSE()),0)</f>
        <v>0</v>
      </c>
      <c r="L93" s="231" t="n">
        <f aca="false">IFERROR(AVERAGE(K93,K97),0)</f>
        <v>0</v>
      </c>
      <c r="M93" s="269"/>
      <c r="N93" s="226" t="n">
        <f aca="false">Interview!N134</f>
        <v>0</v>
      </c>
      <c r="O93" s="50" t="n">
        <f aca="false">IFERROR(VLOOKUP(N93,AnsFTBL,2,FALSE()),0)</f>
        <v>0</v>
      </c>
      <c r="P93" s="231" t="n">
        <f aca="false">IFERROR(AVERAGE(O93,O97),0)</f>
        <v>0</v>
      </c>
      <c r="Q93" s="269"/>
      <c r="R93" s="227" t="n">
        <f aca="false">N93</f>
        <v>0</v>
      </c>
      <c r="S93" s="50" t="n">
        <f aca="false">IFERROR(VLOOKUP(R93,AnsFTBL,2,FALSE()),0)</f>
        <v>0</v>
      </c>
      <c r="T93" s="231" t="n">
        <f aca="false">IFERROR(AVERAGE(S93,S97),0)</f>
        <v>0</v>
      </c>
      <c r="U93" s="269"/>
      <c r="V93" s="227" t="n">
        <f aca="false">R93</f>
        <v>0</v>
      </c>
      <c r="W93" s="50" t="n">
        <f aca="false">IFERROR(VLOOKUP(V93,AnsFTBL,2,FALSE()),0)</f>
        <v>0</v>
      </c>
      <c r="X93" s="231" t="n">
        <f aca="false">IFERROR(AVERAGE(W93,W97),0)</f>
        <v>0</v>
      </c>
      <c r="Y93" s="269"/>
    </row>
    <row r="94" customFormat="false" ht="13.5" hidden="false" customHeight="false" outlineLevel="0" collapsed="false">
      <c r="A94" s="44" t="str">
        <f aca="false">Interview!A136</f>
        <v>I-DM-A-3-1</v>
      </c>
      <c r="B94" s="263"/>
      <c r="C94" s="264" t="n">
        <f aca="false">VLOOKUP(A94,'imp-questions'!A:H,5,FALSE())</f>
        <v>3</v>
      </c>
      <c r="D94" s="222" t="str">
        <f aca="false">VLOOKUP(A94,'imp-questions'!A:H,6,FALSE())</f>
        <v>Do you enforce SLAs for fixing security defects?</v>
      </c>
      <c r="E94" s="48" t="str">
        <f aca="false">CHAR(65+VLOOKUP(A94,'imp-questions'!A:H,8,FALSE()))</f>
        <v>F</v>
      </c>
      <c r="F94" s="226" t="n">
        <f aca="false">Interview!F136</f>
        <v>0</v>
      </c>
      <c r="G94" s="50" t="n">
        <f aca="false">IFERROR(VLOOKUP(F94,AnsFTBL,2,FALSE()),0)</f>
        <v>0</v>
      </c>
      <c r="H94" s="231" t="n">
        <f aca="false">IFERROR(AVERAGE(G94,G98),0)</f>
        <v>0</v>
      </c>
      <c r="I94" s="269"/>
      <c r="J94" s="226" t="n">
        <f aca="false">Interview!J136</f>
        <v>0</v>
      </c>
      <c r="K94" s="50" t="n">
        <f aca="false">IFERROR(VLOOKUP(J94,AnsFTBL,2,FALSE()),0)</f>
        <v>0</v>
      </c>
      <c r="L94" s="231" t="n">
        <f aca="false">IFERROR(AVERAGE(K94,K98),0)</f>
        <v>0</v>
      </c>
      <c r="M94" s="269"/>
      <c r="N94" s="226" t="n">
        <f aca="false">Interview!N136</f>
        <v>0</v>
      </c>
      <c r="O94" s="50" t="n">
        <f aca="false">IFERROR(VLOOKUP(N94,AnsFTBL,2,FALSE()),0)</f>
        <v>0</v>
      </c>
      <c r="P94" s="231" t="n">
        <f aca="false">IFERROR(AVERAGE(O94,O98),0)</f>
        <v>0</v>
      </c>
      <c r="Q94" s="269"/>
      <c r="R94" s="227" t="n">
        <f aca="false">N94</f>
        <v>0</v>
      </c>
      <c r="S94" s="50" t="n">
        <f aca="false">IFERROR(VLOOKUP(R94,AnsFTBL,2,FALSE()),0)</f>
        <v>0</v>
      </c>
      <c r="T94" s="231" t="n">
        <f aca="false">IFERROR(AVERAGE(S94,S98),0)</f>
        <v>0</v>
      </c>
      <c r="U94" s="269"/>
      <c r="V94" s="227" t="n">
        <f aca="false">R94</f>
        <v>0</v>
      </c>
      <c r="W94" s="50" t="n">
        <f aca="false">IFERROR(VLOOKUP(V94,AnsFTBL,2,FALSE()),0)</f>
        <v>0</v>
      </c>
      <c r="X94" s="231" t="n">
        <f aca="false">IFERROR(AVERAGE(W94,W98),0)</f>
        <v>0</v>
      </c>
      <c r="Y94" s="269"/>
    </row>
    <row r="95" customFormat="false" ht="13.5" hidden="false" customHeight="false" outlineLevel="0" collapsed="false">
      <c r="A95" s="44"/>
      <c r="B95" s="224"/>
      <c r="C95" s="225"/>
      <c r="D95" s="70"/>
      <c r="E95" s="70"/>
      <c r="F95" s="70"/>
      <c r="G95" s="70"/>
      <c r="H95" s="70"/>
      <c r="I95" s="269"/>
      <c r="J95" s="70"/>
      <c r="K95" s="70"/>
      <c r="L95" s="70"/>
      <c r="M95" s="269"/>
      <c r="N95" s="70"/>
      <c r="O95" s="70"/>
      <c r="P95" s="70"/>
      <c r="Q95" s="269"/>
      <c r="R95" s="70"/>
      <c r="S95" s="70"/>
      <c r="T95" s="70"/>
      <c r="U95" s="269"/>
      <c r="V95" s="70"/>
      <c r="W95" s="70"/>
      <c r="X95" s="70"/>
      <c r="Y95" s="269"/>
    </row>
    <row r="96" customFormat="false" ht="23.85" hidden="false" customHeight="false" outlineLevel="0" collapsed="false">
      <c r="A96" s="44" t="str">
        <f aca="false">Interview!A139</f>
        <v>I-DM-B-1-1</v>
      </c>
      <c r="B96" s="263" t="str">
        <f aca="false">VLOOKUP(A96,'imp-questions'!A:H,4,FALSE())</f>
        <v>Metrics and Feedback</v>
      </c>
      <c r="C96" s="264" t="n">
        <f aca="false">VLOOKUP(A96,'imp-questions'!A:H,5,FALSE())</f>
        <v>1</v>
      </c>
      <c r="D96" s="47" t="str">
        <f aca="false">VLOOKUP(A96,'imp-questions'!A:H,6,FALSE())</f>
        <v>Do you use basic metrics about recorded security defects to carry out quick win improvement activities?</v>
      </c>
      <c r="E96" s="48" t="str">
        <f aca="false">CHAR(65+VLOOKUP(A96,'imp-questions'!A:H,8,FALSE()))</f>
        <v>F</v>
      </c>
      <c r="F96" s="226" t="n">
        <f aca="false">Interview!F139</f>
        <v>0</v>
      </c>
      <c r="G96" s="50" t="n">
        <f aca="false">IFERROR(VLOOKUP(F96,AnsFTBL,2,FALSE()),0)</f>
        <v>0</v>
      </c>
      <c r="H96" s="233"/>
      <c r="I96" s="269"/>
      <c r="J96" s="226" t="n">
        <f aca="false">Interview!J139</f>
        <v>0</v>
      </c>
      <c r="K96" s="50" t="n">
        <f aca="false">IFERROR(VLOOKUP(J96,AnsFTBL,2,FALSE()),0)</f>
        <v>0</v>
      </c>
      <c r="L96" s="233"/>
      <c r="M96" s="269"/>
      <c r="N96" s="226" t="n">
        <f aca="false">Interview!N139</f>
        <v>0</v>
      </c>
      <c r="O96" s="50" t="n">
        <f aca="false">IFERROR(VLOOKUP(N96,AnsFTBL,2,FALSE()),0)</f>
        <v>0</v>
      </c>
      <c r="P96" s="233"/>
      <c r="Q96" s="269"/>
      <c r="R96" s="227" t="n">
        <f aca="false">N96</f>
        <v>0</v>
      </c>
      <c r="S96" s="50" t="n">
        <f aca="false">IFERROR(VLOOKUP(R96,AnsFTBL,2,FALSE()),0)</f>
        <v>0</v>
      </c>
      <c r="T96" s="233"/>
      <c r="U96" s="269"/>
      <c r="V96" s="227" t="n">
        <f aca="false">R96</f>
        <v>0</v>
      </c>
      <c r="W96" s="50" t="n">
        <f aca="false">IFERROR(VLOOKUP(V96,AnsFTBL,2,FALSE()),0)</f>
        <v>0</v>
      </c>
      <c r="X96" s="233"/>
      <c r="Y96" s="269"/>
    </row>
    <row r="97" customFormat="false" ht="13.5" hidden="false" customHeight="false" outlineLevel="0" collapsed="false">
      <c r="A97" s="44" t="str">
        <f aca="false">Interview!A141</f>
        <v>I-DM-B-2-1</v>
      </c>
      <c r="B97" s="263"/>
      <c r="C97" s="264" t="n">
        <f aca="false">VLOOKUP(A97,'imp-questions'!A:H,5,FALSE())</f>
        <v>2</v>
      </c>
      <c r="D97" s="47" t="str">
        <f aca="false">VLOOKUP(A97,'imp-questions'!A:H,6,FALSE())</f>
        <v>Do you improve your security assurance program upon standardized metrics?</v>
      </c>
      <c r="E97" s="48" t="str">
        <f aca="false">CHAR(65+VLOOKUP(A97,'imp-questions'!A:H,8,FALSE()))</f>
        <v>F</v>
      </c>
      <c r="F97" s="226" t="n">
        <f aca="false">Interview!F141</f>
        <v>0</v>
      </c>
      <c r="G97" s="50" t="n">
        <f aca="false">IFERROR(VLOOKUP(F97,AnsFTBL,2,FALSE()),0)</f>
        <v>0</v>
      </c>
      <c r="H97" s="233"/>
      <c r="I97" s="269"/>
      <c r="J97" s="226" t="n">
        <f aca="false">Interview!J141</f>
        <v>0</v>
      </c>
      <c r="K97" s="50" t="n">
        <f aca="false">IFERROR(VLOOKUP(J97,AnsFTBL,2,FALSE()),0)</f>
        <v>0</v>
      </c>
      <c r="L97" s="233"/>
      <c r="M97" s="269"/>
      <c r="N97" s="226" t="n">
        <f aca="false">Interview!N141</f>
        <v>0</v>
      </c>
      <c r="O97" s="50" t="n">
        <f aca="false">IFERROR(VLOOKUP(N97,AnsFTBL,2,FALSE()),0)</f>
        <v>0</v>
      </c>
      <c r="P97" s="233"/>
      <c r="Q97" s="269"/>
      <c r="R97" s="227" t="n">
        <f aca="false">N97</f>
        <v>0</v>
      </c>
      <c r="S97" s="50" t="n">
        <f aca="false">IFERROR(VLOOKUP(R97,AnsFTBL,2,FALSE()),0)</f>
        <v>0</v>
      </c>
      <c r="T97" s="233"/>
      <c r="U97" s="269"/>
      <c r="V97" s="227" t="n">
        <f aca="false">R97</f>
        <v>0</v>
      </c>
      <c r="W97" s="50" t="n">
        <f aca="false">IFERROR(VLOOKUP(V97,AnsFTBL,2,FALSE()),0)</f>
        <v>0</v>
      </c>
      <c r="X97" s="233"/>
      <c r="Y97" s="269"/>
    </row>
    <row r="98" customFormat="false" ht="23.85" hidden="false" customHeight="false" outlineLevel="0" collapsed="false">
      <c r="A98" s="44" t="str">
        <f aca="false">Interview!A143</f>
        <v>I-DM-B-3-1</v>
      </c>
      <c r="B98" s="263"/>
      <c r="C98" s="264" t="n">
        <f aca="false">VLOOKUP(A98,'imp-questions'!A:H,5,FALSE())</f>
        <v>3</v>
      </c>
      <c r="D98" s="222" t="str">
        <f aca="false">VLOOKUP(A98,'imp-questions'!A:H,6,FALSE())</f>
        <v>Do you regularly evaluate the effectiveness of your security metrics so that its input helps drive your security strategy?</v>
      </c>
      <c r="E98" s="48" t="str">
        <f aca="false">CHAR(65+VLOOKUP(A98,'imp-questions'!A:H,8,FALSE()))</f>
        <v>F</v>
      </c>
      <c r="F98" s="226" t="n">
        <f aca="false">Interview!F143</f>
        <v>0</v>
      </c>
      <c r="G98" s="50" t="n">
        <f aca="false">IFERROR(VLOOKUP(F98,AnsFTBL,2,FALSE()),0)</f>
        <v>0</v>
      </c>
      <c r="H98" s="233"/>
      <c r="I98" s="269"/>
      <c r="J98" s="226" t="n">
        <f aca="false">Interview!J143</f>
        <v>0</v>
      </c>
      <c r="K98" s="50" t="n">
        <f aca="false">IFERROR(VLOOKUP(J98,AnsFTBL,2,FALSE()),0)</f>
        <v>0</v>
      </c>
      <c r="L98" s="233"/>
      <c r="M98" s="269"/>
      <c r="N98" s="226" t="n">
        <f aca="false">Interview!N143</f>
        <v>0</v>
      </c>
      <c r="O98" s="50" t="n">
        <f aca="false">IFERROR(VLOOKUP(N98,AnsFTBL,2,FALSE()),0)</f>
        <v>0</v>
      </c>
      <c r="P98" s="233"/>
      <c r="Q98" s="269"/>
      <c r="R98" s="227" t="n">
        <f aca="false">N98</f>
        <v>0</v>
      </c>
      <c r="S98" s="50" t="n">
        <f aca="false">IFERROR(VLOOKUP(R98,AnsFTBL,2,FALSE()),0)</f>
        <v>0</v>
      </c>
      <c r="T98" s="233"/>
      <c r="U98" s="269"/>
      <c r="V98" s="227" t="n">
        <f aca="false">R98</f>
        <v>0</v>
      </c>
      <c r="W98" s="50" t="n">
        <f aca="false">IFERROR(VLOOKUP(V98,AnsFTBL,2,FALSE()),0)</f>
        <v>0</v>
      </c>
      <c r="X98" s="233"/>
      <c r="Y98" s="269"/>
    </row>
    <row r="99" customFormat="false" ht="13.5" hidden="false" customHeight="false" outlineLevel="0" collapsed="false">
      <c r="A99" s="44"/>
      <c r="B99" s="224"/>
      <c r="C99" s="225"/>
      <c r="D99" s="70"/>
      <c r="E99" s="70"/>
      <c r="F99" s="70"/>
      <c r="G99" s="70"/>
      <c r="H99" s="70"/>
      <c r="I99" s="70"/>
      <c r="J99" s="70"/>
      <c r="K99" s="70"/>
      <c r="L99" s="70"/>
      <c r="M99" s="70"/>
      <c r="N99" s="70"/>
      <c r="O99" s="70"/>
      <c r="P99" s="70"/>
      <c r="Q99" s="70"/>
      <c r="R99" s="70"/>
      <c r="S99" s="70"/>
      <c r="T99" s="70"/>
      <c r="U99" s="70"/>
      <c r="V99" s="70"/>
      <c r="W99" s="70"/>
      <c r="X99" s="70"/>
      <c r="Y99" s="70"/>
    </row>
    <row r="100" customFormat="false" ht="13.5" hidden="false" customHeight="true" outlineLevel="0" collapsed="false">
      <c r="A100" s="44"/>
      <c r="B100" s="270" t="s">
        <v>108</v>
      </c>
      <c r="C100" s="270"/>
      <c r="D100" s="271"/>
      <c r="E100" s="271"/>
      <c r="F100" s="272" t="s">
        <v>157</v>
      </c>
      <c r="G100" s="272"/>
      <c r="H100" s="272"/>
      <c r="I100" s="272"/>
      <c r="J100" s="273" t="s">
        <v>163</v>
      </c>
      <c r="K100" s="273"/>
      <c r="L100" s="273"/>
      <c r="M100" s="273"/>
      <c r="N100" s="273" t="s">
        <v>164</v>
      </c>
      <c r="O100" s="273"/>
      <c r="P100" s="273"/>
      <c r="Q100" s="273"/>
      <c r="R100" s="273" t="s">
        <v>165</v>
      </c>
      <c r="S100" s="273"/>
      <c r="T100" s="273"/>
      <c r="U100" s="273"/>
      <c r="V100" s="273" t="s">
        <v>166</v>
      </c>
      <c r="W100" s="273"/>
      <c r="X100" s="273"/>
      <c r="Y100" s="273"/>
    </row>
    <row r="101" customFormat="false" ht="13.8" hidden="false" customHeight="false" outlineLevel="0" collapsed="false">
      <c r="A101" s="44"/>
      <c r="B101" s="274" t="s">
        <v>38</v>
      </c>
      <c r="C101" s="275" t="s">
        <v>39</v>
      </c>
      <c r="D101" s="276" t="s">
        <v>109</v>
      </c>
      <c r="E101" s="121"/>
      <c r="F101" s="120" t="s">
        <v>41</v>
      </c>
      <c r="G101" s="120"/>
      <c r="H101" s="122"/>
      <c r="I101" s="277" t="s">
        <v>43</v>
      </c>
      <c r="J101" s="120" t="s">
        <v>41</v>
      </c>
      <c r="K101" s="120"/>
      <c r="L101" s="122"/>
      <c r="M101" s="277" t="s">
        <v>43</v>
      </c>
      <c r="N101" s="120" t="s">
        <v>41</v>
      </c>
      <c r="O101" s="120"/>
      <c r="P101" s="122"/>
      <c r="Q101" s="277" t="s">
        <v>43</v>
      </c>
      <c r="R101" s="120" t="s">
        <v>41</v>
      </c>
      <c r="S101" s="120"/>
      <c r="T101" s="122"/>
      <c r="U101" s="277" t="s">
        <v>43</v>
      </c>
      <c r="V101" s="120" t="s">
        <v>41</v>
      </c>
      <c r="W101" s="120"/>
      <c r="X101" s="122"/>
      <c r="Y101" s="277" t="s">
        <v>43</v>
      </c>
    </row>
    <row r="102" customFormat="false" ht="23.85" hidden="false" customHeight="false" outlineLevel="0" collapsed="false">
      <c r="A102" s="44" t="str">
        <f aca="false">Interview!A147</f>
        <v>V-AA-A-1-1</v>
      </c>
      <c r="B102" s="278" t="str">
        <f aca="false">VLOOKUP(A102,'imp-questions'!A:H,4,FALSE())</f>
        <v>Architecture Validation</v>
      </c>
      <c r="C102" s="279" t="n">
        <f aca="false">VLOOKUP(A102,'imp-questions'!A:H,5,FALSE())</f>
        <v>1</v>
      </c>
      <c r="D102" s="47" t="str">
        <f aca="false">VLOOKUP(A102,'imp-questions'!A:H,6,FALSE())</f>
        <v>Do you review the application architecture for key security objectives on an ad-hoc basis?</v>
      </c>
      <c r="E102" s="126" t="str">
        <f aca="false">CHAR(65+VLOOKUP(A102,'imp-questions'!A:H,8,FALSE()))</f>
        <v>F</v>
      </c>
      <c r="F102" s="226" t="n">
        <f aca="false">Interview!F147</f>
        <v>0</v>
      </c>
      <c r="G102" s="50" t="n">
        <f aca="false">IFERROR(VLOOKUP(F102,AnsFTBL,2,FALSE()),0)</f>
        <v>0</v>
      </c>
      <c r="H102" s="231" t="n">
        <f aca="false">IFERROR(AVERAGE(G102,G106),0)</f>
        <v>0</v>
      </c>
      <c r="I102" s="280" t="n">
        <f aca="false">SUM(H102:H104)</f>
        <v>0</v>
      </c>
      <c r="J102" s="227" t="n">
        <f aca="false">F102</f>
        <v>0</v>
      </c>
      <c r="K102" s="50" t="n">
        <f aca="false">IFERROR(VLOOKUP(J102,AnsFTBL,2,FALSE()),0)</f>
        <v>0</v>
      </c>
      <c r="L102" s="231" t="n">
        <f aca="false">IFERROR(AVERAGE(K102,K106),0)</f>
        <v>0</v>
      </c>
      <c r="M102" s="280" t="n">
        <f aca="false">SUM(L102:L104)</f>
        <v>0</v>
      </c>
      <c r="N102" s="227" t="n">
        <f aca="false">J102</f>
        <v>0</v>
      </c>
      <c r="O102" s="50" t="n">
        <f aca="false">IFERROR(VLOOKUP(N102,AnsFTBL,2,FALSE()),0)</f>
        <v>0</v>
      </c>
      <c r="P102" s="231" t="n">
        <f aca="false">IFERROR(AVERAGE(O102,O106),0)</f>
        <v>0</v>
      </c>
      <c r="Q102" s="280" t="n">
        <f aca="false">SUM(P102:P104)</f>
        <v>0</v>
      </c>
      <c r="R102" s="227" t="n">
        <f aca="false">N102</f>
        <v>0</v>
      </c>
      <c r="S102" s="50" t="n">
        <f aca="false">IFERROR(VLOOKUP(R102,AnsFTBL,2,FALSE()),0)</f>
        <v>0</v>
      </c>
      <c r="T102" s="231" t="n">
        <f aca="false">IFERROR(AVERAGE(S102,S106),0)</f>
        <v>0</v>
      </c>
      <c r="U102" s="280" t="n">
        <f aca="false">SUM(T102:T104)</f>
        <v>0</v>
      </c>
      <c r="V102" s="227" t="n">
        <f aca="false">R102</f>
        <v>0</v>
      </c>
      <c r="W102" s="50" t="n">
        <f aca="false">IFERROR(VLOOKUP(V102,AnsFTBL,2,FALSE()),0)</f>
        <v>0</v>
      </c>
      <c r="X102" s="231" t="n">
        <f aca="false">IFERROR(AVERAGE(W102,W106),0)</f>
        <v>0</v>
      </c>
      <c r="Y102" s="280" t="n">
        <f aca="false">SUM(X102:X104)</f>
        <v>0</v>
      </c>
    </row>
    <row r="103" customFormat="false" ht="13.5" hidden="false" customHeight="false" outlineLevel="0" collapsed="false">
      <c r="A103" s="44" t="str">
        <f aca="false">Interview!A149</f>
        <v>V-AA-A-2-1</v>
      </c>
      <c r="B103" s="278"/>
      <c r="C103" s="279" t="n">
        <f aca="false">VLOOKUP(A103,'imp-questions'!A:H,5,FALSE())</f>
        <v>2</v>
      </c>
      <c r="D103" s="47" t="str">
        <f aca="false">VLOOKUP(A103,'imp-questions'!A:H,6,FALSE())</f>
        <v>Do you regularly review the security mechanisms of your architecture?</v>
      </c>
      <c r="E103" s="126" t="str">
        <f aca="false">CHAR(65+VLOOKUP(A103,'imp-questions'!A:H,8,FALSE()))</f>
        <v>F</v>
      </c>
      <c r="F103" s="226" t="n">
        <f aca="false">Interview!F149</f>
        <v>0</v>
      </c>
      <c r="G103" s="50" t="n">
        <f aca="false">IFERROR(VLOOKUP(F103,AnsFTBL,2,FALSE()),0)</f>
        <v>0</v>
      </c>
      <c r="H103" s="231" t="n">
        <f aca="false">IFERROR(AVERAGE(G103,G107),0)</f>
        <v>0</v>
      </c>
      <c r="I103" s="280"/>
      <c r="J103" s="227" t="n">
        <f aca="false">F103</f>
        <v>0</v>
      </c>
      <c r="K103" s="50" t="n">
        <f aca="false">IFERROR(VLOOKUP(J103,AnsFTBL,2,FALSE()),0)</f>
        <v>0</v>
      </c>
      <c r="L103" s="231" t="n">
        <f aca="false">IFERROR(AVERAGE(K103,K107),0)</f>
        <v>0</v>
      </c>
      <c r="M103" s="280"/>
      <c r="N103" s="227" t="n">
        <f aca="false">J103</f>
        <v>0</v>
      </c>
      <c r="O103" s="50" t="n">
        <f aca="false">IFERROR(VLOOKUP(N103,AnsFTBL,2,FALSE()),0)</f>
        <v>0</v>
      </c>
      <c r="P103" s="231" t="n">
        <f aca="false">IFERROR(AVERAGE(O103,O107),0)</f>
        <v>0</v>
      </c>
      <c r="Q103" s="280"/>
      <c r="R103" s="227" t="n">
        <f aca="false">N103</f>
        <v>0</v>
      </c>
      <c r="S103" s="50" t="n">
        <f aca="false">IFERROR(VLOOKUP(R103,AnsFTBL,2,FALSE()),0)</f>
        <v>0</v>
      </c>
      <c r="T103" s="231" t="n">
        <f aca="false">IFERROR(AVERAGE(S103,S107),0)</f>
        <v>0</v>
      </c>
      <c r="U103" s="280"/>
      <c r="V103" s="227" t="n">
        <f aca="false">R103</f>
        <v>0</v>
      </c>
      <c r="W103" s="50" t="n">
        <f aca="false">IFERROR(VLOOKUP(V103,AnsFTBL,2,FALSE()),0)</f>
        <v>0</v>
      </c>
      <c r="X103" s="231" t="n">
        <f aca="false">IFERROR(AVERAGE(W103,W107),0)</f>
        <v>0</v>
      </c>
      <c r="Y103" s="280"/>
    </row>
    <row r="104" customFormat="false" ht="13.5" hidden="false" customHeight="false" outlineLevel="0" collapsed="false">
      <c r="A104" s="44" t="str">
        <f aca="false">Interview!A151</f>
        <v>V-AA-A-3-1</v>
      </c>
      <c r="B104" s="278"/>
      <c r="C104" s="279" t="n">
        <f aca="false">VLOOKUP(A104,'imp-questions'!A:H,5,FALSE())</f>
        <v>3</v>
      </c>
      <c r="D104" s="222" t="str">
        <f aca="false">VLOOKUP(A104,'imp-questions'!A:H,6,FALSE())</f>
        <v>Do you regularly review the effectiveness of the security controls?</v>
      </c>
      <c r="E104" s="126" t="str">
        <f aca="false">CHAR(65+VLOOKUP(A104,'imp-questions'!A:H,8,FALSE()))</f>
        <v>F</v>
      </c>
      <c r="F104" s="226" t="n">
        <f aca="false">Interview!F151</f>
        <v>0</v>
      </c>
      <c r="G104" s="50" t="n">
        <f aca="false">IFERROR(VLOOKUP(F104,AnsFTBL,2,FALSE()),0)</f>
        <v>0</v>
      </c>
      <c r="H104" s="231" t="n">
        <f aca="false">IFERROR(AVERAGE(G104,G108),0)</f>
        <v>0</v>
      </c>
      <c r="I104" s="280"/>
      <c r="J104" s="227" t="n">
        <f aca="false">F104</f>
        <v>0</v>
      </c>
      <c r="K104" s="50" t="n">
        <f aca="false">IFERROR(VLOOKUP(J104,AnsFTBL,2,FALSE()),0)</f>
        <v>0</v>
      </c>
      <c r="L104" s="231" t="n">
        <f aca="false">IFERROR(AVERAGE(K104,K108),0)</f>
        <v>0</v>
      </c>
      <c r="M104" s="280"/>
      <c r="N104" s="227" t="n">
        <f aca="false">J104</f>
        <v>0</v>
      </c>
      <c r="O104" s="50" t="n">
        <f aca="false">IFERROR(VLOOKUP(N104,AnsFTBL,2,FALSE()),0)</f>
        <v>0</v>
      </c>
      <c r="P104" s="231" t="n">
        <f aca="false">IFERROR(AVERAGE(O104,O108),0)</f>
        <v>0</v>
      </c>
      <c r="Q104" s="280"/>
      <c r="R104" s="227" t="n">
        <f aca="false">N104</f>
        <v>0</v>
      </c>
      <c r="S104" s="50" t="n">
        <f aca="false">IFERROR(VLOOKUP(R104,AnsFTBL,2,FALSE()),0)</f>
        <v>0</v>
      </c>
      <c r="T104" s="231" t="n">
        <f aca="false">IFERROR(AVERAGE(S104,S108),0)</f>
        <v>0</v>
      </c>
      <c r="U104" s="280"/>
      <c r="V104" s="227" t="n">
        <f aca="false">R104</f>
        <v>0</v>
      </c>
      <c r="W104" s="50" t="n">
        <f aca="false">IFERROR(VLOOKUP(V104,AnsFTBL,2,FALSE()),0)</f>
        <v>0</v>
      </c>
      <c r="X104" s="231" t="n">
        <f aca="false">IFERROR(AVERAGE(W104,W108),0)</f>
        <v>0</v>
      </c>
      <c r="Y104" s="280"/>
    </row>
    <row r="105" customFormat="false" ht="13.5" hidden="false" customHeight="false" outlineLevel="0" collapsed="false">
      <c r="A105" s="44"/>
      <c r="B105" s="224"/>
      <c r="C105" s="225"/>
      <c r="D105" s="132"/>
      <c r="E105" s="132"/>
      <c r="F105" s="132"/>
      <c r="G105" s="132"/>
      <c r="H105" s="132"/>
      <c r="I105" s="280"/>
      <c r="J105" s="132"/>
      <c r="K105" s="132"/>
      <c r="L105" s="132"/>
      <c r="M105" s="280"/>
      <c r="N105" s="132"/>
      <c r="O105" s="132"/>
      <c r="P105" s="132"/>
      <c r="Q105" s="280"/>
      <c r="R105" s="132"/>
      <c r="S105" s="132"/>
      <c r="T105" s="132"/>
      <c r="U105" s="280"/>
      <c r="V105" s="132"/>
      <c r="W105" s="132"/>
      <c r="X105" s="132"/>
      <c r="Y105" s="280"/>
    </row>
    <row r="106" customFormat="false" ht="23.85" hidden="false" customHeight="false" outlineLevel="0" collapsed="false">
      <c r="A106" s="44" t="str">
        <f aca="false">Interview!A154</f>
        <v>V-AA-B-1-1</v>
      </c>
      <c r="B106" s="278" t="str">
        <f aca="false">VLOOKUP(A106,'imp-questions'!A:H,4,FALSE())</f>
        <v>Architecture Mitigation</v>
      </c>
      <c r="C106" s="279" t="n">
        <f aca="false">VLOOKUP(A106,'imp-questions'!A:H,5,FALSE())</f>
        <v>1</v>
      </c>
      <c r="D106" s="47" t="str">
        <f aca="false">VLOOKUP(A106,'imp-questions'!A:H,6,FALSE())</f>
        <v>Do you review the application architecture for mitigations of typical threats on an ad-hoc basis?</v>
      </c>
      <c r="E106" s="126" t="str">
        <f aca="false">CHAR(65+VLOOKUP(A106,'imp-questions'!A:H,8,FALSE()))</f>
        <v>F</v>
      </c>
      <c r="F106" s="281" t="n">
        <f aca="false">Interview!F154</f>
        <v>0</v>
      </c>
      <c r="G106" s="50" t="n">
        <f aca="false">IFERROR(VLOOKUP(F106,AnsFTBL,2,FALSE()),0)</f>
        <v>0</v>
      </c>
      <c r="H106" s="282"/>
      <c r="I106" s="280"/>
      <c r="J106" s="227" t="n">
        <f aca="false">F106</f>
        <v>0</v>
      </c>
      <c r="K106" s="50" t="n">
        <f aca="false">IFERROR(VLOOKUP(J106,AnsFTBL,2,FALSE()),0)</f>
        <v>0</v>
      </c>
      <c r="L106" s="282"/>
      <c r="M106" s="280"/>
      <c r="N106" s="227" t="n">
        <f aca="false">J106</f>
        <v>0</v>
      </c>
      <c r="O106" s="50" t="n">
        <f aca="false">IFERROR(VLOOKUP(N106,AnsFTBL,2,FALSE()),0)</f>
        <v>0</v>
      </c>
      <c r="P106" s="282"/>
      <c r="Q106" s="280"/>
      <c r="R106" s="227" t="n">
        <f aca="false">N106</f>
        <v>0</v>
      </c>
      <c r="S106" s="50" t="n">
        <f aca="false">IFERROR(VLOOKUP(R106,AnsFTBL,2,FALSE()),0)</f>
        <v>0</v>
      </c>
      <c r="T106" s="282"/>
      <c r="U106" s="280"/>
      <c r="V106" s="227" t="n">
        <f aca="false">R106</f>
        <v>0</v>
      </c>
      <c r="W106" s="50" t="n">
        <f aca="false">IFERROR(VLOOKUP(V106,AnsFTBL,2,FALSE()),0)</f>
        <v>0</v>
      </c>
      <c r="X106" s="282"/>
      <c r="Y106" s="280"/>
    </row>
    <row r="107" customFormat="false" ht="13.5" hidden="false" customHeight="false" outlineLevel="0" collapsed="false">
      <c r="A107" s="44" t="str">
        <f aca="false">Interview!A156</f>
        <v>V-AA-B-2-1</v>
      </c>
      <c r="B107" s="278"/>
      <c r="C107" s="279" t="n">
        <f aca="false">VLOOKUP(A107,'imp-questions'!A:H,5,FALSE())</f>
        <v>2</v>
      </c>
      <c r="D107" s="47" t="str">
        <f aca="false">VLOOKUP(A107,'imp-questions'!A:H,6,FALSE())</f>
        <v>Do you regularly evaluate the threats to your architecture?</v>
      </c>
      <c r="E107" s="126" t="str">
        <f aca="false">CHAR(65+VLOOKUP(A107,'imp-questions'!A:H,8,FALSE()))</f>
        <v>F</v>
      </c>
      <c r="F107" s="283" t="n">
        <f aca="false">Interview!F156</f>
        <v>0</v>
      </c>
      <c r="G107" s="50" t="n">
        <f aca="false">IFERROR(VLOOKUP(F107,AnsFTBL,2,FALSE()),0)</f>
        <v>0</v>
      </c>
      <c r="H107" s="282"/>
      <c r="I107" s="280"/>
      <c r="J107" s="227" t="n">
        <f aca="false">F107</f>
        <v>0</v>
      </c>
      <c r="K107" s="50" t="n">
        <f aca="false">IFERROR(VLOOKUP(J107,AnsFTBL,2,FALSE()),0)</f>
        <v>0</v>
      </c>
      <c r="L107" s="282"/>
      <c r="M107" s="280"/>
      <c r="N107" s="227" t="n">
        <f aca="false">J107</f>
        <v>0</v>
      </c>
      <c r="O107" s="50" t="n">
        <f aca="false">IFERROR(VLOOKUP(N107,AnsFTBL,2,FALSE()),0)</f>
        <v>0</v>
      </c>
      <c r="P107" s="282"/>
      <c r="Q107" s="280"/>
      <c r="R107" s="227" t="n">
        <f aca="false">N107</f>
        <v>0</v>
      </c>
      <c r="S107" s="50" t="n">
        <f aca="false">IFERROR(VLOOKUP(R107,AnsFTBL,2,FALSE()),0)</f>
        <v>0</v>
      </c>
      <c r="T107" s="282"/>
      <c r="U107" s="280"/>
      <c r="V107" s="227" t="n">
        <f aca="false">R107</f>
        <v>0</v>
      </c>
      <c r="W107" s="50" t="n">
        <f aca="false">IFERROR(VLOOKUP(V107,AnsFTBL,2,FALSE()),0)</f>
        <v>0</v>
      </c>
      <c r="X107" s="282"/>
      <c r="Y107" s="280"/>
    </row>
    <row r="108" customFormat="false" ht="23.85" hidden="false" customHeight="false" outlineLevel="0" collapsed="false">
      <c r="A108" s="44" t="str">
        <f aca="false">Interview!A158</f>
        <v>V-AA-B-3-1</v>
      </c>
      <c r="B108" s="278"/>
      <c r="C108" s="279" t="n">
        <f aca="false">VLOOKUP(A108,'imp-questions'!A:H,5,FALSE())</f>
        <v>3</v>
      </c>
      <c r="D108" s="222" t="str">
        <f aca="false">VLOOKUP(A108,'imp-questions'!A:H,6,FALSE())</f>
        <v>Do you regularly update your reference architectures based on architecture assessment findings?</v>
      </c>
      <c r="E108" s="126" t="str">
        <f aca="false">CHAR(65+VLOOKUP(A108,'imp-questions'!A:H,8,FALSE()))</f>
        <v>F</v>
      </c>
      <c r="F108" s="283" t="n">
        <f aca="false">Interview!F158</f>
        <v>0</v>
      </c>
      <c r="G108" s="50" t="n">
        <f aca="false">IFERROR(VLOOKUP(F108,AnsFTBL,2,FALSE()),0)</f>
        <v>0</v>
      </c>
      <c r="H108" s="282"/>
      <c r="I108" s="280"/>
      <c r="J108" s="227" t="n">
        <f aca="false">F108</f>
        <v>0</v>
      </c>
      <c r="K108" s="50" t="n">
        <f aca="false">IFERROR(VLOOKUP(J108,AnsFTBL,2,FALSE()),0)</f>
        <v>0</v>
      </c>
      <c r="L108" s="282"/>
      <c r="M108" s="280"/>
      <c r="N108" s="227" t="n">
        <f aca="false">J108</f>
        <v>0</v>
      </c>
      <c r="O108" s="50" t="n">
        <f aca="false">IFERROR(VLOOKUP(N108,AnsFTBL,2,FALSE()),0)</f>
        <v>0</v>
      </c>
      <c r="P108" s="282"/>
      <c r="Q108" s="280"/>
      <c r="R108" s="227" t="n">
        <f aca="false">N108</f>
        <v>0</v>
      </c>
      <c r="S108" s="50" t="n">
        <f aca="false">IFERROR(VLOOKUP(R108,AnsFTBL,2,FALSE()),0)</f>
        <v>0</v>
      </c>
      <c r="T108" s="282"/>
      <c r="U108" s="280"/>
      <c r="V108" s="227" t="n">
        <f aca="false">R108</f>
        <v>0</v>
      </c>
      <c r="W108" s="50" t="n">
        <f aca="false">IFERROR(VLOOKUP(V108,AnsFTBL,2,FALSE()),0)</f>
        <v>0</v>
      </c>
      <c r="X108" s="282"/>
      <c r="Y108" s="280"/>
    </row>
    <row r="109" customFormat="false" ht="13.5" hidden="false" customHeight="false" outlineLevel="0" collapsed="false">
      <c r="A109" s="44"/>
      <c r="B109" s="224"/>
      <c r="C109" s="225"/>
      <c r="D109" s="132"/>
      <c r="E109" s="132"/>
      <c r="F109" s="132"/>
      <c r="G109" s="132"/>
      <c r="H109" s="132"/>
      <c r="I109" s="132"/>
      <c r="J109" s="132"/>
      <c r="K109" s="132"/>
      <c r="L109" s="132"/>
      <c r="M109" s="70"/>
      <c r="N109" s="132"/>
      <c r="O109" s="132"/>
      <c r="P109" s="132"/>
      <c r="Q109" s="70"/>
      <c r="R109" s="132"/>
      <c r="S109" s="132"/>
      <c r="T109" s="132"/>
      <c r="U109" s="70"/>
      <c r="V109" s="132"/>
      <c r="W109" s="132"/>
      <c r="X109" s="132"/>
      <c r="Y109" s="70"/>
    </row>
    <row r="110" customFormat="false" ht="13.8" hidden="false" customHeight="false" outlineLevel="0" collapsed="false">
      <c r="A110" s="44"/>
      <c r="B110" s="274" t="s">
        <v>38</v>
      </c>
      <c r="C110" s="275" t="s">
        <v>39</v>
      </c>
      <c r="D110" s="284" t="s">
        <v>116</v>
      </c>
      <c r="E110" s="138"/>
      <c r="F110" s="137" t="s">
        <v>41</v>
      </c>
      <c r="G110" s="137"/>
      <c r="H110" s="139"/>
      <c r="I110" s="277" t="s">
        <v>43</v>
      </c>
      <c r="J110" s="137" t="s">
        <v>41</v>
      </c>
      <c r="K110" s="137"/>
      <c r="L110" s="139"/>
      <c r="M110" s="277" t="s">
        <v>43</v>
      </c>
      <c r="N110" s="137" t="s">
        <v>41</v>
      </c>
      <c r="O110" s="137"/>
      <c r="P110" s="139"/>
      <c r="Q110" s="277" t="s">
        <v>43</v>
      </c>
      <c r="R110" s="137" t="s">
        <v>41</v>
      </c>
      <c r="S110" s="137"/>
      <c r="T110" s="139"/>
      <c r="U110" s="277" t="s">
        <v>43</v>
      </c>
      <c r="V110" s="137" t="s">
        <v>41</v>
      </c>
      <c r="W110" s="137"/>
      <c r="X110" s="139"/>
      <c r="Y110" s="277" t="s">
        <v>43</v>
      </c>
    </row>
    <row r="111" customFormat="false" ht="23.85" hidden="false" customHeight="false" outlineLevel="0" collapsed="false">
      <c r="A111" s="44" t="str">
        <f aca="false">Interview!A161</f>
        <v>V-RT-A-1-1</v>
      </c>
      <c r="B111" s="278" t="str">
        <f aca="false">VLOOKUP(A111,'imp-questions'!A:H,4,FALSE())</f>
        <v>Control Verification</v>
      </c>
      <c r="C111" s="279" t="n">
        <f aca="false">VLOOKUP(A111,'imp-questions'!A:H,5,FALSE())</f>
        <v>1</v>
      </c>
      <c r="D111" s="47" t="str">
        <f aca="false">VLOOKUP(A111,'imp-questions'!A:H,6,FALSE())</f>
        <v>Do you test applications for the correct functioning of standard security controls?</v>
      </c>
      <c r="E111" s="48" t="str">
        <f aca="false">CHAR(65+VLOOKUP(A111,'imp-questions'!A:H,8,FALSE()))</f>
        <v>C</v>
      </c>
      <c r="F111" s="226" t="n">
        <f aca="false">Interview!F161</f>
        <v>0</v>
      </c>
      <c r="G111" s="50" t="n">
        <f aca="false">IFERROR(VLOOKUP(F111,AnsCTBL,2,FALSE()),0)</f>
        <v>0</v>
      </c>
      <c r="H111" s="231" t="n">
        <f aca="false">IFERROR(AVERAGE(G111,G115),0)</f>
        <v>0</v>
      </c>
      <c r="I111" s="280" t="n">
        <f aca="false">SUM(H111:H113)</f>
        <v>0</v>
      </c>
      <c r="J111" s="227" t="n">
        <f aca="false">F111</f>
        <v>0</v>
      </c>
      <c r="K111" s="50" t="n">
        <f aca="false">IFERROR(VLOOKUP(J111,AnsCTBL,2,FALSE()),0)</f>
        <v>0</v>
      </c>
      <c r="L111" s="231" t="n">
        <f aca="false">IFERROR(AVERAGE(K111,K115),0)</f>
        <v>0</v>
      </c>
      <c r="M111" s="280" t="n">
        <f aca="false">SUM(L111:L113)</f>
        <v>0</v>
      </c>
      <c r="N111" s="227" t="n">
        <f aca="false">J111</f>
        <v>0</v>
      </c>
      <c r="O111" s="50" t="n">
        <f aca="false">IFERROR(VLOOKUP(N111,AnsCTBL,2,FALSE()),0)</f>
        <v>0</v>
      </c>
      <c r="P111" s="231" t="n">
        <f aca="false">IFERROR(AVERAGE(O111,O115),0)</f>
        <v>0</v>
      </c>
      <c r="Q111" s="280" t="n">
        <f aca="false">SUM(P111:P113)</f>
        <v>0</v>
      </c>
      <c r="R111" s="227" t="n">
        <f aca="false">N111</f>
        <v>0</v>
      </c>
      <c r="S111" s="50" t="n">
        <f aca="false">IFERROR(VLOOKUP(R111,AnsCTBL,2,FALSE()),0)</f>
        <v>0</v>
      </c>
      <c r="T111" s="231" t="n">
        <f aca="false">IFERROR(AVERAGE(S111,S115),0)</f>
        <v>0</v>
      </c>
      <c r="U111" s="280" t="n">
        <f aca="false">SUM(T111:T113)</f>
        <v>0</v>
      </c>
      <c r="V111" s="227" t="n">
        <f aca="false">R111</f>
        <v>0</v>
      </c>
      <c r="W111" s="50" t="n">
        <f aca="false">IFERROR(VLOOKUP(V111,AnsCTBL,2,FALSE()),0)</f>
        <v>0</v>
      </c>
      <c r="X111" s="231" t="n">
        <f aca="false">IFERROR(AVERAGE(W111,W115),0)</f>
        <v>0</v>
      </c>
      <c r="Y111" s="280" t="n">
        <f aca="false">SUM(X111:X113)</f>
        <v>0</v>
      </c>
    </row>
    <row r="112" customFormat="false" ht="23.85" hidden="false" customHeight="false" outlineLevel="0" collapsed="false">
      <c r="A112" s="44" t="str">
        <f aca="false">Interview!A163</f>
        <v>V-RT-A-2-1</v>
      </c>
      <c r="B112" s="278"/>
      <c r="C112" s="279" t="n">
        <f aca="false">VLOOKUP(A112,'imp-questions'!A:H,5,FALSE())</f>
        <v>2</v>
      </c>
      <c r="D112" s="47" t="str">
        <f aca="false">VLOOKUP(A112,'imp-questions'!A:H,6,FALSE())</f>
        <v>Do you consistently write and execute test scripts to verify the functionality of security requirements?</v>
      </c>
      <c r="E112" s="48" t="str">
        <f aca="false">CHAR(65+VLOOKUP(A112,'imp-questions'!A:H,8,FALSE()))</f>
        <v>C</v>
      </c>
      <c r="F112" s="252" t="n">
        <f aca="false">Interview!F163</f>
        <v>0</v>
      </c>
      <c r="G112" s="50" t="n">
        <f aca="false">IFERROR(VLOOKUP(F112,AnsCTBL,2,FALSE()),0)</f>
        <v>0</v>
      </c>
      <c r="H112" s="231" t="n">
        <f aca="false">IFERROR(AVERAGE(G112,G116),0)</f>
        <v>0</v>
      </c>
      <c r="I112" s="280"/>
      <c r="J112" s="227" t="n">
        <f aca="false">F112</f>
        <v>0</v>
      </c>
      <c r="K112" s="50" t="n">
        <f aca="false">IFERROR(VLOOKUP(J112,AnsCTBL,2,FALSE()),0)</f>
        <v>0</v>
      </c>
      <c r="L112" s="231" t="n">
        <f aca="false">IFERROR(AVERAGE(K112,K116),0)</f>
        <v>0</v>
      </c>
      <c r="M112" s="280"/>
      <c r="N112" s="227" t="n">
        <f aca="false">J112</f>
        <v>0</v>
      </c>
      <c r="O112" s="50" t="n">
        <f aca="false">IFERROR(VLOOKUP(N112,AnsCTBL,2,FALSE()),0)</f>
        <v>0</v>
      </c>
      <c r="P112" s="231" t="n">
        <f aca="false">IFERROR(AVERAGE(O112,O116),0)</f>
        <v>0</v>
      </c>
      <c r="Q112" s="280"/>
      <c r="R112" s="227" t="n">
        <f aca="false">N112</f>
        <v>0</v>
      </c>
      <c r="S112" s="50" t="n">
        <f aca="false">IFERROR(VLOOKUP(R112,AnsCTBL,2,FALSE()),0)</f>
        <v>0</v>
      </c>
      <c r="T112" s="231" t="n">
        <f aca="false">IFERROR(AVERAGE(S112,S116),0)</f>
        <v>0</v>
      </c>
      <c r="U112" s="280"/>
      <c r="V112" s="227" t="n">
        <f aca="false">R112</f>
        <v>0</v>
      </c>
      <c r="W112" s="50" t="n">
        <f aca="false">IFERROR(VLOOKUP(V112,AnsCTBL,2,FALSE()),0)</f>
        <v>0</v>
      </c>
      <c r="X112" s="231" t="n">
        <f aca="false">IFERROR(AVERAGE(W112,W116),0)</f>
        <v>0</v>
      </c>
      <c r="Y112" s="280"/>
    </row>
    <row r="113" customFormat="false" ht="13.5" hidden="false" customHeight="false" outlineLevel="0" collapsed="false">
      <c r="A113" s="44" t="str">
        <f aca="false">Interview!A165</f>
        <v>V-RT-A-3-1</v>
      </c>
      <c r="B113" s="278"/>
      <c r="C113" s="279" t="n">
        <f aca="false">VLOOKUP(A113,'imp-questions'!A:H,5,FALSE())</f>
        <v>3</v>
      </c>
      <c r="D113" s="222" t="str">
        <f aca="false">VLOOKUP(A113,'imp-questions'!A:H,6,FALSE())</f>
        <v>Do you automatically test applications for security regressions?</v>
      </c>
      <c r="E113" s="48" t="str">
        <f aca="false">CHAR(65+VLOOKUP(A113,'imp-questions'!A:H,8,FALSE()))</f>
        <v>F</v>
      </c>
      <c r="F113" s="252" t="n">
        <f aca="false">Interview!F165</f>
        <v>0</v>
      </c>
      <c r="G113" s="50" t="n">
        <f aca="false">IFERROR(VLOOKUP(F113,AnsFTBL,2,FALSE()),0)</f>
        <v>0</v>
      </c>
      <c r="H113" s="231" t="n">
        <f aca="false">IFERROR(AVERAGE(G113,G117),0)</f>
        <v>0</v>
      </c>
      <c r="I113" s="280"/>
      <c r="J113" s="227" t="n">
        <f aca="false">F113</f>
        <v>0</v>
      </c>
      <c r="K113" s="50" t="n">
        <f aca="false">IFERROR(VLOOKUP(J113,AnsFTBL,2,FALSE()),0)</f>
        <v>0</v>
      </c>
      <c r="L113" s="231" t="n">
        <f aca="false">IFERROR(AVERAGE(K113,K117),0)</f>
        <v>0</v>
      </c>
      <c r="M113" s="280"/>
      <c r="N113" s="227" t="n">
        <f aca="false">J113</f>
        <v>0</v>
      </c>
      <c r="O113" s="50" t="n">
        <f aca="false">IFERROR(VLOOKUP(N113,AnsFTBL,2,FALSE()),0)</f>
        <v>0</v>
      </c>
      <c r="P113" s="231" t="n">
        <f aca="false">IFERROR(AVERAGE(O113,O117),0)</f>
        <v>0</v>
      </c>
      <c r="Q113" s="280"/>
      <c r="R113" s="227" t="n">
        <f aca="false">N113</f>
        <v>0</v>
      </c>
      <c r="S113" s="50" t="n">
        <f aca="false">IFERROR(VLOOKUP(R113,AnsFTBL,2,FALSE()),0)</f>
        <v>0</v>
      </c>
      <c r="T113" s="231" t="n">
        <f aca="false">IFERROR(AVERAGE(S113,S117),0)</f>
        <v>0</v>
      </c>
      <c r="U113" s="280"/>
      <c r="V113" s="227" t="n">
        <f aca="false">R113</f>
        <v>0</v>
      </c>
      <c r="W113" s="50" t="n">
        <f aca="false">IFERROR(VLOOKUP(V113,AnsFTBL,2,FALSE()),0)</f>
        <v>0</v>
      </c>
      <c r="X113" s="231" t="n">
        <f aca="false">IFERROR(AVERAGE(W113,W117),0)</f>
        <v>0</v>
      </c>
      <c r="Y113" s="280"/>
    </row>
    <row r="114" customFormat="false" ht="13.5" hidden="false" customHeight="false" outlineLevel="0" collapsed="false">
      <c r="A114" s="44"/>
      <c r="B114" s="224"/>
      <c r="C114" s="225"/>
      <c r="D114" s="70"/>
      <c r="E114" s="70"/>
      <c r="F114" s="70"/>
      <c r="G114" s="70"/>
      <c r="H114" s="70"/>
      <c r="I114" s="280"/>
      <c r="J114" s="70"/>
      <c r="K114" s="70"/>
      <c r="L114" s="70"/>
      <c r="M114" s="280"/>
      <c r="N114" s="70"/>
      <c r="O114" s="70"/>
      <c r="P114" s="70"/>
      <c r="Q114" s="280"/>
      <c r="R114" s="70"/>
      <c r="S114" s="70"/>
      <c r="T114" s="70"/>
      <c r="U114" s="280"/>
      <c r="V114" s="70"/>
      <c r="W114" s="70"/>
      <c r="X114" s="70"/>
      <c r="Y114" s="280"/>
    </row>
    <row r="115" customFormat="false" ht="13.5" hidden="false" customHeight="false" outlineLevel="0" collapsed="false">
      <c r="A115" s="44" t="str">
        <f aca="false">Interview!A168</f>
        <v>V-RT-B-1-1</v>
      </c>
      <c r="B115" s="278" t="str">
        <f aca="false">VLOOKUP(A115,'imp-questions'!A:H,4,FALSE())</f>
        <v>Misuse/Abuse Testing</v>
      </c>
      <c r="C115" s="279" t="n">
        <f aca="false">VLOOKUP(A115,'imp-questions'!A:H,5,FALSE())</f>
        <v>1</v>
      </c>
      <c r="D115" s="47" t="str">
        <f aca="false">VLOOKUP(A115,'imp-questions'!A:H,6,FALSE())</f>
        <v>Do you test applications using randomization or fuzzing techniques?</v>
      </c>
      <c r="E115" s="48" t="str">
        <f aca="false">CHAR(65+VLOOKUP(A115,'imp-questions'!A:H,8,FALSE()))</f>
        <v>F</v>
      </c>
      <c r="F115" s="226" t="n">
        <f aca="false">Interview!F168</f>
        <v>0</v>
      </c>
      <c r="G115" s="50" t="n">
        <f aca="false">IFERROR(VLOOKUP(F115,AnsFTBL,2,FALSE()),0)</f>
        <v>0</v>
      </c>
      <c r="H115" s="233"/>
      <c r="I115" s="280"/>
      <c r="J115" s="227" t="n">
        <f aca="false">F115</f>
        <v>0</v>
      </c>
      <c r="K115" s="50" t="n">
        <f aca="false">IFERROR(VLOOKUP(J115,AnsFTBL,2,FALSE()),0)</f>
        <v>0</v>
      </c>
      <c r="L115" s="233"/>
      <c r="M115" s="280"/>
      <c r="N115" s="227" t="n">
        <f aca="false">J115</f>
        <v>0</v>
      </c>
      <c r="O115" s="50" t="n">
        <f aca="false">IFERROR(VLOOKUP(N115,AnsFTBL,2,FALSE()),0)</f>
        <v>0</v>
      </c>
      <c r="P115" s="233"/>
      <c r="Q115" s="280"/>
      <c r="R115" s="227" t="n">
        <f aca="false">N115</f>
        <v>0</v>
      </c>
      <c r="S115" s="50" t="n">
        <f aca="false">IFERROR(VLOOKUP(R115,AnsFTBL,2,FALSE()),0)</f>
        <v>0</v>
      </c>
      <c r="T115" s="233"/>
      <c r="U115" s="280"/>
      <c r="V115" s="227" t="n">
        <f aca="false">R115</f>
        <v>0</v>
      </c>
      <c r="W115" s="50" t="n">
        <f aca="false">IFERROR(VLOOKUP(V115,AnsFTBL,2,FALSE()),0)</f>
        <v>0</v>
      </c>
      <c r="X115" s="233"/>
      <c r="Y115" s="280"/>
    </row>
    <row r="116" customFormat="false" ht="23.85" hidden="false" customHeight="false" outlineLevel="0" collapsed="false">
      <c r="A116" s="44" t="str">
        <f aca="false">Interview!A170</f>
        <v>V-RT-B-2-1</v>
      </c>
      <c r="B116" s="278"/>
      <c r="C116" s="279" t="n">
        <f aca="false">VLOOKUP(A116,'imp-questions'!A:H,5,FALSE())</f>
        <v>2</v>
      </c>
      <c r="D116" s="47" t="str">
        <f aca="false">VLOOKUP(A116,'imp-questions'!A:H,6,FALSE())</f>
        <v>Do you create abuse cases from functional requirements and use them to drive security tests?</v>
      </c>
      <c r="E116" s="48" t="str">
        <f aca="false">CHAR(65+VLOOKUP(A116,'imp-questions'!A:H,8,FALSE()))</f>
        <v>H</v>
      </c>
      <c r="F116" s="252" t="n">
        <f aca="false">Interview!F170</f>
        <v>0</v>
      </c>
      <c r="G116" s="50" t="n">
        <f aca="false">IFERROR(VLOOKUP(F116,AnsHTBL,2,FALSE()),0)</f>
        <v>0</v>
      </c>
      <c r="H116" s="233"/>
      <c r="I116" s="280"/>
      <c r="J116" s="227" t="n">
        <f aca="false">F116</f>
        <v>0</v>
      </c>
      <c r="K116" s="50" t="n">
        <f aca="false">IFERROR(VLOOKUP(J116,AnsHTBL,2,FALSE()),0)</f>
        <v>0</v>
      </c>
      <c r="L116" s="233"/>
      <c r="M116" s="280"/>
      <c r="N116" s="227" t="n">
        <f aca="false">J116</f>
        <v>0</v>
      </c>
      <c r="O116" s="50" t="n">
        <f aca="false">IFERROR(VLOOKUP(N116,AnsHTBL,2,FALSE()),0)</f>
        <v>0</v>
      </c>
      <c r="P116" s="233"/>
      <c r="Q116" s="280"/>
      <c r="R116" s="227" t="n">
        <f aca="false">N116</f>
        <v>0</v>
      </c>
      <c r="S116" s="50" t="n">
        <f aca="false">IFERROR(VLOOKUP(R116,AnsHTBL,2,FALSE()),0)</f>
        <v>0</v>
      </c>
      <c r="T116" s="233"/>
      <c r="U116" s="280"/>
      <c r="V116" s="227" t="n">
        <f aca="false">R116</f>
        <v>0</v>
      </c>
      <c r="W116" s="50" t="n">
        <f aca="false">IFERROR(VLOOKUP(V116,AnsHTBL,2,FALSE()),0)</f>
        <v>0</v>
      </c>
      <c r="X116" s="233"/>
      <c r="Y116" s="280"/>
    </row>
    <row r="117" customFormat="false" ht="13.5" hidden="false" customHeight="false" outlineLevel="0" collapsed="false">
      <c r="A117" s="44" t="str">
        <f aca="false">Interview!A172</f>
        <v>V-RT-B-3-1</v>
      </c>
      <c r="B117" s="278"/>
      <c r="C117" s="279" t="n">
        <f aca="false">VLOOKUP(A117,'imp-questions'!A:H,5,FALSE())</f>
        <v>3</v>
      </c>
      <c r="D117" s="222" t="str">
        <f aca="false">VLOOKUP(A117,'imp-questions'!A:H,6,FALSE())</f>
        <v>Do you perform denial of service and security stress testing?</v>
      </c>
      <c r="E117" s="48" t="str">
        <f aca="false">CHAR(65+VLOOKUP(A117,'imp-questions'!A:H,8,FALSE()))</f>
        <v>H</v>
      </c>
      <c r="F117" s="252" t="n">
        <f aca="false">Interview!F172</f>
        <v>0</v>
      </c>
      <c r="G117" s="50" t="n">
        <f aca="false">IFERROR(VLOOKUP(F117,AnsHTBL,2,FALSE()),0)</f>
        <v>0</v>
      </c>
      <c r="H117" s="233"/>
      <c r="I117" s="280"/>
      <c r="J117" s="227" t="n">
        <f aca="false">F117</f>
        <v>0</v>
      </c>
      <c r="K117" s="50" t="n">
        <f aca="false">IFERROR(VLOOKUP(J117,AnsHTBL,2,FALSE()),0)</f>
        <v>0</v>
      </c>
      <c r="L117" s="233"/>
      <c r="M117" s="280"/>
      <c r="N117" s="227" t="n">
        <f aca="false">J117</f>
        <v>0</v>
      </c>
      <c r="O117" s="50" t="n">
        <f aca="false">IFERROR(VLOOKUP(N117,AnsHTBL,2,FALSE()),0)</f>
        <v>0</v>
      </c>
      <c r="P117" s="233"/>
      <c r="Q117" s="280"/>
      <c r="R117" s="227" t="n">
        <f aca="false">N117</f>
        <v>0</v>
      </c>
      <c r="S117" s="50" t="n">
        <f aca="false">IFERROR(VLOOKUP(R117,AnsHTBL,2,FALSE()),0)</f>
        <v>0</v>
      </c>
      <c r="T117" s="233"/>
      <c r="U117" s="280"/>
      <c r="V117" s="227" t="n">
        <f aca="false">R117</f>
        <v>0</v>
      </c>
      <c r="W117" s="50" t="n">
        <f aca="false">IFERROR(VLOOKUP(V117,AnsHTBL,2,FALSE()),0)</f>
        <v>0</v>
      </c>
      <c r="X117" s="233"/>
      <c r="Y117" s="280"/>
    </row>
    <row r="118" customFormat="false" ht="13.5" hidden="false" customHeight="false" outlineLevel="0" collapsed="false">
      <c r="A118" s="44"/>
      <c r="B118" s="224"/>
      <c r="C118" s="225"/>
      <c r="D118" s="132"/>
      <c r="E118" s="132"/>
      <c r="F118" s="132"/>
      <c r="G118" s="132"/>
      <c r="H118" s="132"/>
      <c r="I118" s="70"/>
      <c r="J118" s="132"/>
      <c r="K118" s="132"/>
      <c r="L118" s="132"/>
      <c r="M118" s="70"/>
      <c r="N118" s="132"/>
      <c r="O118" s="132"/>
      <c r="P118" s="132"/>
      <c r="Q118" s="70"/>
      <c r="R118" s="132"/>
      <c r="S118" s="132"/>
      <c r="T118" s="132"/>
      <c r="U118" s="70"/>
      <c r="V118" s="132"/>
      <c r="W118" s="132"/>
      <c r="X118" s="132"/>
      <c r="Y118" s="70"/>
    </row>
    <row r="119" customFormat="false" ht="13.8" hidden="false" customHeight="false" outlineLevel="0" collapsed="false">
      <c r="A119" s="44"/>
      <c r="B119" s="274" t="s">
        <v>38</v>
      </c>
      <c r="C119" s="275" t="s">
        <v>39</v>
      </c>
      <c r="D119" s="284" t="s">
        <v>123</v>
      </c>
      <c r="E119" s="138"/>
      <c r="F119" s="137" t="s">
        <v>41</v>
      </c>
      <c r="G119" s="137"/>
      <c r="H119" s="139"/>
      <c r="I119" s="277" t="s">
        <v>43</v>
      </c>
      <c r="J119" s="137" t="s">
        <v>41</v>
      </c>
      <c r="K119" s="137"/>
      <c r="L119" s="139"/>
      <c r="M119" s="277" t="s">
        <v>43</v>
      </c>
      <c r="N119" s="137" t="s">
        <v>41</v>
      </c>
      <c r="O119" s="137"/>
      <c r="P119" s="139"/>
      <c r="Q119" s="277" t="s">
        <v>43</v>
      </c>
      <c r="R119" s="137" t="s">
        <v>41</v>
      </c>
      <c r="S119" s="137"/>
      <c r="T119" s="139"/>
      <c r="U119" s="277" t="s">
        <v>43</v>
      </c>
      <c r="V119" s="137" t="s">
        <v>41</v>
      </c>
      <c r="W119" s="137"/>
      <c r="X119" s="139"/>
      <c r="Y119" s="277" t="s">
        <v>43</v>
      </c>
    </row>
    <row r="120" customFormat="false" ht="13.5" hidden="false" customHeight="false" outlineLevel="0" collapsed="false">
      <c r="A120" s="44" t="str">
        <f aca="false">Interview!A175</f>
        <v>V-ST-A-1-1</v>
      </c>
      <c r="B120" s="278" t="str">
        <f aca="false">VLOOKUP(A120,'imp-questions'!A:H,4,FALSE())</f>
        <v>Scalable Baseline</v>
      </c>
      <c r="C120" s="279" t="n">
        <f aca="false">VLOOKUP(A120,'imp-questions'!A:H,5,FALSE())</f>
        <v>1</v>
      </c>
      <c r="D120" s="47" t="str">
        <f aca="false">VLOOKUP(A120,'imp-questions'!A:H,6,FALSE())</f>
        <v>Do you scan applications with automated security testing tools?</v>
      </c>
      <c r="E120" s="48" t="str">
        <f aca="false">CHAR(65+VLOOKUP(A120,'imp-questions'!A:H,8,FALSE()))</f>
        <v>C</v>
      </c>
      <c r="F120" s="226" t="n">
        <f aca="false">Interview!F175</f>
        <v>0</v>
      </c>
      <c r="G120" s="50" t="n">
        <f aca="false">IFERROR(VLOOKUP(F120,AnsCTBL,2,FALSE()),0)</f>
        <v>0</v>
      </c>
      <c r="H120" s="231" t="n">
        <f aca="false">IFERROR(AVERAGE(G120,G124),0)</f>
        <v>0</v>
      </c>
      <c r="I120" s="285" t="n">
        <f aca="false">SUM(H120:H122)</f>
        <v>0</v>
      </c>
      <c r="J120" s="227" t="n">
        <f aca="false">F120</f>
        <v>0</v>
      </c>
      <c r="K120" s="50" t="n">
        <f aca="false">IFERROR(VLOOKUP(J120,AnsCTBL,2,FALSE()),0)</f>
        <v>0</v>
      </c>
      <c r="L120" s="231" t="n">
        <f aca="false">IFERROR(AVERAGE(K120,K124),0)</f>
        <v>0</v>
      </c>
      <c r="M120" s="285" t="n">
        <f aca="false">SUM(L120:L122)</f>
        <v>0</v>
      </c>
      <c r="N120" s="227" t="n">
        <f aca="false">J120</f>
        <v>0</v>
      </c>
      <c r="O120" s="50" t="n">
        <f aca="false">IFERROR(VLOOKUP(N120,AnsCTBL,2,FALSE()),0)</f>
        <v>0</v>
      </c>
      <c r="P120" s="231" t="n">
        <f aca="false">IFERROR(AVERAGE(O120,O124),0)</f>
        <v>0</v>
      </c>
      <c r="Q120" s="285" t="n">
        <f aca="false">SUM(P120:P122)</f>
        <v>0</v>
      </c>
      <c r="R120" s="227" t="n">
        <f aca="false">N120</f>
        <v>0</v>
      </c>
      <c r="S120" s="50" t="n">
        <f aca="false">IFERROR(VLOOKUP(R120,AnsCTBL,2,FALSE()),0)</f>
        <v>0</v>
      </c>
      <c r="T120" s="231" t="n">
        <f aca="false">IFERROR(AVERAGE(S120,S124),0)</f>
        <v>0</v>
      </c>
      <c r="U120" s="285" t="n">
        <f aca="false">SUM(T120:T122)</f>
        <v>0</v>
      </c>
      <c r="V120" s="227" t="n">
        <f aca="false">R120</f>
        <v>0</v>
      </c>
      <c r="W120" s="50" t="n">
        <f aca="false">IFERROR(VLOOKUP(V120,AnsCTBL,2,FALSE()),0)</f>
        <v>0</v>
      </c>
      <c r="X120" s="231" t="n">
        <f aca="false">IFERROR(AVERAGE(W120,W124),0)</f>
        <v>0</v>
      </c>
      <c r="Y120" s="285" t="n">
        <f aca="false">SUM(X120:X122)</f>
        <v>0</v>
      </c>
    </row>
    <row r="121" customFormat="false" ht="23.85" hidden="false" customHeight="false" outlineLevel="0" collapsed="false">
      <c r="A121" s="44" t="str">
        <f aca="false">Interview!A177</f>
        <v>V-ST-A-2-1</v>
      </c>
      <c r="B121" s="278"/>
      <c r="C121" s="279" t="n">
        <f aca="false">VLOOKUP(A121,'imp-questions'!A:H,5,FALSE())</f>
        <v>2</v>
      </c>
      <c r="D121" s="47" t="str">
        <f aca="false">VLOOKUP(A121,'imp-questions'!A:H,6,FALSE())</f>
        <v>Do you customize the automated security tools to your applications and technology stacks?</v>
      </c>
      <c r="E121" s="48" t="str">
        <f aca="false">CHAR(65+VLOOKUP(A121,'imp-questions'!A:H,8,FALSE()))</f>
        <v>C</v>
      </c>
      <c r="F121" s="252" t="n">
        <f aca="false">Interview!F177</f>
        <v>0</v>
      </c>
      <c r="G121" s="50" t="n">
        <f aca="false">IFERROR(VLOOKUP(F121,AnsCTBL,2,FALSE()),0)</f>
        <v>0</v>
      </c>
      <c r="H121" s="231" t="n">
        <f aca="false">IFERROR(AVERAGE(G121,G125),0)</f>
        <v>0</v>
      </c>
      <c r="I121" s="285"/>
      <c r="J121" s="227" t="n">
        <f aca="false">F121</f>
        <v>0</v>
      </c>
      <c r="K121" s="50" t="n">
        <f aca="false">IFERROR(VLOOKUP(J121,AnsCTBL,2,FALSE()),0)</f>
        <v>0</v>
      </c>
      <c r="L121" s="231" t="n">
        <f aca="false">IFERROR(AVERAGE(K121,K125),0)</f>
        <v>0</v>
      </c>
      <c r="M121" s="285"/>
      <c r="N121" s="227" t="n">
        <f aca="false">J121</f>
        <v>0</v>
      </c>
      <c r="O121" s="50" t="n">
        <f aca="false">IFERROR(VLOOKUP(N121,AnsCTBL,2,FALSE()),0)</f>
        <v>0</v>
      </c>
      <c r="P121" s="231" t="n">
        <f aca="false">IFERROR(AVERAGE(O121,O125),0)</f>
        <v>0</v>
      </c>
      <c r="Q121" s="285"/>
      <c r="R121" s="227" t="n">
        <f aca="false">N121</f>
        <v>0</v>
      </c>
      <c r="S121" s="50" t="n">
        <f aca="false">IFERROR(VLOOKUP(R121,AnsCTBL,2,FALSE()),0)</f>
        <v>0</v>
      </c>
      <c r="T121" s="231" t="n">
        <f aca="false">IFERROR(AVERAGE(S121,S125),0)</f>
        <v>0</v>
      </c>
      <c r="U121" s="285"/>
      <c r="V121" s="227" t="n">
        <f aca="false">R121</f>
        <v>0</v>
      </c>
      <c r="W121" s="50" t="n">
        <f aca="false">IFERROR(VLOOKUP(V121,AnsCTBL,2,FALSE()),0)</f>
        <v>0</v>
      </c>
      <c r="X121" s="231" t="n">
        <f aca="false">IFERROR(AVERAGE(W121,W125),0)</f>
        <v>0</v>
      </c>
      <c r="Y121" s="285"/>
    </row>
    <row r="122" customFormat="false" ht="23.85" hidden="false" customHeight="false" outlineLevel="0" collapsed="false">
      <c r="A122" s="44" t="str">
        <f aca="false">Interview!A179</f>
        <v>V-ST-A-3-1</v>
      </c>
      <c r="B122" s="278"/>
      <c r="C122" s="279" t="n">
        <f aca="false">VLOOKUP(A122,'imp-questions'!A:H,5,FALSE())</f>
        <v>3</v>
      </c>
      <c r="D122" s="222" t="str">
        <f aca="false">VLOOKUP(A122,'imp-questions'!A:H,6,FALSE())</f>
        <v>Do you integrate automated security testing into the build and deploy process?</v>
      </c>
      <c r="E122" s="48" t="str">
        <f aca="false">CHAR(65+VLOOKUP(A122,'imp-questions'!A:H,8,FALSE()))</f>
        <v>X</v>
      </c>
      <c r="F122" s="252" t="n">
        <f aca="false">Interview!F179</f>
        <v>0</v>
      </c>
      <c r="G122" s="50" t="n">
        <f aca="false">IFERROR(VLOOKUP(F122,AnsXTBL,2,FALSE()),0)</f>
        <v>0</v>
      </c>
      <c r="H122" s="231" t="n">
        <f aca="false">IFERROR(AVERAGE(G122,G126),0)</f>
        <v>0</v>
      </c>
      <c r="I122" s="285"/>
      <c r="J122" s="227" t="n">
        <f aca="false">F122</f>
        <v>0</v>
      </c>
      <c r="K122" s="50" t="n">
        <f aca="false">IFERROR(VLOOKUP(J122,AnsXTBL,2,FALSE()),0)</f>
        <v>0</v>
      </c>
      <c r="L122" s="231" t="n">
        <f aca="false">IFERROR(AVERAGE(K122,K126),0)</f>
        <v>0</v>
      </c>
      <c r="M122" s="285"/>
      <c r="N122" s="227" t="n">
        <f aca="false">J122</f>
        <v>0</v>
      </c>
      <c r="O122" s="50" t="n">
        <f aca="false">IFERROR(VLOOKUP(N122,AnsXTBL,2,FALSE()),0)</f>
        <v>0</v>
      </c>
      <c r="P122" s="231" t="n">
        <f aca="false">IFERROR(AVERAGE(O122,O126),0)</f>
        <v>0</v>
      </c>
      <c r="Q122" s="285"/>
      <c r="R122" s="227" t="n">
        <f aca="false">N122</f>
        <v>0</v>
      </c>
      <c r="S122" s="50" t="n">
        <f aca="false">IFERROR(VLOOKUP(R122,AnsXTBL,2,FALSE()),0)</f>
        <v>0</v>
      </c>
      <c r="T122" s="231" t="n">
        <f aca="false">IFERROR(AVERAGE(S122,S126),0)</f>
        <v>0</v>
      </c>
      <c r="U122" s="285"/>
      <c r="V122" s="227" t="n">
        <f aca="false">R122</f>
        <v>0</v>
      </c>
      <c r="W122" s="50" t="n">
        <f aca="false">IFERROR(VLOOKUP(V122,AnsXTBL,2,FALSE()),0)</f>
        <v>0</v>
      </c>
      <c r="X122" s="231" t="n">
        <f aca="false">IFERROR(AVERAGE(W122,W126),0)</f>
        <v>0</v>
      </c>
      <c r="Y122" s="285"/>
    </row>
    <row r="123" customFormat="false" ht="13.5" hidden="false" customHeight="false" outlineLevel="0" collapsed="false">
      <c r="A123" s="44"/>
      <c r="B123" s="224"/>
      <c r="C123" s="225"/>
      <c r="D123" s="70"/>
      <c r="E123" s="70"/>
      <c r="F123" s="70"/>
      <c r="G123" s="70"/>
      <c r="H123" s="70"/>
      <c r="I123" s="285"/>
      <c r="J123" s="70"/>
      <c r="K123" s="70"/>
      <c r="L123" s="70"/>
      <c r="M123" s="285"/>
      <c r="N123" s="70"/>
      <c r="O123" s="70"/>
      <c r="P123" s="70"/>
      <c r="Q123" s="285"/>
      <c r="R123" s="70"/>
      <c r="S123" s="70"/>
      <c r="T123" s="70"/>
      <c r="U123" s="285"/>
      <c r="V123" s="70"/>
      <c r="W123" s="70"/>
      <c r="X123" s="70"/>
      <c r="Y123" s="285"/>
    </row>
    <row r="124" customFormat="false" ht="23.85" hidden="false" customHeight="false" outlineLevel="0" collapsed="false">
      <c r="A124" s="44" t="str">
        <f aca="false">Interview!A182</f>
        <v>V-ST-B-1-1</v>
      </c>
      <c r="B124" s="278" t="str">
        <f aca="false">VLOOKUP(A124,'imp-questions'!A:H,4,FALSE())</f>
        <v>Deep Understanding</v>
      </c>
      <c r="C124" s="279" t="n">
        <f aca="false">VLOOKUP(A124,'imp-questions'!A:H,5,FALSE())</f>
        <v>1</v>
      </c>
      <c r="D124" s="47" t="str">
        <f aca="false">VLOOKUP(A124,'imp-questions'!A:H,6,FALSE())</f>
        <v>Do you manually review the security quality of selected high-risk components?</v>
      </c>
      <c r="E124" s="48" t="str">
        <f aca="false">CHAR(65+VLOOKUP(A124,'imp-questions'!A:H,8,FALSE()))</f>
        <v>M</v>
      </c>
      <c r="F124" s="226" t="n">
        <f aca="false">Interview!F182</f>
        <v>0</v>
      </c>
      <c r="G124" s="50" t="n">
        <f aca="false">IFERROR(VLOOKUP(F124,AnsMTBL,2,FALSE()),0)</f>
        <v>0</v>
      </c>
      <c r="H124" s="233"/>
      <c r="I124" s="285"/>
      <c r="J124" s="227" t="n">
        <f aca="false">F124</f>
        <v>0</v>
      </c>
      <c r="K124" s="50" t="n">
        <f aca="false">IFERROR(VLOOKUP(J124,AnsMTBL,2,FALSE()),0)</f>
        <v>0</v>
      </c>
      <c r="L124" s="233"/>
      <c r="M124" s="285"/>
      <c r="N124" s="227" t="n">
        <f aca="false">J124</f>
        <v>0</v>
      </c>
      <c r="O124" s="50" t="n">
        <f aca="false">IFERROR(VLOOKUP(N124,AnsMTBL,2,FALSE()),0)</f>
        <v>0</v>
      </c>
      <c r="P124" s="233"/>
      <c r="Q124" s="285"/>
      <c r="R124" s="227" t="n">
        <f aca="false">N124</f>
        <v>0</v>
      </c>
      <c r="S124" s="50" t="n">
        <f aca="false">IFERROR(VLOOKUP(R124,AnsMTBL,2,FALSE()),0)</f>
        <v>0</v>
      </c>
      <c r="T124" s="233"/>
      <c r="U124" s="285"/>
      <c r="V124" s="227" t="n">
        <f aca="false">R124</f>
        <v>0</v>
      </c>
      <c r="W124" s="50" t="n">
        <f aca="false">IFERROR(VLOOKUP(V124,AnsMTBL,2,FALSE()),0)</f>
        <v>0</v>
      </c>
      <c r="X124" s="233"/>
      <c r="Y124" s="285"/>
    </row>
    <row r="125" customFormat="false" ht="13.5" hidden="false" customHeight="false" outlineLevel="0" collapsed="false">
      <c r="A125" s="44" t="str">
        <f aca="false">Interview!A184</f>
        <v>V-ST-B-2-1</v>
      </c>
      <c r="B125" s="278"/>
      <c r="C125" s="279" t="n">
        <f aca="false">VLOOKUP(A125,'imp-questions'!A:H,5,FALSE())</f>
        <v>2</v>
      </c>
      <c r="D125" s="47" t="str">
        <f aca="false">VLOOKUP(A125,'imp-questions'!A:H,6,FALSE())</f>
        <v>Do you perform penetration testing for your applications at regular intervals?</v>
      </c>
      <c r="E125" s="48" t="str">
        <f aca="false">CHAR(65+VLOOKUP(A125,'imp-questions'!A:H,8,FALSE()))</f>
        <v>F</v>
      </c>
      <c r="F125" s="252" t="n">
        <f aca="false">Interview!F184</f>
        <v>0</v>
      </c>
      <c r="G125" s="50" t="n">
        <f aca="false">IFERROR(VLOOKUP(F125,AnsFTBL,2,FALSE()),0)</f>
        <v>0</v>
      </c>
      <c r="H125" s="233"/>
      <c r="I125" s="285"/>
      <c r="J125" s="227" t="n">
        <f aca="false">F125</f>
        <v>0</v>
      </c>
      <c r="K125" s="50" t="n">
        <f aca="false">IFERROR(VLOOKUP(J125,AnsFTBL,2,FALSE()),0)</f>
        <v>0</v>
      </c>
      <c r="L125" s="233"/>
      <c r="M125" s="285"/>
      <c r="N125" s="227" t="n">
        <f aca="false">J125</f>
        <v>0</v>
      </c>
      <c r="O125" s="50" t="n">
        <f aca="false">IFERROR(VLOOKUP(N125,AnsFTBL,2,FALSE()),0)</f>
        <v>0</v>
      </c>
      <c r="P125" s="233"/>
      <c r="Q125" s="285"/>
      <c r="R125" s="227" t="n">
        <f aca="false">N125</f>
        <v>0</v>
      </c>
      <c r="S125" s="50" t="n">
        <f aca="false">IFERROR(VLOOKUP(R125,AnsFTBL,2,FALSE()),0)</f>
        <v>0</v>
      </c>
      <c r="T125" s="233"/>
      <c r="U125" s="285"/>
      <c r="V125" s="227" t="n">
        <f aca="false">R125</f>
        <v>0</v>
      </c>
      <c r="W125" s="50" t="n">
        <f aca="false">IFERROR(VLOOKUP(V125,AnsFTBL,2,FALSE()),0)</f>
        <v>0</v>
      </c>
      <c r="X125" s="233"/>
      <c r="Y125" s="285"/>
    </row>
    <row r="126" customFormat="false" ht="23.85" hidden="false" customHeight="false" outlineLevel="0" collapsed="false">
      <c r="A126" s="44" t="str">
        <f aca="false">Interview!A186</f>
        <v>V-ST-B-3-1</v>
      </c>
      <c r="B126" s="278"/>
      <c r="C126" s="279" t="n">
        <f aca="false">VLOOKUP(A126,'imp-questions'!A:H,5,FALSE())</f>
        <v>3</v>
      </c>
      <c r="D126" s="222" t="str">
        <f aca="false">VLOOKUP(A126,'imp-questions'!A:H,6,FALSE())</f>
        <v>Do you use the results of security testing to improve the development lifecycle?</v>
      </c>
      <c r="E126" s="48" t="str">
        <f aca="false">CHAR(65+VLOOKUP(A126,'imp-questions'!A:H,8,FALSE()))</f>
        <v>T</v>
      </c>
      <c r="F126" s="252" t="n">
        <f aca="false">Interview!F186</f>
        <v>0</v>
      </c>
      <c r="G126" s="50" t="n">
        <f aca="false">IFERROR(VLOOKUP(F126,AnsTTBL,2,FALSE()),0)</f>
        <v>0</v>
      </c>
      <c r="H126" s="233"/>
      <c r="I126" s="285"/>
      <c r="J126" s="227" t="n">
        <f aca="false">F126</f>
        <v>0</v>
      </c>
      <c r="K126" s="50" t="n">
        <f aca="false">IFERROR(VLOOKUP(J126,AnsTTBL,2,FALSE()),0)</f>
        <v>0</v>
      </c>
      <c r="L126" s="233"/>
      <c r="M126" s="285"/>
      <c r="N126" s="227" t="n">
        <f aca="false">J126</f>
        <v>0</v>
      </c>
      <c r="O126" s="50" t="n">
        <f aca="false">IFERROR(VLOOKUP(N126,AnsTTBL,2,FALSE()),0)</f>
        <v>0</v>
      </c>
      <c r="P126" s="233"/>
      <c r="Q126" s="285"/>
      <c r="R126" s="227" t="n">
        <f aca="false">N126</f>
        <v>0</v>
      </c>
      <c r="S126" s="50" t="n">
        <f aca="false">IFERROR(VLOOKUP(R126,AnsTTBL,2,FALSE()),0)</f>
        <v>0</v>
      </c>
      <c r="T126" s="233"/>
      <c r="U126" s="285"/>
      <c r="V126" s="227" t="n">
        <f aca="false">R126</f>
        <v>0</v>
      </c>
      <c r="W126" s="50" t="n">
        <f aca="false">IFERROR(VLOOKUP(V126,AnsTTBL,2,FALSE()),0)</f>
        <v>0</v>
      </c>
      <c r="X126" s="233"/>
      <c r="Y126" s="285"/>
    </row>
    <row r="127" customFormat="false" ht="13.5" hidden="false" customHeight="false" outlineLevel="0" collapsed="false">
      <c r="A127" s="44"/>
      <c r="B127" s="224"/>
      <c r="C127" s="225"/>
      <c r="D127" s="70"/>
      <c r="E127" s="70"/>
      <c r="F127" s="70"/>
      <c r="G127" s="70"/>
      <c r="H127" s="70"/>
      <c r="I127" s="70"/>
      <c r="J127" s="70"/>
      <c r="K127" s="70"/>
      <c r="L127" s="70"/>
      <c r="M127" s="70"/>
      <c r="N127" s="70"/>
      <c r="O127" s="70"/>
      <c r="P127" s="70"/>
      <c r="Q127" s="70"/>
      <c r="R127" s="70"/>
      <c r="S127" s="70"/>
      <c r="T127" s="70"/>
      <c r="U127" s="70"/>
      <c r="V127" s="70"/>
      <c r="W127" s="70"/>
      <c r="X127" s="70"/>
      <c r="Y127" s="70"/>
    </row>
    <row r="128" customFormat="false" ht="13.5" hidden="false" customHeight="true" outlineLevel="0" collapsed="false">
      <c r="A128" s="44"/>
      <c r="B128" s="286" t="s">
        <v>130</v>
      </c>
      <c r="C128" s="286"/>
      <c r="D128" s="287"/>
      <c r="E128" s="287"/>
      <c r="F128" s="288" t="s">
        <v>157</v>
      </c>
      <c r="G128" s="288"/>
      <c r="H128" s="288"/>
      <c r="I128" s="288"/>
      <c r="J128" s="289" t="s">
        <v>163</v>
      </c>
      <c r="K128" s="289"/>
      <c r="L128" s="289"/>
      <c r="M128" s="289"/>
      <c r="N128" s="289" t="s">
        <v>164</v>
      </c>
      <c r="O128" s="289"/>
      <c r="P128" s="289"/>
      <c r="Q128" s="289"/>
      <c r="R128" s="289" t="s">
        <v>165</v>
      </c>
      <c r="S128" s="289"/>
      <c r="T128" s="289"/>
      <c r="U128" s="289"/>
      <c r="V128" s="289" t="s">
        <v>166</v>
      </c>
      <c r="W128" s="289"/>
      <c r="X128" s="289"/>
      <c r="Y128" s="289"/>
    </row>
    <row r="129" customFormat="false" ht="13.8" hidden="false" customHeight="false" outlineLevel="0" collapsed="false">
      <c r="A129" s="44"/>
      <c r="B129" s="290" t="s">
        <v>38</v>
      </c>
      <c r="C129" s="291" t="s">
        <v>39</v>
      </c>
      <c r="D129" s="292" t="s">
        <v>131</v>
      </c>
      <c r="E129" s="143"/>
      <c r="F129" s="142" t="s">
        <v>41</v>
      </c>
      <c r="G129" s="142"/>
      <c r="H129" s="144"/>
      <c r="I129" s="293" t="s">
        <v>43</v>
      </c>
      <c r="J129" s="142" t="s">
        <v>41</v>
      </c>
      <c r="K129" s="142"/>
      <c r="L129" s="144"/>
      <c r="M129" s="293" t="s">
        <v>43</v>
      </c>
      <c r="N129" s="142" t="s">
        <v>41</v>
      </c>
      <c r="O129" s="142"/>
      <c r="P129" s="144"/>
      <c r="Q129" s="293" t="s">
        <v>43</v>
      </c>
      <c r="R129" s="142" t="s">
        <v>41</v>
      </c>
      <c r="S129" s="142"/>
      <c r="T129" s="144"/>
      <c r="U129" s="293" t="s">
        <v>43</v>
      </c>
      <c r="V129" s="142" t="s">
        <v>41</v>
      </c>
      <c r="W129" s="142"/>
      <c r="X129" s="144"/>
      <c r="Y129" s="293" t="s">
        <v>43</v>
      </c>
    </row>
    <row r="130" customFormat="false" ht="13.5" hidden="false" customHeight="false" outlineLevel="0" collapsed="false">
      <c r="A130" s="44" t="str">
        <f aca="false">Interview!A190</f>
        <v>O-IM-A-1-1</v>
      </c>
      <c r="B130" s="294" t="str">
        <f aca="false">VLOOKUP(A130,'imp-questions'!A:H,4,FALSE())</f>
        <v>Incident Detection</v>
      </c>
      <c r="C130" s="295" t="n">
        <f aca="false">VLOOKUP(A130,'imp-questions'!A:H,5,FALSE())</f>
        <v>1</v>
      </c>
      <c r="D130" s="47" t="str">
        <f aca="false">VLOOKUP(A130,'imp-questions'!A:H,6,FALSE())</f>
        <v>Do you analyze log data for security incidents periodically?</v>
      </c>
      <c r="E130" s="48" t="str">
        <f aca="false">CHAR(65+VLOOKUP(A130,'imp-questions'!A:H,8,FALSE()))</f>
        <v>F</v>
      </c>
      <c r="F130" s="226" t="n">
        <f aca="false">Interview!F190</f>
        <v>0</v>
      </c>
      <c r="G130" s="50" t="n">
        <f aca="false">IFERROR(VLOOKUP(F130,AnsFTBL,2,FALSE()),0)</f>
        <v>0</v>
      </c>
      <c r="H130" s="231" t="n">
        <f aca="false">IFERROR(AVERAGE(G130,G134),0)</f>
        <v>0</v>
      </c>
      <c r="I130" s="296" t="n">
        <f aca="false">SUM(H130:H132)</f>
        <v>0</v>
      </c>
      <c r="J130" s="227" t="n">
        <f aca="false">F130</f>
        <v>0</v>
      </c>
      <c r="K130" s="50" t="n">
        <f aca="false">IFERROR(VLOOKUP(J130,AnsFTBL,2,FALSE()),0)</f>
        <v>0</v>
      </c>
      <c r="L130" s="231" t="n">
        <f aca="false">IFERROR(AVERAGE(K130,K134),0)</f>
        <v>0</v>
      </c>
      <c r="M130" s="296" t="n">
        <f aca="false">SUM(L130:L132)</f>
        <v>0</v>
      </c>
      <c r="N130" s="227" t="n">
        <f aca="false">J130</f>
        <v>0</v>
      </c>
      <c r="O130" s="50" t="n">
        <f aca="false">IFERROR(VLOOKUP(N130,AnsFTBL,2,FALSE()),0)</f>
        <v>0</v>
      </c>
      <c r="P130" s="231" t="n">
        <f aca="false">IFERROR(AVERAGE(O130,O134),0)</f>
        <v>0</v>
      </c>
      <c r="Q130" s="296" t="n">
        <f aca="false">SUM(P130:P132)</f>
        <v>0</v>
      </c>
      <c r="R130" s="227" t="n">
        <f aca="false">N130</f>
        <v>0</v>
      </c>
      <c r="S130" s="50" t="n">
        <f aca="false">IFERROR(VLOOKUP(R130,AnsFTBL,2,FALSE()),0)</f>
        <v>0</v>
      </c>
      <c r="T130" s="231" t="n">
        <f aca="false">IFERROR(AVERAGE(S130,S134),0)</f>
        <v>0</v>
      </c>
      <c r="U130" s="296" t="n">
        <f aca="false">SUM(T130:T132)</f>
        <v>0</v>
      </c>
      <c r="V130" s="227" t="n">
        <f aca="false">R130</f>
        <v>0</v>
      </c>
      <c r="W130" s="50" t="n">
        <f aca="false">IFERROR(VLOOKUP(V130,AnsFTBL,2,FALSE()),0)</f>
        <v>0</v>
      </c>
      <c r="X130" s="231" t="n">
        <f aca="false">IFERROR(AVERAGE(W130,W134),0)</f>
        <v>0</v>
      </c>
      <c r="Y130" s="296" t="n">
        <f aca="false">SUM(X130:X132)</f>
        <v>0</v>
      </c>
    </row>
    <row r="131" customFormat="false" ht="13.5" hidden="false" customHeight="false" outlineLevel="0" collapsed="false">
      <c r="A131" s="44" t="str">
        <f aca="false">Interview!A192</f>
        <v>O-IM-A-2-1</v>
      </c>
      <c r="B131" s="294"/>
      <c r="C131" s="295" t="n">
        <f aca="false">VLOOKUP(A131,'imp-questions'!A:H,5,FALSE())</f>
        <v>2</v>
      </c>
      <c r="D131" s="47" t="str">
        <f aca="false">VLOOKUP(A131,'imp-questions'!A:H,6,FALSE())</f>
        <v>Do you follow a documented process for incident detection?</v>
      </c>
      <c r="E131" s="48" t="str">
        <f aca="false">CHAR(65+VLOOKUP(A131,'imp-questions'!A:H,8,FALSE()))</f>
        <v>F</v>
      </c>
      <c r="F131" s="226" t="n">
        <f aca="false">Interview!F192</f>
        <v>0</v>
      </c>
      <c r="G131" s="50" t="n">
        <f aca="false">IFERROR(VLOOKUP(F131,AnsFTBL,2,FALSE()),0)</f>
        <v>0</v>
      </c>
      <c r="H131" s="231" t="n">
        <f aca="false">IFERROR(AVERAGE(G131,G135),0)</f>
        <v>0</v>
      </c>
      <c r="I131" s="296"/>
      <c r="J131" s="227" t="n">
        <f aca="false">F131</f>
        <v>0</v>
      </c>
      <c r="K131" s="50" t="n">
        <f aca="false">IFERROR(VLOOKUP(J131,AnsFTBL,2,FALSE()),0)</f>
        <v>0</v>
      </c>
      <c r="L131" s="231" t="n">
        <f aca="false">IFERROR(AVERAGE(K131,K135),0)</f>
        <v>0</v>
      </c>
      <c r="M131" s="296"/>
      <c r="N131" s="227" t="n">
        <f aca="false">J131</f>
        <v>0</v>
      </c>
      <c r="O131" s="50" t="n">
        <f aca="false">IFERROR(VLOOKUP(N131,AnsFTBL,2,FALSE()),0)</f>
        <v>0</v>
      </c>
      <c r="P131" s="231" t="n">
        <f aca="false">IFERROR(AVERAGE(O131,O135),0)</f>
        <v>0</v>
      </c>
      <c r="Q131" s="296"/>
      <c r="R131" s="227" t="n">
        <f aca="false">N131</f>
        <v>0</v>
      </c>
      <c r="S131" s="50" t="n">
        <f aca="false">IFERROR(VLOOKUP(R131,AnsFTBL,2,FALSE()),0)</f>
        <v>0</v>
      </c>
      <c r="T131" s="231" t="n">
        <f aca="false">IFERROR(AVERAGE(S131,S135),0)</f>
        <v>0</v>
      </c>
      <c r="U131" s="296"/>
      <c r="V131" s="227" t="n">
        <f aca="false">R131</f>
        <v>0</v>
      </c>
      <c r="W131" s="50" t="n">
        <f aca="false">IFERROR(VLOOKUP(V131,AnsFTBL,2,FALSE()),0)</f>
        <v>0</v>
      </c>
      <c r="X131" s="231" t="n">
        <f aca="false">IFERROR(AVERAGE(W131,W135),0)</f>
        <v>0</v>
      </c>
      <c r="Y131" s="296"/>
    </row>
    <row r="132" customFormat="false" ht="13.5" hidden="false" customHeight="false" outlineLevel="0" collapsed="false">
      <c r="A132" s="44" t="str">
        <f aca="false">Interview!A194</f>
        <v>O-IM-A-3-1</v>
      </c>
      <c r="B132" s="294"/>
      <c r="C132" s="295" t="n">
        <f aca="false">VLOOKUP(A132,'imp-questions'!A:H,5,FALSE())</f>
        <v>3</v>
      </c>
      <c r="D132" s="222" t="str">
        <f aca="false">VLOOKUP(A132,'imp-questions'!A:H,6,FALSE())</f>
        <v>Do you review and update the incident detection process regularly?</v>
      </c>
      <c r="E132" s="48" t="str">
        <f aca="false">CHAR(65+VLOOKUP(A132,'imp-questions'!A:H,8,FALSE()))</f>
        <v>F</v>
      </c>
      <c r="F132" s="226" t="n">
        <f aca="false">Interview!F194</f>
        <v>0</v>
      </c>
      <c r="G132" s="50" t="n">
        <f aca="false">IFERROR(VLOOKUP(F132,AnsFTBL,2,FALSE()),0)</f>
        <v>0</v>
      </c>
      <c r="H132" s="231" t="n">
        <f aca="false">IFERROR(AVERAGE(G132,G136),0)</f>
        <v>0</v>
      </c>
      <c r="I132" s="296"/>
      <c r="J132" s="227" t="n">
        <f aca="false">F132</f>
        <v>0</v>
      </c>
      <c r="K132" s="50" t="n">
        <f aca="false">IFERROR(VLOOKUP(J132,AnsFTBL,2,FALSE()),0)</f>
        <v>0</v>
      </c>
      <c r="L132" s="231" t="n">
        <f aca="false">IFERROR(AVERAGE(K132,K136),0)</f>
        <v>0</v>
      </c>
      <c r="M132" s="296"/>
      <c r="N132" s="227" t="n">
        <f aca="false">J132</f>
        <v>0</v>
      </c>
      <c r="O132" s="50" t="n">
        <f aca="false">IFERROR(VLOOKUP(N132,AnsFTBL,2,FALSE()),0)</f>
        <v>0</v>
      </c>
      <c r="P132" s="231" t="n">
        <f aca="false">IFERROR(AVERAGE(O132,O136),0)</f>
        <v>0</v>
      </c>
      <c r="Q132" s="296"/>
      <c r="R132" s="227" t="n">
        <f aca="false">N132</f>
        <v>0</v>
      </c>
      <c r="S132" s="50" t="n">
        <f aca="false">IFERROR(VLOOKUP(R132,AnsFTBL,2,FALSE()),0)</f>
        <v>0</v>
      </c>
      <c r="T132" s="231" t="n">
        <f aca="false">IFERROR(AVERAGE(S132,S136),0)</f>
        <v>0</v>
      </c>
      <c r="U132" s="296"/>
      <c r="V132" s="227" t="n">
        <f aca="false">R132</f>
        <v>0</v>
      </c>
      <c r="W132" s="50" t="n">
        <f aca="false">IFERROR(VLOOKUP(V132,AnsFTBL,2,FALSE()),0)</f>
        <v>0</v>
      </c>
      <c r="X132" s="231" t="n">
        <f aca="false">IFERROR(AVERAGE(W132,W136),0)</f>
        <v>0</v>
      </c>
      <c r="Y132" s="296"/>
    </row>
    <row r="133" customFormat="false" ht="13.5" hidden="false" customHeight="false" outlineLevel="0" collapsed="false">
      <c r="A133" s="44"/>
      <c r="B133" s="253"/>
      <c r="C133" s="225"/>
      <c r="D133" s="70"/>
      <c r="E133" s="70"/>
      <c r="F133" s="70"/>
      <c r="G133" s="70"/>
      <c r="H133" s="70"/>
      <c r="I133" s="296"/>
      <c r="J133" s="70"/>
      <c r="K133" s="70"/>
      <c r="L133" s="70"/>
      <c r="M133" s="296"/>
      <c r="N133" s="70"/>
      <c r="O133" s="70"/>
      <c r="P133" s="70"/>
      <c r="Q133" s="296"/>
      <c r="R133" s="70"/>
      <c r="S133" s="70"/>
      <c r="T133" s="70"/>
      <c r="U133" s="296"/>
      <c r="V133" s="70"/>
      <c r="W133" s="70"/>
      <c r="X133" s="70"/>
      <c r="Y133" s="296"/>
    </row>
    <row r="134" customFormat="false" ht="13.5" hidden="false" customHeight="false" outlineLevel="0" collapsed="false">
      <c r="A134" s="44" t="str">
        <f aca="false">Interview!A197</f>
        <v>O-IM-B-1-1</v>
      </c>
      <c r="B134" s="297" t="str">
        <f aca="false">VLOOKUP(A134,'imp-questions'!A:H,4,FALSE())</f>
        <v>Incident Response</v>
      </c>
      <c r="C134" s="295" t="n">
        <f aca="false">VLOOKUP(A134,'imp-questions'!A:H,5,FALSE())</f>
        <v>1</v>
      </c>
      <c r="D134" s="47" t="str">
        <f aca="false">VLOOKUP(A134,'imp-questions'!A:H,6,FALSE())</f>
        <v>Do you respond to detected incidents?</v>
      </c>
      <c r="E134" s="48" t="str">
        <f aca="false">CHAR(65+VLOOKUP(A134,'imp-questions'!A:H,8,FALSE()))</f>
        <v>R</v>
      </c>
      <c r="F134" s="226" t="n">
        <f aca="false">Interview!F197</f>
        <v>0</v>
      </c>
      <c r="G134" s="50" t="n">
        <f aca="false">IFERROR(VLOOKUP(F134,AnsRTBL,2,FALSE()),0)</f>
        <v>0</v>
      </c>
      <c r="H134" s="233"/>
      <c r="I134" s="296"/>
      <c r="J134" s="227" t="n">
        <f aca="false">F134</f>
        <v>0</v>
      </c>
      <c r="K134" s="50" t="n">
        <f aca="false">IFERROR(VLOOKUP(J134,AnsRTBL,2,FALSE()),0)</f>
        <v>0</v>
      </c>
      <c r="L134" s="233"/>
      <c r="M134" s="296"/>
      <c r="N134" s="227" t="n">
        <f aca="false">J134</f>
        <v>0</v>
      </c>
      <c r="O134" s="50" t="n">
        <f aca="false">IFERROR(VLOOKUP(N134,AnsRTBL,2,FALSE()),0)</f>
        <v>0</v>
      </c>
      <c r="P134" s="233"/>
      <c r="Q134" s="296"/>
      <c r="R134" s="227" t="n">
        <f aca="false">N134</f>
        <v>0</v>
      </c>
      <c r="S134" s="50" t="n">
        <f aca="false">IFERROR(VLOOKUP(R134,AnsRTBL,2,FALSE()),0)</f>
        <v>0</v>
      </c>
      <c r="T134" s="233"/>
      <c r="U134" s="296"/>
      <c r="V134" s="227" t="n">
        <f aca="false">R134</f>
        <v>0</v>
      </c>
      <c r="W134" s="50" t="n">
        <f aca="false">IFERROR(VLOOKUP(V134,AnsRTBL,2,FALSE()),0)</f>
        <v>0</v>
      </c>
      <c r="X134" s="233"/>
      <c r="Y134" s="296"/>
    </row>
    <row r="135" customFormat="false" ht="13.5" hidden="false" customHeight="false" outlineLevel="0" collapsed="false">
      <c r="A135" s="44" t="str">
        <f aca="false">Interview!A199</f>
        <v>O-IM-B-2-1</v>
      </c>
      <c r="B135" s="297"/>
      <c r="C135" s="295" t="n">
        <f aca="false">VLOOKUP(A135,'imp-questions'!A:H,5,FALSE())</f>
        <v>2</v>
      </c>
      <c r="D135" s="47" t="str">
        <f aca="false">VLOOKUP(A135,'imp-questions'!A:H,6,FALSE())</f>
        <v>Do you use a repeatable process for incident handling?</v>
      </c>
      <c r="E135" s="48" t="str">
        <f aca="false">CHAR(65+VLOOKUP(A135,'imp-questions'!A:H,8,FALSE()))</f>
        <v>Q</v>
      </c>
      <c r="F135" s="252" t="n">
        <f aca="false">Interview!F199</f>
        <v>0</v>
      </c>
      <c r="G135" s="50" t="n">
        <f aca="false">IFERROR(VLOOKUP(F135,AnsQTBL,2,FALSE()),0)</f>
        <v>0</v>
      </c>
      <c r="H135" s="233"/>
      <c r="I135" s="296"/>
      <c r="J135" s="227" t="n">
        <f aca="false">F135</f>
        <v>0</v>
      </c>
      <c r="K135" s="50" t="n">
        <f aca="false">IFERROR(VLOOKUP(J135,AnsQTBL,2,FALSE()),0)</f>
        <v>0</v>
      </c>
      <c r="L135" s="233"/>
      <c r="M135" s="296"/>
      <c r="N135" s="227" t="n">
        <f aca="false">J135</f>
        <v>0</v>
      </c>
      <c r="O135" s="50" t="n">
        <f aca="false">IFERROR(VLOOKUP(N135,AnsQTBL,2,FALSE()),0)</f>
        <v>0</v>
      </c>
      <c r="P135" s="233"/>
      <c r="Q135" s="296"/>
      <c r="R135" s="227" t="n">
        <f aca="false">N135</f>
        <v>0</v>
      </c>
      <c r="S135" s="50" t="n">
        <f aca="false">IFERROR(VLOOKUP(R135,AnsQTBL,2,FALSE()),0)</f>
        <v>0</v>
      </c>
      <c r="T135" s="233"/>
      <c r="U135" s="296"/>
      <c r="V135" s="227" t="n">
        <f aca="false">R135</f>
        <v>0</v>
      </c>
      <c r="W135" s="50" t="n">
        <f aca="false">IFERROR(VLOOKUP(V135,AnsQTBL,2,FALSE()),0)</f>
        <v>0</v>
      </c>
      <c r="X135" s="233"/>
      <c r="Y135" s="296"/>
    </row>
    <row r="136" customFormat="false" ht="13.5" hidden="false" customHeight="false" outlineLevel="0" collapsed="false">
      <c r="A136" s="44" t="str">
        <f aca="false">Interview!A201</f>
        <v>O-IM-B-3-1</v>
      </c>
      <c r="B136" s="297"/>
      <c r="C136" s="295" t="n">
        <f aca="false">VLOOKUP(A136,'imp-questions'!A:H,5,FALSE())</f>
        <v>3</v>
      </c>
      <c r="D136" s="222" t="str">
        <f aca="false">VLOOKUP(A136,'imp-questions'!A:H,6,FALSE())</f>
        <v>Do you have a dedicated incident response team available?</v>
      </c>
      <c r="E136" s="48" t="str">
        <f aca="false">CHAR(65+VLOOKUP(A136,'imp-questions'!A:H,8,FALSE()))</f>
        <v>H</v>
      </c>
      <c r="F136" s="252" t="n">
        <f aca="false">Interview!F201</f>
        <v>0</v>
      </c>
      <c r="G136" s="50" t="n">
        <f aca="false">IFERROR(VLOOKUP(F136,AnsHTBL,2,FALSE()),0)</f>
        <v>0</v>
      </c>
      <c r="H136" s="233"/>
      <c r="I136" s="296"/>
      <c r="J136" s="227" t="n">
        <f aca="false">F136</f>
        <v>0</v>
      </c>
      <c r="K136" s="50" t="n">
        <f aca="false">IFERROR(VLOOKUP(J136,AnsHTBL,2,FALSE()),0)</f>
        <v>0</v>
      </c>
      <c r="L136" s="233"/>
      <c r="M136" s="296"/>
      <c r="N136" s="227" t="n">
        <f aca="false">J136</f>
        <v>0</v>
      </c>
      <c r="O136" s="50" t="n">
        <f aca="false">IFERROR(VLOOKUP(N136,AnsHTBL,2,FALSE()),0)</f>
        <v>0</v>
      </c>
      <c r="P136" s="233"/>
      <c r="Q136" s="296"/>
      <c r="R136" s="227" t="n">
        <f aca="false">N136</f>
        <v>0</v>
      </c>
      <c r="S136" s="50" t="n">
        <f aca="false">IFERROR(VLOOKUP(R136,AnsHTBL,2,FALSE()),0)</f>
        <v>0</v>
      </c>
      <c r="T136" s="233"/>
      <c r="U136" s="296"/>
      <c r="V136" s="227" t="n">
        <f aca="false">R136</f>
        <v>0</v>
      </c>
      <c r="W136" s="50" t="n">
        <f aca="false">IFERROR(VLOOKUP(V136,AnsHTBL,2,FALSE()),0)</f>
        <v>0</v>
      </c>
      <c r="X136" s="233"/>
      <c r="Y136" s="296"/>
    </row>
    <row r="137" customFormat="false" ht="13.5" hidden="false" customHeight="false" outlineLevel="0" collapsed="false">
      <c r="A137" s="44"/>
      <c r="B137" s="253"/>
      <c r="C137" s="225"/>
      <c r="D137" s="70"/>
      <c r="E137" s="70"/>
      <c r="F137" s="70"/>
      <c r="G137" s="70"/>
      <c r="H137" s="70"/>
      <c r="I137" s="70"/>
      <c r="J137" s="70"/>
      <c r="K137" s="70"/>
      <c r="L137" s="70"/>
      <c r="M137" s="70"/>
      <c r="N137" s="70"/>
      <c r="O137" s="70"/>
      <c r="P137" s="70"/>
      <c r="Q137" s="70"/>
      <c r="R137" s="70"/>
      <c r="S137" s="70"/>
      <c r="T137" s="70"/>
      <c r="U137" s="70"/>
      <c r="V137" s="70"/>
      <c r="W137" s="70"/>
      <c r="X137" s="70"/>
      <c r="Y137" s="70"/>
    </row>
    <row r="138" customFormat="false" ht="13.8" hidden="false" customHeight="false" outlineLevel="0" collapsed="false">
      <c r="A138" s="44"/>
      <c r="B138" s="290" t="s">
        <v>38</v>
      </c>
      <c r="C138" s="291" t="s">
        <v>39</v>
      </c>
      <c r="D138" s="298" t="s">
        <v>138</v>
      </c>
      <c r="E138" s="152"/>
      <c r="F138" s="151" t="s">
        <v>41</v>
      </c>
      <c r="G138" s="151"/>
      <c r="H138" s="153"/>
      <c r="I138" s="293" t="s">
        <v>43</v>
      </c>
      <c r="J138" s="151" t="s">
        <v>41</v>
      </c>
      <c r="K138" s="151"/>
      <c r="L138" s="153"/>
      <c r="M138" s="293" t="s">
        <v>43</v>
      </c>
      <c r="N138" s="151" t="s">
        <v>41</v>
      </c>
      <c r="O138" s="151"/>
      <c r="P138" s="153"/>
      <c r="Q138" s="293" t="s">
        <v>43</v>
      </c>
      <c r="R138" s="151" t="s">
        <v>41</v>
      </c>
      <c r="S138" s="151"/>
      <c r="T138" s="153"/>
      <c r="U138" s="293" t="s">
        <v>43</v>
      </c>
      <c r="V138" s="151" t="s">
        <v>41</v>
      </c>
      <c r="W138" s="151"/>
      <c r="X138" s="153"/>
      <c r="Y138" s="293" t="s">
        <v>43</v>
      </c>
    </row>
    <row r="139" customFormat="false" ht="13.5" hidden="false" customHeight="false" outlineLevel="0" collapsed="false">
      <c r="A139" s="44" t="str">
        <f aca="false">Interview!A204</f>
        <v>O-EM-A-1-1</v>
      </c>
      <c r="B139" s="294" t="str">
        <f aca="false">VLOOKUP(A139,'imp-questions'!A:H,4,FALSE())</f>
        <v>Configuration Hardening</v>
      </c>
      <c r="C139" s="295" t="n">
        <f aca="false">VLOOKUP(A139,'imp-questions'!A:H,5,FALSE())</f>
        <v>1</v>
      </c>
      <c r="D139" s="47" t="str">
        <f aca="false">VLOOKUP(A139,'imp-questions'!A:H,6,FALSE())</f>
        <v>Do you harden configurations for key components of your technology stacks?</v>
      </c>
      <c r="E139" s="48" t="str">
        <f aca="false">CHAR(65+VLOOKUP(A139,'imp-questions'!A:H,8,FALSE()))</f>
        <v>M</v>
      </c>
      <c r="F139" s="226" t="n">
        <f aca="false">Interview!F204</f>
        <v>0</v>
      </c>
      <c r="G139" s="50" t="n">
        <f aca="false">IFERROR(VLOOKUP(F139,AnsMTBL,2,FALSE()),0)</f>
        <v>0</v>
      </c>
      <c r="H139" s="231" t="n">
        <f aca="false">IFERROR(AVERAGE(G139,G143),0)</f>
        <v>0</v>
      </c>
      <c r="I139" s="296" t="n">
        <f aca="false">SUM(H139:H141)</f>
        <v>0</v>
      </c>
      <c r="J139" s="227" t="n">
        <f aca="false">F139</f>
        <v>0</v>
      </c>
      <c r="K139" s="50" t="n">
        <f aca="false">IFERROR(VLOOKUP(J139,AnsMTBL,2,FALSE()),0)</f>
        <v>0</v>
      </c>
      <c r="L139" s="231" t="n">
        <f aca="false">IFERROR(AVERAGE(K139,K143),0)</f>
        <v>0</v>
      </c>
      <c r="M139" s="296" t="n">
        <f aca="false">SUM(L139:L141)</f>
        <v>0</v>
      </c>
      <c r="N139" s="227" t="n">
        <f aca="false">J139</f>
        <v>0</v>
      </c>
      <c r="O139" s="50" t="n">
        <f aca="false">IFERROR(VLOOKUP(N139,AnsMTBL,2,FALSE()),0)</f>
        <v>0</v>
      </c>
      <c r="P139" s="231" t="n">
        <f aca="false">IFERROR(AVERAGE(O139,O143),0)</f>
        <v>0</v>
      </c>
      <c r="Q139" s="296" t="n">
        <f aca="false">SUM(P139:P141)</f>
        <v>0</v>
      </c>
      <c r="R139" s="227" t="n">
        <f aca="false">N139</f>
        <v>0</v>
      </c>
      <c r="S139" s="50" t="n">
        <f aca="false">IFERROR(VLOOKUP(R139,AnsMTBL,2,FALSE()),0)</f>
        <v>0</v>
      </c>
      <c r="T139" s="231" t="n">
        <f aca="false">IFERROR(AVERAGE(S139,S143),0)</f>
        <v>0</v>
      </c>
      <c r="U139" s="296" t="n">
        <f aca="false">SUM(T139:T141)</f>
        <v>0</v>
      </c>
      <c r="V139" s="227" t="n">
        <f aca="false">R139</f>
        <v>0</v>
      </c>
      <c r="W139" s="50" t="n">
        <f aca="false">IFERROR(VLOOKUP(V139,AnsMTBL,2,FALSE()),0)</f>
        <v>0</v>
      </c>
      <c r="X139" s="231" t="n">
        <f aca="false">IFERROR(AVERAGE(W139,W143),0)</f>
        <v>0</v>
      </c>
      <c r="Y139" s="296" t="n">
        <f aca="false">SUM(X139:X141)</f>
        <v>0</v>
      </c>
    </row>
    <row r="140" customFormat="false" ht="13.5" hidden="false" customHeight="false" outlineLevel="0" collapsed="false">
      <c r="A140" s="44" t="str">
        <f aca="false">Interview!A206</f>
        <v>O-EM-A-2-1</v>
      </c>
      <c r="B140" s="294"/>
      <c r="C140" s="295" t="n">
        <f aca="false">VLOOKUP(A140,'imp-questions'!A:H,5,FALSE())</f>
        <v>2</v>
      </c>
      <c r="D140" s="47" t="str">
        <f aca="false">VLOOKUP(A140,'imp-questions'!A:H,6,FALSE())</f>
        <v>Do you have hardening baselines for your components?</v>
      </c>
      <c r="E140" s="48" t="str">
        <f aca="false">CHAR(65+VLOOKUP(A140,'imp-questions'!A:H,8,FALSE()))</f>
        <v>M</v>
      </c>
      <c r="F140" s="299" t="n">
        <f aca="false">Interview!F206</f>
        <v>0</v>
      </c>
      <c r="G140" s="50" t="n">
        <f aca="false">IFERROR(VLOOKUP(F140,AnsMTBL,2,FALSE()),0)</f>
        <v>0</v>
      </c>
      <c r="H140" s="231" t="n">
        <f aca="false">IFERROR(AVERAGE(G140,G144),0)</f>
        <v>0</v>
      </c>
      <c r="I140" s="296"/>
      <c r="J140" s="227" t="n">
        <f aca="false">F140</f>
        <v>0</v>
      </c>
      <c r="K140" s="50" t="n">
        <f aca="false">IFERROR(VLOOKUP(J140,AnsMTBL,2,FALSE()),0)</f>
        <v>0</v>
      </c>
      <c r="L140" s="231" t="n">
        <f aca="false">IFERROR(AVERAGE(K140,K144),0)</f>
        <v>0</v>
      </c>
      <c r="M140" s="296"/>
      <c r="N140" s="227" t="n">
        <f aca="false">J140</f>
        <v>0</v>
      </c>
      <c r="O140" s="50" t="n">
        <f aca="false">IFERROR(VLOOKUP(N140,AnsMTBL,2,FALSE()),0)</f>
        <v>0</v>
      </c>
      <c r="P140" s="231" t="n">
        <f aca="false">IFERROR(AVERAGE(O140,O144),0)</f>
        <v>0</v>
      </c>
      <c r="Q140" s="296"/>
      <c r="R140" s="227" t="n">
        <f aca="false">N140</f>
        <v>0</v>
      </c>
      <c r="S140" s="50" t="n">
        <f aca="false">IFERROR(VLOOKUP(R140,AnsMTBL,2,FALSE()),0)</f>
        <v>0</v>
      </c>
      <c r="T140" s="231" t="n">
        <f aca="false">IFERROR(AVERAGE(S140,S144),0)</f>
        <v>0</v>
      </c>
      <c r="U140" s="296"/>
      <c r="V140" s="227" t="n">
        <f aca="false">R140</f>
        <v>0</v>
      </c>
      <c r="W140" s="50" t="n">
        <f aca="false">IFERROR(VLOOKUP(V140,AnsMTBL,2,FALSE()),0)</f>
        <v>0</v>
      </c>
      <c r="X140" s="231" t="n">
        <f aca="false">IFERROR(AVERAGE(W140,W144),0)</f>
        <v>0</v>
      </c>
      <c r="Y140" s="296"/>
    </row>
    <row r="141" customFormat="false" ht="13.5" hidden="false" customHeight="false" outlineLevel="0" collapsed="false">
      <c r="A141" s="44" t="str">
        <f aca="false">Interview!A208</f>
        <v>O-EM-A-3-1</v>
      </c>
      <c r="B141" s="294"/>
      <c r="C141" s="295" t="n">
        <f aca="false">VLOOKUP(A141,'imp-questions'!A:H,5,FALSE())</f>
        <v>3</v>
      </c>
      <c r="D141" s="222" t="str">
        <f aca="false">VLOOKUP(A141,'imp-questions'!A:H,6,FALSE())</f>
        <v>Do you monitor and enforce conformity with hardening baselines?</v>
      </c>
      <c r="E141" s="48" t="str">
        <f aca="false">CHAR(65+VLOOKUP(A141,'imp-questions'!A:H,8,FALSE()))</f>
        <v>M</v>
      </c>
      <c r="F141" s="226" t="n">
        <f aca="false">Interview!F208</f>
        <v>0</v>
      </c>
      <c r="G141" s="50" t="n">
        <f aca="false">IFERROR(VLOOKUP(F141,AnsMTBL,2,FALSE()),0)</f>
        <v>0</v>
      </c>
      <c r="H141" s="231" t="n">
        <f aca="false">IFERROR(AVERAGE(G141,G145),0)</f>
        <v>0</v>
      </c>
      <c r="I141" s="296"/>
      <c r="J141" s="227" t="n">
        <f aca="false">F141</f>
        <v>0</v>
      </c>
      <c r="K141" s="50" t="n">
        <f aca="false">IFERROR(VLOOKUP(J141,AnsMTBL,2,FALSE()),0)</f>
        <v>0</v>
      </c>
      <c r="L141" s="231" t="n">
        <f aca="false">IFERROR(AVERAGE(K141,K145),0)</f>
        <v>0</v>
      </c>
      <c r="M141" s="296"/>
      <c r="N141" s="227" t="n">
        <f aca="false">J141</f>
        <v>0</v>
      </c>
      <c r="O141" s="50" t="n">
        <f aca="false">IFERROR(VLOOKUP(N141,AnsMTBL,2,FALSE()),0)</f>
        <v>0</v>
      </c>
      <c r="P141" s="231" t="n">
        <f aca="false">IFERROR(AVERAGE(O141,O145),0)</f>
        <v>0</v>
      </c>
      <c r="Q141" s="296"/>
      <c r="R141" s="227" t="n">
        <f aca="false">N141</f>
        <v>0</v>
      </c>
      <c r="S141" s="50" t="n">
        <f aca="false">IFERROR(VLOOKUP(R141,AnsMTBL,2,FALSE()),0)</f>
        <v>0</v>
      </c>
      <c r="T141" s="231" t="n">
        <f aca="false">IFERROR(AVERAGE(S141,S145),0)</f>
        <v>0</v>
      </c>
      <c r="U141" s="296"/>
      <c r="V141" s="227" t="n">
        <f aca="false">R141</f>
        <v>0</v>
      </c>
      <c r="W141" s="50" t="n">
        <f aca="false">IFERROR(VLOOKUP(V141,AnsMTBL,2,FALSE()),0)</f>
        <v>0</v>
      </c>
      <c r="X141" s="231" t="n">
        <f aca="false">IFERROR(AVERAGE(W141,W145),0)</f>
        <v>0</v>
      </c>
      <c r="Y141" s="296"/>
    </row>
    <row r="142" customFormat="false" ht="13.5" hidden="false" customHeight="false" outlineLevel="0" collapsed="false">
      <c r="A142" s="44"/>
      <c r="B142" s="253"/>
      <c r="C142" s="225"/>
      <c r="D142" s="70"/>
      <c r="E142" s="70"/>
      <c r="F142" s="70"/>
      <c r="G142" s="70"/>
      <c r="H142" s="70"/>
      <c r="I142" s="296"/>
      <c r="J142" s="70"/>
      <c r="K142" s="70"/>
      <c r="L142" s="70"/>
      <c r="M142" s="296"/>
      <c r="N142" s="70"/>
      <c r="O142" s="70"/>
      <c r="P142" s="70"/>
      <c r="Q142" s="296"/>
      <c r="R142" s="70"/>
      <c r="S142" s="70"/>
      <c r="T142" s="70"/>
      <c r="U142" s="296"/>
      <c r="V142" s="70"/>
      <c r="W142" s="70"/>
      <c r="X142" s="70"/>
      <c r="Y142" s="296"/>
    </row>
    <row r="143" customFormat="false" ht="13.5" hidden="false" customHeight="false" outlineLevel="0" collapsed="false">
      <c r="A143" s="44" t="str">
        <f aca="false">Interview!A211</f>
        <v>O-EM-B-1-1</v>
      </c>
      <c r="B143" s="297" t="str">
        <f aca="false">VLOOKUP(A143,'imp-questions'!A:H,4,FALSE())</f>
        <v>Patching and Updating</v>
      </c>
      <c r="C143" s="295" t="n">
        <f aca="false">VLOOKUP(A143,'imp-questions'!A:H,5,FALSE())</f>
        <v>1</v>
      </c>
      <c r="D143" s="47" t="str">
        <f aca="false">VLOOKUP(A143,'imp-questions'!A:H,6,FALSE())</f>
        <v>Do you identify and patch vulnerable components?</v>
      </c>
      <c r="E143" s="48" t="str">
        <f aca="false">CHAR(65+VLOOKUP(A143,'imp-questions'!A:H,8,FALSE()))</f>
        <v>M</v>
      </c>
      <c r="F143" s="226" t="n">
        <f aca="false">Interview!F211</f>
        <v>0</v>
      </c>
      <c r="G143" s="50" t="n">
        <f aca="false">IFERROR(VLOOKUP(F143,AnsMTBL,2,FALSE()),0)</f>
        <v>0</v>
      </c>
      <c r="H143" s="233"/>
      <c r="I143" s="296"/>
      <c r="J143" s="227" t="n">
        <f aca="false">F143</f>
        <v>0</v>
      </c>
      <c r="K143" s="50" t="n">
        <f aca="false">IFERROR(VLOOKUP(J143,AnsMTBL,2,FALSE()),0)</f>
        <v>0</v>
      </c>
      <c r="L143" s="233"/>
      <c r="M143" s="296"/>
      <c r="N143" s="227" t="n">
        <f aca="false">J143</f>
        <v>0</v>
      </c>
      <c r="O143" s="50" t="n">
        <f aca="false">IFERROR(VLOOKUP(N143,AnsMTBL,2,FALSE()),0)</f>
        <v>0</v>
      </c>
      <c r="P143" s="233"/>
      <c r="Q143" s="296"/>
      <c r="R143" s="227" t="n">
        <f aca="false">N143</f>
        <v>0</v>
      </c>
      <c r="S143" s="50" t="n">
        <f aca="false">IFERROR(VLOOKUP(R143,AnsMTBL,2,FALSE()),0)</f>
        <v>0</v>
      </c>
      <c r="T143" s="233"/>
      <c r="U143" s="296"/>
      <c r="V143" s="227" t="n">
        <f aca="false">R143</f>
        <v>0</v>
      </c>
      <c r="W143" s="50" t="n">
        <f aca="false">IFERROR(VLOOKUP(V143,AnsMTBL,2,FALSE()),0)</f>
        <v>0</v>
      </c>
      <c r="X143" s="233"/>
      <c r="Y143" s="296"/>
    </row>
    <row r="144" customFormat="false" ht="23.85" hidden="false" customHeight="false" outlineLevel="0" collapsed="false">
      <c r="A144" s="44" t="str">
        <f aca="false">Interview!A213</f>
        <v>O-EM-B-2-1</v>
      </c>
      <c r="B144" s="297"/>
      <c r="C144" s="295" t="n">
        <f aca="false">VLOOKUP(A144,'imp-questions'!A:H,5,FALSE())</f>
        <v>2</v>
      </c>
      <c r="D144" s="47" t="str">
        <f aca="false">VLOOKUP(A144,'imp-questions'!A:H,6,FALSE())</f>
        <v>Do you follow an established process for updating components of your technology stacks?</v>
      </c>
      <c r="E144" s="48" t="str">
        <f aca="false">CHAR(65+VLOOKUP(A144,'imp-questions'!A:H,8,FALSE()))</f>
        <v>M</v>
      </c>
      <c r="F144" s="252" t="n">
        <f aca="false">Interview!F213</f>
        <v>0</v>
      </c>
      <c r="G144" s="50" t="n">
        <f aca="false">IFERROR(VLOOKUP(F144,AnsMTBL,2,FALSE()),0)</f>
        <v>0</v>
      </c>
      <c r="H144" s="233"/>
      <c r="I144" s="296"/>
      <c r="J144" s="227" t="n">
        <f aca="false">F144</f>
        <v>0</v>
      </c>
      <c r="K144" s="50" t="n">
        <f aca="false">IFERROR(VLOOKUP(J144,AnsMTBL,2,FALSE()),0)</f>
        <v>0</v>
      </c>
      <c r="L144" s="233"/>
      <c r="M144" s="296"/>
      <c r="N144" s="227" t="n">
        <f aca="false">J144</f>
        <v>0</v>
      </c>
      <c r="O144" s="50" t="n">
        <f aca="false">IFERROR(VLOOKUP(N144,AnsMTBL,2,FALSE()),0)</f>
        <v>0</v>
      </c>
      <c r="P144" s="233"/>
      <c r="Q144" s="296"/>
      <c r="R144" s="227" t="n">
        <f aca="false">N144</f>
        <v>0</v>
      </c>
      <c r="S144" s="50" t="n">
        <f aca="false">IFERROR(VLOOKUP(R144,AnsMTBL,2,FALSE()),0)</f>
        <v>0</v>
      </c>
      <c r="T144" s="233"/>
      <c r="U144" s="296"/>
      <c r="V144" s="227" t="n">
        <f aca="false">R144</f>
        <v>0</v>
      </c>
      <c r="W144" s="50" t="n">
        <f aca="false">IFERROR(VLOOKUP(V144,AnsMTBL,2,FALSE()),0)</f>
        <v>0</v>
      </c>
      <c r="X144" s="233"/>
      <c r="Y144" s="296"/>
    </row>
    <row r="145" customFormat="false" ht="13.5" hidden="false" customHeight="false" outlineLevel="0" collapsed="false">
      <c r="A145" s="44" t="str">
        <f aca="false">Interview!A215</f>
        <v>O-EM-B-3-1</v>
      </c>
      <c r="B145" s="297"/>
      <c r="C145" s="295" t="n">
        <f aca="false">VLOOKUP(A145,'imp-questions'!A:H,5,FALSE())</f>
        <v>3</v>
      </c>
      <c r="D145" s="222" t="str">
        <f aca="false">VLOOKUP(A145,'imp-questions'!A:H,6,FALSE())</f>
        <v>Do you regularly evaluate components and review patch level status?</v>
      </c>
      <c r="E145" s="48" t="str">
        <f aca="false">CHAR(65+VLOOKUP(A145,'imp-questions'!A:H,8,FALSE()))</f>
        <v>M</v>
      </c>
      <c r="F145" s="252" t="n">
        <f aca="false">Interview!F215</f>
        <v>0</v>
      </c>
      <c r="G145" s="50" t="n">
        <f aca="false">IFERROR(VLOOKUP(F145,AnsMTBL,2,FALSE()),0)</f>
        <v>0</v>
      </c>
      <c r="H145" s="233"/>
      <c r="I145" s="296"/>
      <c r="J145" s="227" t="n">
        <f aca="false">F145</f>
        <v>0</v>
      </c>
      <c r="K145" s="50" t="n">
        <f aca="false">IFERROR(VLOOKUP(J145,AnsMTBL,2,FALSE()),0)</f>
        <v>0</v>
      </c>
      <c r="L145" s="233"/>
      <c r="M145" s="296"/>
      <c r="N145" s="227" t="n">
        <f aca="false">J145</f>
        <v>0</v>
      </c>
      <c r="O145" s="50" t="n">
        <f aca="false">IFERROR(VLOOKUP(N145,AnsMTBL,2,FALSE()),0)</f>
        <v>0</v>
      </c>
      <c r="P145" s="233"/>
      <c r="Q145" s="296"/>
      <c r="R145" s="227" t="n">
        <f aca="false">N145</f>
        <v>0</v>
      </c>
      <c r="S145" s="50" t="n">
        <f aca="false">IFERROR(VLOOKUP(R145,AnsMTBL,2,FALSE()),0)</f>
        <v>0</v>
      </c>
      <c r="T145" s="233"/>
      <c r="U145" s="296"/>
      <c r="V145" s="227" t="n">
        <f aca="false">R145</f>
        <v>0</v>
      </c>
      <c r="W145" s="50" t="n">
        <f aca="false">IFERROR(VLOOKUP(V145,AnsMTBL,2,FALSE()),0)</f>
        <v>0</v>
      </c>
      <c r="X145" s="233"/>
      <c r="Y145" s="296"/>
    </row>
    <row r="146" customFormat="false" ht="13.5" hidden="false" customHeight="false" outlineLevel="0" collapsed="false">
      <c r="A146" s="44"/>
      <c r="B146" s="253"/>
      <c r="C146" s="225"/>
      <c r="D146" s="70"/>
      <c r="E146" s="70"/>
      <c r="F146" s="70"/>
      <c r="G146" s="70"/>
      <c r="H146" s="70"/>
      <c r="I146" s="70"/>
      <c r="J146" s="70"/>
      <c r="K146" s="70"/>
      <c r="L146" s="70"/>
      <c r="M146" s="70"/>
      <c r="N146" s="70"/>
      <c r="O146" s="70"/>
      <c r="P146" s="70"/>
      <c r="Q146" s="70"/>
      <c r="R146" s="70"/>
      <c r="S146" s="70"/>
      <c r="T146" s="70"/>
      <c r="U146" s="70"/>
      <c r="V146" s="70"/>
      <c r="W146" s="70"/>
      <c r="X146" s="70"/>
      <c r="Y146" s="70"/>
    </row>
    <row r="147" customFormat="false" ht="13.8" hidden="false" customHeight="false" outlineLevel="0" collapsed="false">
      <c r="A147" s="44"/>
      <c r="B147" s="290" t="s">
        <v>38</v>
      </c>
      <c r="C147" s="291" t="s">
        <v>39</v>
      </c>
      <c r="D147" s="298" t="s">
        <v>145</v>
      </c>
      <c r="E147" s="152"/>
      <c r="F147" s="151" t="s">
        <v>41</v>
      </c>
      <c r="G147" s="151"/>
      <c r="H147" s="153"/>
      <c r="I147" s="293" t="s">
        <v>43</v>
      </c>
      <c r="J147" s="151" t="s">
        <v>41</v>
      </c>
      <c r="K147" s="151"/>
      <c r="L147" s="153"/>
      <c r="M147" s="293" t="s">
        <v>43</v>
      </c>
      <c r="N147" s="151" t="s">
        <v>41</v>
      </c>
      <c r="O147" s="151"/>
      <c r="P147" s="153"/>
      <c r="Q147" s="293" t="s">
        <v>43</v>
      </c>
      <c r="R147" s="151" t="s">
        <v>41</v>
      </c>
      <c r="S147" s="151"/>
      <c r="T147" s="153"/>
      <c r="U147" s="293" t="s">
        <v>43</v>
      </c>
      <c r="V147" s="151" t="s">
        <v>41</v>
      </c>
      <c r="W147" s="151"/>
      <c r="X147" s="153"/>
      <c r="Y147" s="293" t="s">
        <v>43</v>
      </c>
    </row>
    <row r="148" customFormat="false" ht="23.85" hidden="false" customHeight="false" outlineLevel="0" collapsed="false">
      <c r="A148" s="44" t="str">
        <f aca="false">Interview!A218</f>
        <v>O-OM-A-1-1</v>
      </c>
      <c r="B148" s="294" t="str">
        <f aca="false">VLOOKUP(A148,'imp-questions'!A:H,4,FALSE())</f>
        <v>Data Protection</v>
      </c>
      <c r="C148" s="295" t="n">
        <f aca="false">VLOOKUP(A148,'imp-questions'!A:H,5,FALSE())</f>
        <v>1</v>
      </c>
      <c r="D148" s="47" t="str">
        <f aca="false">VLOOKUP(A148,'imp-questions'!A:H,6,FALSE())</f>
        <v>Do you protect and handle information according to protection requirements for data stored and processed on each application?</v>
      </c>
      <c r="E148" s="48" t="str">
        <f aca="false">CHAR(65+VLOOKUP(A148,'imp-questions'!A:H,8,FALSE()))</f>
        <v>F</v>
      </c>
      <c r="F148" s="226" t="n">
        <f aca="false">Interview!F218</f>
        <v>0</v>
      </c>
      <c r="G148" s="50" t="n">
        <f aca="false">IFERROR(VLOOKUP(F148,AnsFTBL,2,FALSE()),0)</f>
        <v>0</v>
      </c>
      <c r="H148" s="231" t="n">
        <f aca="false">IFERROR(AVERAGE(G148,G152),0)</f>
        <v>0</v>
      </c>
      <c r="I148" s="300" t="n">
        <f aca="false">SUM(H148:H150)</f>
        <v>0</v>
      </c>
      <c r="J148" s="227" t="n">
        <f aca="false">F148</f>
        <v>0</v>
      </c>
      <c r="K148" s="50" t="n">
        <f aca="false">IFERROR(VLOOKUP(J148,AnsFTBL,2,FALSE()),0)</f>
        <v>0</v>
      </c>
      <c r="L148" s="231" t="n">
        <f aca="false">IFERROR(AVERAGE(K148,K152),0)</f>
        <v>0</v>
      </c>
      <c r="M148" s="300" t="n">
        <f aca="false">SUM(L148:L150)</f>
        <v>0</v>
      </c>
      <c r="N148" s="227" t="n">
        <f aca="false">J148</f>
        <v>0</v>
      </c>
      <c r="O148" s="50" t="n">
        <f aca="false">IFERROR(VLOOKUP(N148,AnsFTBL,2,FALSE()),0)</f>
        <v>0</v>
      </c>
      <c r="P148" s="231" t="n">
        <f aca="false">IFERROR(AVERAGE(O148,O152),0)</f>
        <v>0</v>
      </c>
      <c r="Q148" s="300" t="n">
        <f aca="false">SUM(P148:P150)</f>
        <v>0</v>
      </c>
      <c r="R148" s="227" t="n">
        <f aca="false">N148</f>
        <v>0</v>
      </c>
      <c r="S148" s="50" t="n">
        <f aca="false">IFERROR(VLOOKUP(R148,AnsFTBL,2,FALSE()),0)</f>
        <v>0</v>
      </c>
      <c r="T148" s="231" t="n">
        <f aca="false">IFERROR(AVERAGE(S148,S152),0)</f>
        <v>0</v>
      </c>
      <c r="U148" s="300" t="n">
        <f aca="false">SUM(T148:T150)</f>
        <v>0</v>
      </c>
      <c r="V148" s="227" t="n">
        <f aca="false">R148</f>
        <v>0</v>
      </c>
      <c r="W148" s="50" t="n">
        <f aca="false">IFERROR(VLOOKUP(V148,AnsFTBL,2,FALSE()),0)</f>
        <v>0</v>
      </c>
      <c r="X148" s="231" t="n">
        <f aca="false">IFERROR(AVERAGE(W148,W152),0)</f>
        <v>0</v>
      </c>
      <c r="Y148" s="300" t="n">
        <f aca="false">SUM(X148:X150)</f>
        <v>0</v>
      </c>
    </row>
    <row r="149" customFormat="false" ht="23.85" hidden="false" customHeight="false" outlineLevel="0" collapsed="false">
      <c r="A149" s="44" t="str">
        <f aca="false">Interview!A220</f>
        <v>O-OM-A-2-1</v>
      </c>
      <c r="B149" s="294"/>
      <c r="C149" s="295" t="n">
        <f aca="false">VLOOKUP(A149,'imp-questions'!A:H,5,FALSE())</f>
        <v>2</v>
      </c>
      <c r="D149" s="47" t="str">
        <f aca="false">VLOOKUP(A149,'imp-questions'!A:H,6,FALSE())</f>
        <v>Do you maintain a data catalog, including types, sensitivity levels, and processing and storage locations?</v>
      </c>
      <c r="E149" s="48" t="str">
        <f aca="false">CHAR(65+VLOOKUP(A149,'imp-questions'!A:H,8,FALSE()))</f>
        <v>O</v>
      </c>
      <c r="F149" s="228" t="n">
        <f aca="false">Interview!F220</f>
        <v>0</v>
      </c>
      <c r="G149" s="50" t="n">
        <f aca="false">IFERROR(VLOOKUP(F149,AnsOTBL,2,FALSE()),0)</f>
        <v>0</v>
      </c>
      <c r="H149" s="231" t="n">
        <f aca="false">IFERROR(AVERAGE(G149,G153),0)</f>
        <v>0</v>
      </c>
      <c r="I149" s="300"/>
      <c r="J149" s="227" t="n">
        <f aca="false">F149</f>
        <v>0</v>
      </c>
      <c r="K149" s="50" t="n">
        <f aca="false">IFERROR(VLOOKUP(J149,AnsOTBL,2,FALSE()),0)</f>
        <v>0</v>
      </c>
      <c r="L149" s="231" t="n">
        <f aca="false">IFERROR(AVERAGE(K149,K153),0)</f>
        <v>0</v>
      </c>
      <c r="M149" s="300"/>
      <c r="N149" s="227" t="n">
        <f aca="false">J149</f>
        <v>0</v>
      </c>
      <c r="O149" s="50" t="n">
        <f aca="false">IFERROR(VLOOKUP(N149,AnsOTBL,2,FALSE()),0)</f>
        <v>0</v>
      </c>
      <c r="P149" s="231" t="n">
        <f aca="false">IFERROR(AVERAGE(O149,O153),0)</f>
        <v>0</v>
      </c>
      <c r="Q149" s="300"/>
      <c r="R149" s="227" t="n">
        <f aca="false">N149</f>
        <v>0</v>
      </c>
      <c r="S149" s="50" t="n">
        <f aca="false">IFERROR(VLOOKUP(R149,AnsOTBL,2,FALSE()),0)</f>
        <v>0</v>
      </c>
      <c r="T149" s="231" t="n">
        <f aca="false">IFERROR(AVERAGE(S149,S153),0)</f>
        <v>0</v>
      </c>
      <c r="U149" s="300"/>
      <c r="V149" s="227" t="n">
        <f aca="false">R149</f>
        <v>0</v>
      </c>
      <c r="W149" s="50" t="n">
        <f aca="false">IFERROR(VLOOKUP(V149,AnsOTBL,2,FALSE()),0)</f>
        <v>0</v>
      </c>
      <c r="X149" s="231" t="n">
        <f aca="false">IFERROR(AVERAGE(W149,W153),0)</f>
        <v>0</v>
      </c>
      <c r="Y149" s="300"/>
    </row>
    <row r="150" customFormat="false" ht="23.85" hidden="false" customHeight="false" outlineLevel="0" collapsed="false">
      <c r="A150" s="44" t="str">
        <f aca="false">Interview!A222</f>
        <v>O-OM-A-3-1</v>
      </c>
      <c r="B150" s="294"/>
      <c r="C150" s="295" t="n">
        <f aca="false">VLOOKUP(A150,'imp-questions'!A:H,5,FALSE())</f>
        <v>3</v>
      </c>
      <c r="D150" s="222" t="str">
        <f aca="false">VLOOKUP(A150,'imp-questions'!A:H,6,FALSE())</f>
        <v>Do you regularly review and update the data catalog and your data protection policies and procedures?</v>
      </c>
      <c r="E150" s="48" t="str">
        <f aca="false">CHAR(65+VLOOKUP(A150,'imp-questions'!A:H,8,FALSE()))</f>
        <v>P</v>
      </c>
      <c r="F150" s="252" t="n">
        <f aca="false">Interview!F222</f>
        <v>0</v>
      </c>
      <c r="G150" s="50" t="n">
        <f aca="false">IFERROR(VLOOKUP(F150,AnsPTBL,2,FALSE()),0)</f>
        <v>0</v>
      </c>
      <c r="H150" s="231" t="n">
        <f aca="false">IFERROR(AVERAGE(G150,G154),0)</f>
        <v>0</v>
      </c>
      <c r="I150" s="300"/>
      <c r="J150" s="227" t="n">
        <f aca="false">F150</f>
        <v>0</v>
      </c>
      <c r="K150" s="50" t="n">
        <f aca="false">IFERROR(VLOOKUP(J150,AnsPTBL,2,FALSE()),0)</f>
        <v>0</v>
      </c>
      <c r="L150" s="231" t="n">
        <f aca="false">IFERROR(AVERAGE(K150,K154),0)</f>
        <v>0</v>
      </c>
      <c r="M150" s="300"/>
      <c r="N150" s="227" t="n">
        <f aca="false">J150</f>
        <v>0</v>
      </c>
      <c r="O150" s="50" t="n">
        <f aca="false">IFERROR(VLOOKUP(N150,AnsPTBL,2,FALSE()),0)</f>
        <v>0</v>
      </c>
      <c r="P150" s="231" t="n">
        <f aca="false">IFERROR(AVERAGE(O150,O154),0)</f>
        <v>0</v>
      </c>
      <c r="Q150" s="300"/>
      <c r="R150" s="227" t="n">
        <f aca="false">N150</f>
        <v>0</v>
      </c>
      <c r="S150" s="50" t="n">
        <f aca="false">IFERROR(VLOOKUP(R150,AnsPTBL,2,FALSE()),0)</f>
        <v>0</v>
      </c>
      <c r="T150" s="231" t="n">
        <f aca="false">IFERROR(AVERAGE(S150,S154),0)</f>
        <v>0</v>
      </c>
      <c r="U150" s="300"/>
      <c r="V150" s="227" t="n">
        <f aca="false">R150</f>
        <v>0</v>
      </c>
      <c r="W150" s="50" t="n">
        <f aca="false">IFERROR(VLOOKUP(V150,AnsPTBL,2,FALSE()),0)</f>
        <v>0</v>
      </c>
      <c r="X150" s="231" t="n">
        <f aca="false">IFERROR(AVERAGE(W150,W154),0)</f>
        <v>0</v>
      </c>
      <c r="Y150" s="300"/>
    </row>
    <row r="151" customFormat="false" ht="13.5" hidden="false" customHeight="false" outlineLevel="0" collapsed="false">
      <c r="A151" s="44"/>
      <c r="B151" s="253"/>
      <c r="C151" s="225"/>
      <c r="D151" s="70"/>
      <c r="E151" s="70"/>
      <c r="F151" s="70"/>
      <c r="G151" s="70"/>
      <c r="H151" s="70"/>
      <c r="I151" s="300"/>
      <c r="J151" s="70"/>
      <c r="K151" s="70"/>
      <c r="L151" s="70"/>
      <c r="M151" s="300"/>
      <c r="N151" s="70"/>
      <c r="O151" s="70"/>
      <c r="P151" s="70"/>
      <c r="Q151" s="300"/>
      <c r="R151" s="70"/>
      <c r="S151" s="70"/>
      <c r="T151" s="70"/>
      <c r="U151" s="300"/>
      <c r="V151" s="70"/>
      <c r="W151" s="70"/>
      <c r="X151" s="70"/>
      <c r="Y151" s="300"/>
    </row>
    <row r="152" customFormat="false" ht="35.2" hidden="false" customHeight="false" outlineLevel="0" collapsed="false">
      <c r="A152" s="44" t="str">
        <f aca="false">Interview!A225</f>
        <v>O-OM-B-1-1</v>
      </c>
      <c r="B152" s="301" t="str">
        <f aca="false">VLOOKUP(A152,'imp-questions'!A:H,4,FALSE())</f>
        <v>System Decomissioning / Legacy Management</v>
      </c>
      <c r="C152" s="295" t="n">
        <f aca="false">VLOOKUP(A152,'imp-questions'!A:H,5,FALSE())</f>
        <v>1</v>
      </c>
      <c r="D152" s="47" t="str">
        <f aca="false">VLOOKUP(A152,'imp-questions'!A:H,6,FALSE())</f>
        <v>Do you identify and remove systems, applications, application dependencies, or services that are no longer used, have reached end of life, or are no longer actively developed or supported?</v>
      </c>
      <c r="E152" s="48" t="str">
        <f aca="false">CHAR(65+VLOOKUP(A152,'imp-questions'!A:H,8,FALSE()))</f>
        <v>F</v>
      </c>
      <c r="F152" s="226" t="n">
        <f aca="false">Interview!F225</f>
        <v>0</v>
      </c>
      <c r="G152" s="50" t="n">
        <f aca="false">IFERROR(VLOOKUP(F152,AnsFTBL,2,FALSE()),0)</f>
        <v>0</v>
      </c>
      <c r="H152" s="233"/>
      <c r="I152" s="300"/>
      <c r="J152" s="227" t="n">
        <f aca="false">F152</f>
        <v>0</v>
      </c>
      <c r="K152" s="50" t="n">
        <f aca="false">IFERROR(VLOOKUP(J152,AnsFTBL,2,FALSE()),0)</f>
        <v>0</v>
      </c>
      <c r="L152" s="233"/>
      <c r="M152" s="300"/>
      <c r="N152" s="227" t="n">
        <f aca="false">J152</f>
        <v>0</v>
      </c>
      <c r="O152" s="50" t="n">
        <f aca="false">IFERROR(VLOOKUP(N152,AnsFTBL,2,FALSE()),0)</f>
        <v>0</v>
      </c>
      <c r="P152" s="233"/>
      <c r="Q152" s="300"/>
      <c r="R152" s="227" t="n">
        <f aca="false">N152</f>
        <v>0</v>
      </c>
      <c r="S152" s="50" t="n">
        <f aca="false">IFERROR(VLOOKUP(R152,AnsFTBL,2,FALSE()),0)</f>
        <v>0</v>
      </c>
      <c r="T152" s="233"/>
      <c r="U152" s="300"/>
      <c r="V152" s="227" t="n">
        <f aca="false">R152</f>
        <v>0</v>
      </c>
      <c r="W152" s="50" t="n">
        <f aca="false">IFERROR(VLOOKUP(V152,AnsFTBL,2,FALSE()),0)</f>
        <v>0</v>
      </c>
      <c r="X152" s="233"/>
      <c r="Y152" s="300"/>
    </row>
    <row r="153" customFormat="false" ht="35.2" hidden="false" customHeight="false" outlineLevel="0" collapsed="false">
      <c r="A153" s="44" t="str">
        <f aca="false">Interview!A227</f>
        <v>O-OM-B-2-1</v>
      </c>
      <c r="B153" s="301"/>
      <c r="C153" s="295" t="n">
        <f aca="false">VLOOKUP(A153,'imp-questions'!A:H,5,FALSE())</f>
        <v>2</v>
      </c>
      <c r="D153" s="47" t="str">
        <f aca="false">VLOOKUP(A153,'imp-questions'!A:H,6,FALSE())</f>
        <v>Do you follow an established process for removing all associated resources, as part of decommissioning of unused systems, applications, application dependencies, or services?</v>
      </c>
      <c r="E153" s="48" t="str">
        <f aca="false">CHAR(65+VLOOKUP(A153,'imp-questions'!A:H,8,FALSE()))</f>
        <v>H</v>
      </c>
      <c r="F153" s="228" t="n">
        <f aca="false">Interview!F227</f>
        <v>0</v>
      </c>
      <c r="G153" s="50" t="n">
        <f aca="false">IFERROR(VLOOKUP(F153,AnsHTBL,2,FALSE()),0)</f>
        <v>0</v>
      </c>
      <c r="H153" s="233"/>
      <c r="I153" s="300"/>
      <c r="J153" s="227" t="n">
        <f aca="false">F153</f>
        <v>0</v>
      </c>
      <c r="K153" s="50" t="n">
        <f aca="false">IFERROR(VLOOKUP(J153,AnsHTBL,2,FALSE()),0)</f>
        <v>0</v>
      </c>
      <c r="L153" s="233"/>
      <c r="M153" s="300"/>
      <c r="N153" s="227" t="n">
        <f aca="false">J153</f>
        <v>0</v>
      </c>
      <c r="O153" s="50" t="n">
        <f aca="false">IFERROR(VLOOKUP(N153,AnsHTBL,2,FALSE()),0)</f>
        <v>0</v>
      </c>
      <c r="P153" s="233"/>
      <c r="Q153" s="300"/>
      <c r="R153" s="227" t="n">
        <f aca="false">N153</f>
        <v>0</v>
      </c>
      <c r="S153" s="50" t="n">
        <f aca="false">IFERROR(VLOOKUP(R153,AnsHTBL,2,FALSE()),0)</f>
        <v>0</v>
      </c>
      <c r="T153" s="233"/>
      <c r="U153" s="300"/>
      <c r="V153" s="227" t="n">
        <f aca="false">R153</f>
        <v>0</v>
      </c>
      <c r="W153" s="50" t="n">
        <f aca="false">IFERROR(VLOOKUP(V153,AnsHTBL,2,FALSE()),0)</f>
        <v>0</v>
      </c>
      <c r="X153" s="233"/>
      <c r="Y153" s="300"/>
    </row>
    <row r="154" customFormat="false" ht="35.2" hidden="false" customHeight="false" outlineLevel="0" collapsed="false">
      <c r="A154" s="44" t="str">
        <f aca="false">Interview!A229</f>
        <v>O-OM-B-3-1</v>
      </c>
      <c r="B154" s="301"/>
      <c r="C154" s="295" t="n">
        <f aca="false">VLOOKUP(A154,'imp-questions'!A:H,5,FALSE())</f>
        <v>3</v>
      </c>
      <c r="D154" s="222" t="str">
        <f aca="false">VLOOKUP(A154,'imp-questions'!A:H,6,FALSE())</f>
        <v>Do you regularly evaluate the lifecycle state and support status of every software asset and underlying infrastructure component, and estimate their end of life?</v>
      </c>
      <c r="E154" s="226" t="str">
        <f aca="false">CHAR(65+VLOOKUP(A154,'imp-questions'!A:H,8,FALSE()))</f>
        <v>S</v>
      </c>
      <c r="F154" s="252" t="n">
        <f aca="false">Interview!F229</f>
        <v>0</v>
      </c>
      <c r="G154" s="50" t="n">
        <f aca="false">IFERROR(VLOOKUP(F154,AnsSTBL,2,FALSE()),0)</f>
        <v>0</v>
      </c>
      <c r="H154" s="233"/>
      <c r="I154" s="300"/>
      <c r="J154" s="227" t="n">
        <f aca="false">F154</f>
        <v>0</v>
      </c>
      <c r="K154" s="50" t="n">
        <f aca="false">IFERROR(VLOOKUP(J154,AnsSTBL,2,FALSE()),0)</f>
        <v>0</v>
      </c>
      <c r="L154" s="233"/>
      <c r="M154" s="300"/>
      <c r="N154" s="227" t="n">
        <f aca="false">J154</f>
        <v>0</v>
      </c>
      <c r="O154" s="50" t="n">
        <f aca="false">IFERROR(VLOOKUP(N154,AnsSTBL,2,FALSE()),0)</f>
        <v>0</v>
      </c>
      <c r="P154" s="233"/>
      <c r="Q154" s="300"/>
      <c r="R154" s="227" t="n">
        <f aca="false">N154</f>
        <v>0</v>
      </c>
      <c r="S154" s="50" t="n">
        <f aca="false">IFERROR(VLOOKUP(R154,AnsSTBL,2,FALSE()),0)</f>
        <v>0</v>
      </c>
      <c r="T154" s="233"/>
      <c r="U154" s="300"/>
      <c r="V154" s="227" t="n">
        <f aca="false">R154</f>
        <v>0</v>
      </c>
      <c r="W154" s="50" t="n">
        <f aca="false">IFERROR(VLOOKUP(V154,AnsSTBL,2,FALSE()),0)</f>
        <v>0</v>
      </c>
      <c r="X154" s="233"/>
      <c r="Y154" s="300"/>
    </row>
  </sheetData>
  <mergeCells count="130">
    <mergeCell ref="F16:I16"/>
    <mergeCell ref="J16:M16"/>
    <mergeCell ref="N16:Q16"/>
    <mergeCell ref="R16:U16"/>
    <mergeCell ref="V16:Y16"/>
    <mergeCell ref="B18:B20"/>
    <mergeCell ref="I18:I24"/>
    <mergeCell ref="M18:M24"/>
    <mergeCell ref="Q18:Q24"/>
    <mergeCell ref="U18:U24"/>
    <mergeCell ref="Y18:Y24"/>
    <mergeCell ref="B22:B24"/>
    <mergeCell ref="B27:B29"/>
    <mergeCell ref="I27:I33"/>
    <mergeCell ref="M27:M33"/>
    <mergeCell ref="Q27:Q33"/>
    <mergeCell ref="U27:U33"/>
    <mergeCell ref="Y27:Y33"/>
    <mergeCell ref="B31:B33"/>
    <mergeCell ref="B36:B38"/>
    <mergeCell ref="I36:I42"/>
    <mergeCell ref="M36:M42"/>
    <mergeCell ref="Q36:Q42"/>
    <mergeCell ref="U36:U42"/>
    <mergeCell ref="Y36:Y42"/>
    <mergeCell ref="B40:B42"/>
    <mergeCell ref="F44:I44"/>
    <mergeCell ref="J44:M44"/>
    <mergeCell ref="N44:Q44"/>
    <mergeCell ref="R44:U44"/>
    <mergeCell ref="V44:Y44"/>
    <mergeCell ref="B46:B48"/>
    <mergeCell ref="I46:I52"/>
    <mergeCell ref="M46:M52"/>
    <mergeCell ref="Q46:Q52"/>
    <mergeCell ref="U46:U52"/>
    <mergeCell ref="Y46:Y52"/>
    <mergeCell ref="B50:B52"/>
    <mergeCell ref="B55:B57"/>
    <mergeCell ref="I55:I61"/>
    <mergeCell ref="M55:M61"/>
    <mergeCell ref="Q55:Q61"/>
    <mergeCell ref="U55:U61"/>
    <mergeCell ref="Y55:Y61"/>
    <mergeCell ref="B59:B61"/>
    <mergeCell ref="B64:B66"/>
    <mergeCell ref="I64:I70"/>
    <mergeCell ref="M64:M70"/>
    <mergeCell ref="Q64:Q70"/>
    <mergeCell ref="U64:U70"/>
    <mergeCell ref="Y64:Y70"/>
    <mergeCell ref="B68:B70"/>
    <mergeCell ref="F72:I72"/>
    <mergeCell ref="J72:M72"/>
    <mergeCell ref="N72:Q72"/>
    <mergeCell ref="R72:U72"/>
    <mergeCell ref="V72:Y72"/>
    <mergeCell ref="B74:B76"/>
    <mergeCell ref="I74:I80"/>
    <mergeCell ref="M74:M80"/>
    <mergeCell ref="Q74:Q80"/>
    <mergeCell ref="U74:U80"/>
    <mergeCell ref="Y74:Y80"/>
    <mergeCell ref="B78:B80"/>
    <mergeCell ref="B83:B85"/>
    <mergeCell ref="I83:I89"/>
    <mergeCell ref="M83:M89"/>
    <mergeCell ref="Q83:Q89"/>
    <mergeCell ref="U83:U89"/>
    <mergeCell ref="Y83:Y89"/>
    <mergeCell ref="B87:B89"/>
    <mergeCell ref="B92:B94"/>
    <mergeCell ref="I92:I98"/>
    <mergeCell ref="M92:M98"/>
    <mergeCell ref="Q92:Q98"/>
    <mergeCell ref="U92:U98"/>
    <mergeCell ref="Y92:Y98"/>
    <mergeCell ref="B96:B98"/>
    <mergeCell ref="F100:I100"/>
    <mergeCell ref="J100:M100"/>
    <mergeCell ref="N100:Q100"/>
    <mergeCell ref="R100:U100"/>
    <mergeCell ref="V100:Y100"/>
    <mergeCell ref="B102:B104"/>
    <mergeCell ref="I102:I108"/>
    <mergeCell ref="M102:M108"/>
    <mergeCell ref="Q102:Q108"/>
    <mergeCell ref="U102:U108"/>
    <mergeCell ref="Y102:Y108"/>
    <mergeCell ref="B106:B108"/>
    <mergeCell ref="B111:B113"/>
    <mergeCell ref="I111:I117"/>
    <mergeCell ref="M111:M117"/>
    <mergeCell ref="Q111:Q117"/>
    <mergeCell ref="U111:U117"/>
    <mergeCell ref="Y111:Y117"/>
    <mergeCell ref="B115:B117"/>
    <mergeCell ref="B120:B122"/>
    <mergeCell ref="I120:I126"/>
    <mergeCell ref="M120:M126"/>
    <mergeCell ref="Q120:Q126"/>
    <mergeCell ref="U120:U126"/>
    <mergeCell ref="Y120:Y126"/>
    <mergeCell ref="B124:B126"/>
    <mergeCell ref="F128:I128"/>
    <mergeCell ref="J128:M128"/>
    <mergeCell ref="N128:Q128"/>
    <mergeCell ref="R128:U128"/>
    <mergeCell ref="V128:Y128"/>
    <mergeCell ref="B130:B132"/>
    <mergeCell ref="I130:I136"/>
    <mergeCell ref="M130:M136"/>
    <mergeCell ref="Q130:Q136"/>
    <mergeCell ref="U130:U136"/>
    <mergeCell ref="Y130:Y136"/>
    <mergeCell ref="B134:B136"/>
    <mergeCell ref="B139:B141"/>
    <mergeCell ref="I139:I145"/>
    <mergeCell ref="M139:M145"/>
    <mergeCell ref="Q139:Q145"/>
    <mergeCell ref="U139:U145"/>
    <mergeCell ref="Y139:Y145"/>
    <mergeCell ref="B143:B145"/>
    <mergeCell ref="B148:B150"/>
    <mergeCell ref="I148:I154"/>
    <mergeCell ref="M148:M154"/>
    <mergeCell ref="Q148:Q154"/>
    <mergeCell ref="U148:U154"/>
    <mergeCell ref="Y148:Y154"/>
    <mergeCell ref="B152:B154"/>
  </mergeCells>
  <conditionalFormatting sqref="V18">
    <cfRule type="expression" priority="2" aboveAverage="0" equalAverage="0" bottom="0" percent="0" rank="0" text="" dxfId="1">
      <formula>W18&lt;S18</formula>
    </cfRule>
    <cfRule type="expression" priority="3" aboveAverage="0" equalAverage="0" bottom="0" percent="0" rank="0" text="" dxfId="2">
      <formula>W18&gt;S18</formula>
    </cfRule>
  </conditionalFormatting>
  <conditionalFormatting sqref="V41">
    <cfRule type="expression" priority="4" aboveAverage="0" equalAverage="0" bottom="0" percent="0" rank="0" text="" dxfId="3">
      <formula>W41&lt;S41</formula>
    </cfRule>
    <cfRule type="expression" priority="5" aboveAverage="0" equalAverage="0" bottom="0" percent="0" rank="0" text="" dxfId="4">
      <formula>W41&gt;S41</formula>
    </cfRule>
  </conditionalFormatting>
  <conditionalFormatting sqref="V42">
    <cfRule type="expression" priority="6" aboveAverage="0" equalAverage="0" bottom="0" percent="0" rank="0" text="" dxfId="5">
      <formula>W42&lt;S42</formula>
    </cfRule>
    <cfRule type="expression" priority="7" aboveAverage="0" equalAverage="0" bottom="0" percent="0" rank="0" text="" dxfId="6">
      <formula>W42&gt;S42</formula>
    </cfRule>
  </conditionalFormatting>
  <conditionalFormatting sqref="V40">
    <cfRule type="expression" priority="8" aboveAverage="0" equalAverage="0" bottom="0" percent="0" rank="0" text="" dxfId="7">
      <formula>W40&lt;S40</formula>
    </cfRule>
    <cfRule type="expression" priority="9" aboveAverage="0" equalAverage="0" bottom="0" percent="0" rank="0" text="" dxfId="8">
      <formula>W40&gt;S40</formula>
    </cfRule>
  </conditionalFormatting>
  <conditionalFormatting sqref="V37">
    <cfRule type="expression" priority="10" aboveAverage="0" equalAverage="0" bottom="0" percent="0" rank="0" text="" dxfId="9">
      <formula>W37&lt;S37</formula>
    </cfRule>
    <cfRule type="expression" priority="11" aboveAverage="0" equalAverage="0" bottom="0" percent="0" rank="0" text="" dxfId="10">
      <formula>W37&gt;S37</formula>
    </cfRule>
  </conditionalFormatting>
  <conditionalFormatting sqref="V38">
    <cfRule type="expression" priority="12" aboveAverage="0" equalAverage="0" bottom="0" percent="0" rank="0" text="" dxfId="11">
      <formula>W38&lt;S38</formula>
    </cfRule>
    <cfRule type="expression" priority="13" aboveAverage="0" equalAverage="0" bottom="0" percent="0" rank="0" text="" dxfId="12">
      <formula>W38&gt;S38</formula>
    </cfRule>
  </conditionalFormatting>
  <conditionalFormatting sqref="V36">
    <cfRule type="expression" priority="14" aboveAverage="0" equalAverage="0" bottom="0" percent="0" rank="0" text="" dxfId="13">
      <formula>W36&lt;S36</formula>
    </cfRule>
    <cfRule type="expression" priority="15" aboveAverage="0" equalAverage="0" bottom="0" percent="0" rank="0" text="" dxfId="14">
      <formula>W36&gt;S36</formula>
    </cfRule>
  </conditionalFormatting>
  <conditionalFormatting sqref="V32">
    <cfRule type="expression" priority="16" aboveAverage="0" equalAverage="0" bottom="0" percent="0" rank="0" text="" dxfId="15">
      <formula>W32&lt;S32</formula>
    </cfRule>
    <cfRule type="expression" priority="17" aboveAverage="0" equalAverage="0" bottom="0" percent="0" rank="0" text="" dxfId="16">
      <formula>W32&gt;S32</formula>
    </cfRule>
  </conditionalFormatting>
  <conditionalFormatting sqref="V33">
    <cfRule type="expression" priority="18" aboveAverage="0" equalAverage="0" bottom="0" percent="0" rank="0" text="" dxfId="17">
      <formula>W33&lt;S33</formula>
    </cfRule>
    <cfRule type="expression" priority="19" aboveAverage="0" equalAverage="0" bottom="0" percent="0" rank="0" text="" dxfId="18">
      <formula>W33&gt;S33</formula>
    </cfRule>
  </conditionalFormatting>
  <conditionalFormatting sqref="V31">
    <cfRule type="expression" priority="20" aboveAverage="0" equalAverage="0" bottom="0" percent="0" rank="0" text="" dxfId="19">
      <formula>W31&lt;S31</formula>
    </cfRule>
    <cfRule type="expression" priority="21" aboveAverage="0" equalAverage="0" bottom="0" percent="0" rank="0" text="" dxfId="20">
      <formula>W31&gt;S31</formula>
    </cfRule>
  </conditionalFormatting>
  <conditionalFormatting sqref="V28">
    <cfRule type="expression" priority="22" aboveAverage="0" equalAverage="0" bottom="0" percent="0" rank="0" text="" dxfId="21">
      <formula>W28&lt;S28</formula>
    </cfRule>
    <cfRule type="expression" priority="23" aboveAverage="0" equalAverage="0" bottom="0" percent="0" rank="0" text="" dxfId="22">
      <formula>W28&gt;S28</formula>
    </cfRule>
  </conditionalFormatting>
  <conditionalFormatting sqref="V29">
    <cfRule type="expression" priority="24" aboveAverage="0" equalAverage="0" bottom="0" percent="0" rank="0" text="" dxfId="23">
      <formula>W29&lt;S29</formula>
    </cfRule>
    <cfRule type="expression" priority="25" aboveAverage="0" equalAverage="0" bottom="0" percent="0" rank="0" text="" dxfId="24">
      <formula>W29&gt;S29</formula>
    </cfRule>
  </conditionalFormatting>
  <conditionalFormatting sqref="V27">
    <cfRule type="expression" priority="26" aboveAverage="0" equalAverage="0" bottom="0" percent="0" rank="0" text="" dxfId="25">
      <formula>W27&lt;S27</formula>
    </cfRule>
    <cfRule type="expression" priority="27" aboveAverage="0" equalAverage="0" bottom="0" percent="0" rank="0" text="" dxfId="26">
      <formula>W27&gt;S27</formula>
    </cfRule>
  </conditionalFormatting>
  <conditionalFormatting sqref="V24">
    <cfRule type="expression" priority="28" aboveAverage="0" equalAverage="0" bottom="0" percent="0" rank="0" text="" dxfId="27">
      <formula>W24&lt;S24</formula>
    </cfRule>
    <cfRule type="expression" priority="29" aboveAverage="0" equalAverage="0" bottom="0" percent="0" rank="0" text="" dxfId="28">
      <formula>W24&gt;S24</formula>
    </cfRule>
  </conditionalFormatting>
  <conditionalFormatting sqref="V22:V23">
    <cfRule type="expression" priority="30" aboveAverage="0" equalAverage="0" bottom="0" percent="0" rank="0" text="" dxfId="29">
      <formula>W22&lt;S22</formula>
    </cfRule>
    <cfRule type="expression" priority="31" aboveAverage="0" equalAverage="0" bottom="0" percent="0" rank="0" text="" dxfId="30">
      <formula>W22&gt;S22</formula>
    </cfRule>
  </conditionalFormatting>
  <conditionalFormatting sqref="V19">
    <cfRule type="expression" priority="32" aboveAverage="0" equalAverage="0" bottom="0" percent="0" rank="0" text="" dxfId="31">
      <formula>W19&lt;S19</formula>
    </cfRule>
    <cfRule type="expression" priority="33" aboveAverage="0" equalAverage="0" bottom="0" percent="0" rank="0" text="" dxfId="32">
      <formula>W19&gt;S19</formula>
    </cfRule>
  </conditionalFormatting>
  <conditionalFormatting sqref="V20">
    <cfRule type="expression" priority="34" aboveAverage="0" equalAverage="0" bottom="0" percent="0" rank="0" text="" dxfId="33">
      <formula>W20&lt;S20</formula>
    </cfRule>
    <cfRule type="expression" priority="35" aboveAverage="0" equalAverage="0" bottom="0" percent="0" rank="0" text="" dxfId="34">
      <formula>W20&gt;S20</formula>
    </cfRule>
  </conditionalFormatting>
  <conditionalFormatting sqref="R18">
    <cfRule type="expression" priority="36" aboveAverage="0" equalAverage="0" bottom="0" percent="0" rank="0" text="" dxfId="35">
      <formula>S18&lt;O18</formula>
    </cfRule>
    <cfRule type="expression" priority="37" aboveAverage="0" equalAverage="0" bottom="0" percent="0" rank="0" text="" dxfId="36">
      <formula>S18&gt;O18</formula>
    </cfRule>
  </conditionalFormatting>
  <conditionalFormatting sqref="R41">
    <cfRule type="expression" priority="38" aboveAverage="0" equalAverage="0" bottom="0" percent="0" rank="0" text="" dxfId="37">
      <formula>S41&lt;O41</formula>
    </cfRule>
    <cfRule type="expression" priority="39" aboveAverage="0" equalAverage="0" bottom="0" percent="0" rank="0" text="" dxfId="38">
      <formula>S41&gt;O41</formula>
    </cfRule>
  </conditionalFormatting>
  <conditionalFormatting sqref="R42">
    <cfRule type="expression" priority="40" aboveAverage="0" equalAverage="0" bottom="0" percent="0" rank="0" text="" dxfId="39">
      <formula>S42&lt;O42</formula>
    </cfRule>
    <cfRule type="expression" priority="41" aboveAverage="0" equalAverage="0" bottom="0" percent="0" rank="0" text="" dxfId="40">
      <formula>S42&gt;O42</formula>
    </cfRule>
  </conditionalFormatting>
  <conditionalFormatting sqref="R40">
    <cfRule type="expression" priority="42" aboveAverage="0" equalAverage="0" bottom="0" percent="0" rank="0" text="" dxfId="41">
      <formula>S40&lt;O40</formula>
    </cfRule>
    <cfRule type="expression" priority="43" aboveAverage="0" equalAverage="0" bottom="0" percent="0" rank="0" text="" dxfId="42">
      <formula>S40&gt;O40</formula>
    </cfRule>
  </conditionalFormatting>
  <conditionalFormatting sqref="R37">
    <cfRule type="expression" priority="44" aboveAverage="0" equalAverage="0" bottom="0" percent="0" rank="0" text="" dxfId="43">
      <formula>S37&lt;O37</formula>
    </cfRule>
    <cfRule type="expression" priority="45" aboveAverage="0" equalAverage="0" bottom="0" percent="0" rank="0" text="" dxfId="44">
      <formula>S37&gt;O37</formula>
    </cfRule>
  </conditionalFormatting>
  <conditionalFormatting sqref="R38">
    <cfRule type="expression" priority="46" aboveAverage="0" equalAverage="0" bottom="0" percent="0" rank="0" text="" dxfId="45">
      <formula>S38&lt;O38</formula>
    </cfRule>
    <cfRule type="expression" priority="47" aboveAverage="0" equalAverage="0" bottom="0" percent="0" rank="0" text="" dxfId="46">
      <formula>S38&gt;O38</formula>
    </cfRule>
  </conditionalFormatting>
  <conditionalFormatting sqref="R36">
    <cfRule type="expression" priority="48" aboveAverage="0" equalAverage="0" bottom="0" percent="0" rank="0" text="" dxfId="47">
      <formula>S36&lt;O36</formula>
    </cfRule>
    <cfRule type="expression" priority="49" aboveAverage="0" equalAverage="0" bottom="0" percent="0" rank="0" text="" dxfId="48">
      <formula>S36&gt;O36</formula>
    </cfRule>
  </conditionalFormatting>
  <conditionalFormatting sqref="R32">
    <cfRule type="expression" priority="50" aboveAverage="0" equalAverage="0" bottom="0" percent="0" rank="0" text="" dxfId="49">
      <formula>S32&lt;O32</formula>
    </cfRule>
    <cfRule type="expression" priority="51" aboveAverage="0" equalAverage="0" bottom="0" percent="0" rank="0" text="" dxfId="50">
      <formula>S32&gt;O32</formula>
    </cfRule>
  </conditionalFormatting>
  <conditionalFormatting sqref="R33">
    <cfRule type="expression" priority="52" aboveAverage="0" equalAverage="0" bottom="0" percent="0" rank="0" text="" dxfId="51">
      <formula>S33&lt;O33</formula>
    </cfRule>
    <cfRule type="expression" priority="53" aboveAverage="0" equalAverage="0" bottom="0" percent="0" rank="0" text="" dxfId="52">
      <formula>S33&gt;O33</formula>
    </cfRule>
  </conditionalFormatting>
  <conditionalFormatting sqref="R31">
    <cfRule type="expression" priority="54" aboveAverage="0" equalAverage="0" bottom="0" percent="0" rank="0" text="" dxfId="53">
      <formula>S31&lt;O31</formula>
    </cfRule>
    <cfRule type="expression" priority="55" aboveAverage="0" equalAverage="0" bottom="0" percent="0" rank="0" text="" dxfId="54">
      <formula>S31&gt;O31</formula>
    </cfRule>
  </conditionalFormatting>
  <conditionalFormatting sqref="R28">
    <cfRule type="expression" priority="56" aboveAverage="0" equalAverage="0" bottom="0" percent="0" rank="0" text="" dxfId="55">
      <formula>S28&lt;O28</formula>
    </cfRule>
    <cfRule type="expression" priority="57" aboveAverage="0" equalAverage="0" bottom="0" percent="0" rank="0" text="" dxfId="56">
      <formula>S28&gt;O28</formula>
    </cfRule>
  </conditionalFormatting>
  <conditionalFormatting sqref="R29">
    <cfRule type="expression" priority="58" aboveAverage="0" equalAverage="0" bottom="0" percent="0" rank="0" text="" dxfId="57">
      <formula>S29&lt;O29</formula>
    </cfRule>
    <cfRule type="expression" priority="59" aboveAverage="0" equalAverage="0" bottom="0" percent="0" rank="0" text="" dxfId="58">
      <formula>S29&gt;O29</formula>
    </cfRule>
  </conditionalFormatting>
  <conditionalFormatting sqref="R27">
    <cfRule type="expression" priority="60" aboveAverage="0" equalAverage="0" bottom="0" percent="0" rank="0" text="" dxfId="59">
      <formula>S27&lt;O27</formula>
    </cfRule>
    <cfRule type="expression" priority="61" aboveAverage="0" equalAverage="0" bottom="0" percent="0" rank="0" text="" dxfId="60">
      <formula>S27&gt;O27</formula>
    </cfRule>
  </conditionalFormatting>
  <conditionalFormatting sqref="R24">
    <cfRule type="expression" priority="62" aboveAverage="0" equalAverage="0" bottom="0" percent="0" rank="0" text="" dxfId="61">
      <formula>S24&lt;O24</formula>
    </cfRule>
    <cfRule type="expression" priority="63" aboveAverage="0" equalAverage="0" bottom="0" percent="0" rank="0" text="" dxfId="62">
      <formula>S24&gt;O24</formula>
    </cfRule>
  </conditionalFormatting>
  <conditionalFormatting sqref="R22:R23">
    <cfRule type="expression" priority="64" aboveAverage="0" equalAverage="0" bottom="0" percent="0" rank="0" text="" dxfId="63">
      <formula>S22&lt;O22</formula>
    </cfRule>
    <cfRule type="expression" priority="65" aboveAverage="0" equalAverage="0" bottom="0" percent="0" rank="0" text="" dxfId="64">
      <formula>S22&gt;O22</formula>
    </cfRule>
  </conditionalFormatting>
  <conditionalFormatting sqref="R19">
    <cfRule type="expression" priority="66" aboveAverage="0" equalAverage="0" bottom="0" percent="0" rank="0" text="" dxfId="65">
      <formula>S19&lt;O19</formula>
    </cfRule>
    <cfRule type="expression" priority="67" aboveAverage="0" equalAverage="0" bottom="0" percent="0" rank="0" text="" dxfId="66">
      <formula>S19&gt;O19</formula>
    </cfRule>
  </conditionalFormatting>
  <conditionalFormatting sqref="R20">
    <cfRule type="expression" priority="68" aboveAverage="0" equalAverage="0" bottom="0" percent="0" rank="0" text="" dxfId="67">
      <formula>S20&lt;O20</formula>
    </cfRule>
    <cfRule type="expression" priority="69" aboveAverage="0" equalAverage="0" bottom="0" percent="0" rank="0" text="" dxfId="68">
      <formula>S20&gt;O20</formula>
    </cfRule>
  </conditionalFormatting>
  <conditionalFormatting sqref="N18">
    <cfRule type="expression" priority="70" aboveAverage="0" equalAverage="0" bottom="0" percent="0" rank="0" text="" dxfId="69">
      <formula>O18&lt;K18</formula>
    </cfRule>
    <cfRule type="expression" priority="71" aboveAverage="0" equalAverage="0" bottom="0" percent="0" rank="0" text="" dxfId="70">
      <formula>O18&gt;K18</formula>
    </cfRule>
  </conditionalFormatting>
  <conditionalFormatting sqref="N41">
    <cfRule type="expression" priority="72" aboveAverage="0" equalAverage="0" bottom="0" percent="0" rank="0" text="" dxfId="71">
      <formula>O41&lt;K41</formula>
    </cfRule>
    <cfRule type="expression" priority="73" aboveAverage="0" equalAverage="0" bottom="0" percent="0" rank="0" text="" dxfId="72">
      <formula>O41&gt;K41</formula>
    </cfRule>
  </conditionalFormatting>
  <conditionalFormatting sqref="N42">
    <cfRule type="expression" priority="74" aboveAverage="0" equalAverage="0" bottom="0" percent="0" rank="0" text="" dxfId="73">
      <formula>O42&lt;K42</formula>
    </cfRule>
    <cfRule type="expression" priority="75" aboveAverage="0" equalAverage="0" bottom="0" percent="0" rank="0" text="" dxfId="74">
      <formula>O42&gt;K42</formula>
    </cfRule>
  </conditionalFormatting>
  <conditionalFormatting sqref="N40">
    <cfRule type="expression" priority="76" aboveAverage="0" equalAverage="0" bottom="0" percent="0" rank="0" text="" dxfId="75">
      <formula>O40&lt;K40</formula>
    </cfRule>
    <cfRule type="expression" priority="77" aboveAverage="0" equalAverage="0" bottom="0" percent="0" rank="0" text="" dxfId="76">
      <formula>O40&gt;K40</formula>
    </cfRule>
  </conditionalFormatting>
  <conditionalFormatting sqref="N37">
    <cfRule type="expression" priority="78" aboveAverage="0" equalAverage="0" bottom="0" percent="0" rank="0" text="" dxfId="77">
      <formula>O37&lt;K37</formula>
    </cfRule>
    <cfRule type="expression" priority="79" aboveAverage="0" equalAverage="0" bottom="0" percent="0" rank="0" text="" dxfId="78">
      <formula>O37&gt;K37</formula>
    </cfRule>
  </conditionalFormatting>
  <conditionalFormatting sqref="N38">
    <cfRule type="expression" priority="80" aboveAverage="0" equalAverage="0" bottom="0" percent="0" rank="0" text="" dxfId="79">
      <formula>O38&lt;K38</formula>
    </cfRule>
    <cfRule type="expression" priority="81" aboveAverage="0" equalAverage="0" bottom="0" percent="0" rank="0" text="" dxfId="80">
      <formula>O38&gt;K38</formula>
    </cfRule>
  </conditionalFormatting>
  <conditionalFormatting sqref="N36">
    <cfRule type="expression" priority="82" aboveAverage="0" equalAverage="0" bottom="0" percent="0" rank="0" text="" dxfId="81">
      <formula>O36&lt;K36</formula>
    </cfRule>
    <cfRule type="expression" priority="83" aboveAverage="0" equalAverage="0" bottom="0" percent="0" rank="0" text="" dxfId="82">
      <formula>O36&gt;K36</formula>
    </cfRule>
  </conditionalFormatting>
  <conditionalFormatting sqref="N32">
    <cfRule type="expression" priority="84" aboveAverage="0" equalAverage="0" bottom="0" percent="0" rank="0" text="" dxfId="83">
      <formula>O32&lt;K32</formula>
    </cfRule>
    <cfRule type="expression" priority="85" aboveAverage="0" equalAverage="0" bottom="0" percent="0" rank="0" text="" dxfId="84">
      <formula>O32&gt;K32</formula>
    </cfRule>
  </conditionalFormatting>
  <conditionalFormatting sqref="N33">
    <cfRule type="expression" priority="86" aboveAverage="0" equalAverage="0" bottom="0" percent="0" rank="0" text="" dxfId="85">
      <formula>O33&lt;K33</formula>
    </cfRule>
    <cfRule type="expression" priority="87" aboveAverage="0" equalAverage="0" bottom="0" percent="0" rank="0" text="" dxfId="86">
      <formula>O33&gt;K33</formula>
    </cfRule>
  </conditionalFormatting>
  <conditionalFormatting sqref="N31">
    <cfRule type="expression" priority="88" aboveAverage="0" equalAverage="0" bottom="0" percent="0" rank="0" text="" dxfId="87">
      <formula>O31&lt;K31</formula>
    </cfRule>
    <cfRule type="expression" priority="89" aboveAverage="0" equalAverage="0" bottom="0" percent="0" rank="0" text="" dxfId="88">
      <formula>O31&gt;K31</formula>
    </cfRule>
  </conditionalFormatting>
  <conditionalFormatting sqref="N28">
    <cfRule type="expression" priority="90" aboveAverage="0" equalAverage="0" bottom="0" percent="0" rank="0" text="" dxfId="89">
      <formula>O28&lt;K28</formula>
    </cfRule>
    <cfRule type="expression" priority="91" aboveAverage="0" equalAverage="0" bottom="0" percent="0" rank="0" text="" dxfId="90">
      <formula>O28&gt;K28</formula>
    </cfRule>
  </conditionalFormatting>
  <conditionalFormatting sqref="N29">
    <cfRule type="expression" priority="92" aboveAverage="0" equalAverage="0" bottom="0" percent="0" rank="0" text="" dxfId="91">
      <formula>O29&lt;K29</formula>
    </cfRule>
    <cfRule type="expression" priority="93" aboveAverage="0" equalAverage="0" bottom="0" percent="0" rank="0" text="" dxfId="92">
      <formula>O29&gt;K29</formula>
    </cfRule>
  </conditionalFormatting>
  <conditionalFormatting sqref="N27">
    <cfRule type="expression" priority="94" aboveAverage="0" equalAverage="0" bottom="0" percent="0" rank="0" text="" dxfId="93">
      <formula>O27&lt;K27</formula>
    </cfRule>
    <cfRule type="expression" priority="95" aboveAverage="0" equalAverage="0" bottom="0" percent="0" rank="0" text="" dxfId="94">
      <formula>O27&gt;K27</formula>
    </cfRule>
  </conditionalFormatting>
  <conditionalFormatting sqref="N24">
    <cfRule type="expression" priority="96" aboveAverage="0" equalAverage="0" bottom="0" percent="0" rank="0" text="" dxfId="95">
      <formula>O24&lt;K24</formula>
    </cfRule>
    <cfRule type="expression" priority="97" aboveAverage="0" equalAverage="0" bottom="0" percent="0" rank="0" text="" dxfId="96">
      <formula>O24&gt;K24</formula>
    </cfRule>
  </conditionalFormatting>
  <conditionalFormatting sqref="N22:N23">
    <cfRule type="expression" priority="98" aboveAverage="0" equalAverage="0" bottom="0" percent="0" rank="0" text="" dxfId="97">
      <formula>O22&lt;K22</formula>
    </cfRule>
    <cfRule type="expression" priority="99" aboveAverage="0" equalAverage="0" bottom="0" percent="0" rank="0" text="" dxfId="98">
      <formula>O22&gt;K22</formula>
    </cfRule>
  </conditionalFormatting>
  <conditionalFormatting sqref="N19">
    <cfRule type="expression" priority="100" aboveAverage="0" equalAverage="0" bottom="0" percent="0" rank="0" text="" dxfId="99">
      <formula>O19&lt;K19</formula>
    </cfRule>
    <cfRule type="expression" priority="101" aboveAverage="0" equalAverage="0" bottom="0" percent="0" rank="0" text="" dxfId="100">
      <formula>O19&gt;K19</formula>
    </cfRule>
  </conditionalFormatting>
  <conditionalFormatting sqref="N20">
    <cfRule type="expression" priority="102" aboveAverage="0" equalAverage="0" bottom="0" percent="0" rank="0" text="" dxfId="101">
      <formula>O20&lt;K20</formula>
    </cfRule>
    <cfRule type="expression" priority="103" aboveAverage="0" equalAverage="0" bottom="0" percent="0" rank="0" text="" dxfId="102">
      <formula>O20&gt;K20</formula>
    </cfRule>
  </conditionalFormatting>
  <conditionalFormatting sqref="V69">
    <cfRule type="expression" priority="104" aboveAverage="0" equalAverage="0" bottom="0" percent="0" rank="0" text="" dxfId="103">
      <formula>W69&lt;S69</formula>
    </cfRule>
    <cfRule type="expression" priority="105" aboveAverage="0" equalAverage="0" bottom="0" percent="0" rank="0" text="" dxfId="104">
      <formula>W69&gt;S69</formula>
    </cfRule>
  </conditionalFormatting>
  <conditionalFormatting sqref="V70">
    <cfRule type="expression" priority="106" aboveAverage="0" equalAverage="0" bottom="0" percent="0" rank="0" text="" dxfId="105">
      <formula>W70&lt;S70</formula>
    </cfRule>
    <cfRule type="expression" priority="107" aboveAverage="0" equalAverage="0" bottom="0" percent="0" rank="0" text="" dxfId="106">
      <formula>W70&gt;S70</formula>
    </cfRule>
  </conditionalFormatting>
  <conditionalFormatting sqref="V68">
    <cfRule type="expression" priority="108" aboveAverage="0" equalAverage="0" bottom="0" percent="0" rank="0" text="" dxfId="107">
      <formula>W68&lt;S68</formula>
    </cfRule>
    <cfRule type="expression" priority="109" aboveAverage="0" equalAverage="0" bottom="0" percent="0" rank="0" text="" dxfId="108">
      <formula>W68&gt;S68</formula>
    </cfRule>
  </conditionalFormatting>
  <conditionalFormatting sqref="V65">
    <cfRule type="expression" priority="110" aboveAverage="0" equalAverage="0" bottom="0" percent="0" rank="0" text="" dxfId="109">
      <formula>W65&lt;S65</formula>
    </cfRule>
    <cfRule type="expression" priority="111" aboveAverage="0" equalAverage="0" bottom="0" percent="0" rank="0" text="" dxfId="110">
      <formula>W65&gt;S65</formula>
    </cfRule>
  </conditionalFormatting>
  <conditionalFormatting sqref="V66">
    <cfRule type="expression" priority="112" aboveAverage="0" equalAverage="0" bottom="0" percent="0" rank="0" text="" dxfId="111">
      <formula>W66&lt;S66</formula>
    </cfRule>
    <cfRule type="expression" priority="113" aboveAverage="0" equalAverage="0" bottom="0" percent="0" rank="0" text="" dxfId="112">
      <formula>W66&gt;S66</formula>
    </cfRule>
  </conditionalFormatting>
  <conditionalFormatting sqref="V64">
    <cfRule type="expression" priority="114" aboveAverage="0" equalAverage="0" bottom="0" percent="0" rank="0" text="" dxfId="113">
      <formula>W64&lt;S64</formula>
    </cfRule>
    <cfRule type="expression" priority="115" aboveAverage="0" equalAverage="0" bottom="0" percent="0" rank="0" text="" dxfId="114">
      <formula>W64&gt;S64</formula>
    </cfRule>
  </conditionalFormatting>
  <conditionalFormatting sqref="V60">
    <cfRule type="expression" priority="116" aboveAverage="0" equalAverage="0" bottom="0" percent="0" rank="0" text="" dxfId="115">
      <formula>W60&lt;S60</formula>
    </cfRule>
    <cfRule type="expression" priority="117" aboveAverage="0" equalAverage="0" bottom="0" percent="0" rank="0" text="" dxfId="116">
      <formula>W60&gt;S60</formula>
    </cfRule>
  </conditionalFormatting>
  <conditionalFormatting sqref="V61">
    <cfRule type="expression" priority="118" aboveAverage="0" equalAverage="0" bottom="0" percent="0" rank="0" text="" dxfId="117">
      <formula>W61&lt;S61</formula>
    </cfRule>
    <cfRule type="expression" priority="119" aboveAverage="0" equalAverage="0" bottom="0" percent="0" rank="0" text="" dxfId="118">
      <formula>W61&gt;S61</formula>
    </cfRule>
  </conditionalFormatting>
  <conditionalFormatting sqref="V59">
    <cfRule type="expression" priority="120" aboveAverage="0" equalAverage="0" bottom="0" percent="0" rank="0" text="" dxfId="119">
      <formula>W59&lt;S59</formula>
    </cfRule>
    <cfRule type="expression" priority="121" aboveAverage="0" equalAverage="0" bottom="0" percent="0" rank="0" text="" dxfId="120">
      <formula>W59&gt;S59</formula>
    </cfRule>
  </conditionalFormatting>
  <conditionalFormatting sqref="V57">
    <cfRule type="expression" priority="122" aboveAverage="0" equalAverage="0" bottom="0" percent="0" rank="0" text="" dxfId="121">
      <formula>W57&lt;S57</formula>
    </cfRule>
    <cfRule type="expression" priority="123" aboveAverage="0" equalAverage="0" bottom="0" percent="0" rank="0" text="" dxfId="122">
      <formula>W57&gt;S57</formula>
    </cfRule>
  </conditionalFormatting>
  <conditionalFormatting sqref="V55:V56">
    <cfRule type="expression" priority="124" aboveAverage="0" equalAverage="0" bottom="0" percent="0" rank="0" text="" dxfId="123">
      <formula>W55&lt;S55</formula>
    </cfRule>
    <cfRule type="expression" priority="125" aboveAverage="0" equalAverage="0" bottom="0" percent="0" rank="0" text="" dxfId="124">
      <formula>W55&gt;S55</formula>
    </cfRule>
  </conditionalFormatting>
  <conditionalFormatting sqref="V51">
    <cfRule type="expression" priority="126" aboveAverage="0" equalAverage="0" bottom="0" percent="0" rank="0" text="" dxfId="125">
      <formula>W51&lt;S51</formula>
    </cfRule>
    <cfRule type="expression" priority="127" aboveAverage="0" equalAverage="0" bottom="0" percent="0" rank="0" text="" dxfId="126">
      <formula>W51&gt;S51</formula>
    </cfRule>
  </conditionalFormatting>
  <conditionalFormatting sqref="V52">
    <cfRule type="expression" priority="128" aboveAverage="0" equalAverage="0" bottom="0" percent="0" rank="0" text="" dxfId="127">
      <formula>W52&lt;S52</formula>
    </cfRule>
    <cfRule type="expression" priority="129" aboveAverage="0" equalAverage="0" bottom="0" percent="0" rank="0" text="" dxfId="128">
      <formula>W52&gt;S52</formula>
    </cfRule>
  </conditionalFormatting>
  <conditionalFormatting sqref="V50">
    <cfRule type="expression" priority="130" aboveAverage="0" equalAverage="0" bottom="0" percent="0" rank="0" text="" dxfId="129">
      <formula>W50&lt;S50</formula>
    </cfRule>
    <cfRule type="expression" priority="131" aboveAverage="0" equalAverage="0" bottom="0" percent="0" rank="0" text="" dxfId="130">
      <formula>W50&gt;S50</formula>
    </cfRule>
  </conditionalFormatting>
  <conditionalFormatting sqref="V47">
    <cfRule type="expression" priority="132" aboveAverage="0" equalAverage="0" bottom="0" percent="0" rank="0" text="" dxfId="131">
      <formula>W47&lt;S47</formula>
    </cfRule>
    <cfRule type="expression" priority="133" aboveAverage="0" equalAverage="0" bottom="0" percent="0" rank="0" text="" dxfId="132">
      <formula>W47&gt;S47</formula>
    </cfRule>
  </conditionalFormatting>
  <conditionalFormatting sqref="V48">
    <cfRule type="expression" priority="134" aboveAverage="0" equalAverage="0" bottom="0" percent="0" rank="0" text="" dxfId="133">
      <formula>W48&lt;S48</formula>
    </cfRule>
    <cfRule type="expression" priority="135" aboveAverage="0" equalAverage="0" bottom="0" percent="0" rank="0" text="" dxfId="134">
      <formula>W48&gt;S48</formula>
    </cfRule>
  </conditionalFormatting>
  <conditionalFormatting sqref="V46">
    <cfRule type="expression" priority="136" aboveAverage="0" equalAverage="0" bottom="0" percent="0" rank="0" text="" dxfId="135">
      <formula>W46&lt;S46</formula>
    </cfRule>
    <cfRule type="expression" priority="137" aboveAverage="0" equalAverage="0" bottom="0" percent="0" rank="0" text="" dxfId="136">
      <formula>W46&gt;S46</formula>
    </cfRule>
  </conditionalFormatting>
  <conditionalFormatting sqref="R69">
    <cfRule type="expression" priority="138" aboveAverage="0" equalAverage="0" bottom="0" percent="0" rank="0" text="" dxfId="137">
      <formula>S69&lt;O69</formula>
    </cfRule>
    <cfRule type="expression" priority="139" aboveAverage="0" equalAverage="0" bottom="0" percent="0" rank="0" text="" dxfId="138">
      <formula>S69&gt;O69</formula>
    </cfRule>
  </conditionalFormatting>
  <conditionalFormatting sqref="R70">
    <cfRule type="expression" priority="140" aboveAverage="0" equalAverage="0" bottom="0" percent="0" rank="0" text="" dxfId="139">
      <formula>S70&lt;O70</formula>
    </cfRule>
    <cfRule type="expression" priority="141" aboveAverage="0" equalAverage="0" bottom="0" percent="0" rank="0" text="" dxfId="140">
      <formula>S70&gt;O70</formula>
    </cfRule>
  </conditionalFormatting>
  <conditionalFormatting sqref="R68">
    <cfRule type="expression" priority="142" aboveAverage="0" equalAverage="0" bottom="0" percent="0" rank="0" text="" dxfId="141">
      <formula>S68&lt;O68</formula>
    </cfRule>
    <cfRule type="expression" priority="143" aboveAverage="0" equalAverage="0" bottom="0" percent="0" rank="0" text="" dxfId="142">
      <formula>S68&gt;O68</formula>
    </cfRule>
  </conditionalFormatting>
  <conditionalFormatting sqref="R65">
    <cfRule type="expression" priority="144" aboveAverage="0" equalAverage="0" bottom="0" percent="0" rank="0" text="" dxfId="143">
      <formula>S65&lt;O65</formula>
    </cfRule>
    <cfRule type="expression" priority="145" aboveAverage="0" equalAverage="0" bottom="0" percent="0" rank="0" text="" dxfId="144">
      <formula>S65&gt;O65</formula>
    </cfRule>
  </conditionalFormatting>
  <conditionalFormatting sqref="R66">
    <cfRule type="expression" priority="146" aboveAverage="0" equalAverage="0" bottom="0" percent="0" rank="0" text="" dxfId="145">
      <formula>S66&lt;O66</formula>
    </cfRule>
    <cfRule type="expression" priority="147" aboveAverage="0" equalAverage="0" bottom="0" percent="0" rank="0" text="" dxfId="146">
      <formula>S66&gt;O66</formula>
    </cfRule>
  </conditionalFormatting>
  <conditionalFormatting sqref="R64">
    <cfRule type="expression" priority="148" aboveAverage="0" equalAverage="0" bottom="0" percent="0" rank="0" text="" dxfId="147">
      <formula>S64&lt;O64</formula>
    </cfRule>
    <cfRule type="expression" priority="149" aboveAverage="0" equalAverage="0" bottom="0" percent="0" rank="0" text="" dxfId="148">
      <formula>S64&gt;O64</formula>
    </cfRule>
  </conditionalFormatting>
  <conditionalFormatting sqref="R60">
    <cfRule type="expression" priority="150" aboveAverage="0" equalAverage="0" bottom="0" percent="0" rank="0" text="" dxfId="149">
      <formula>S60&lt;O60</formula>
    </cfRule>
    <cfRule type="expression" priority="151" aboveAverage="0" equalAverage="0" bottom="0" percent="0" rank="0" text="" dxfId="150">
      <formula>S60&gt;O60</formula>
    </cfRule>
  </conditionalFormatting>
  <conditionalFormatting sqref="R61">
    <cfRule type="expression" priority="152" aboveAverage="0" equalAverage="0" bottom="0" percent="0" rank="0" text="" dxfId="151">
      <formula>S61&lt;O61</formula>
    </cfRule>
    <cfRule type="expression" priority="153" aboveAverage="0" equalAverage="0" bottom="0" percent="0" rank="0" text="" dxfId="152">
      <formula>S61&gt;O61</formula>
    </cfRule>
  </conditionalFormatting>
  <conditionalFormatting sqref="R59">
    <cfRule type="expression" priority="154" aboveAverage="0" equalAverage="0" bottom="0" percent="0" rank="0" text="" dxfId="153">
      <formula>S59&lt;O59</formula>
    </cfRule>
    <cfRule type="expression" priority="155" aboveAverage="0" equalAverage="0" bottom="0" percent="0" rank="0" text="" dxfId="154">
      <formula>S59&gt;O59</formula>
    </cfRule>
  </conditionalFormatting>
  <conditionalFormatting sqref="R57">
    <cfRule type="expression" priority="156" aboveAverage="0" equalAverage="0" bottom="0" percent="0" rank="0" text="" dxfId="155">
      <formula>S57&lt;O57</formula>
    </cfRule>
    <cfRule type="expression" priority="157" aboveAverage="0" equalAverage="0" bottom="0" percent="0" rank="0" text="" dxfId="156">
      <formula>S57&gt;O57</formula>
    </cfRule>
  </conditionalFormatting>
  <conditionalFormatting sqref="R55:R56">
    <cfRule type="expression" priority="158" aboveAverage="0" equalAverage="0" bottom="0" percent="0" rank="0" text="" dxfId="157">
      <formula>S55&lt;O55</formula>
    </cfRule>
    <cfRule type="expression" priority="159" aboveAverage="0" equalAverage="0" bottom="0" percent="0" rank="0" text="" dxfId="158">
      <formula>S55&gt;O55</formula>
    </cfRule>
  </conditionalFormatting>
  <conditionalFormatting sqref="R51">
    <cfRule type="expression" priority="160" aboveAverage="0" equalAverage="0" bottom="0" percent="0" rank="0" text="" dxfId="159">
      <formula>S51&lt;O51</formula>
    </cfRule>
    <cfRule type="expression" priority="161" aboveAverage="0" equalAverage="0" bottom="0" percent="0" rank="0" text="" dxfId="160">
      <formula>S51&gt;O51</formula>
    </cfRule>
  </conditionalFormatting>
  <conditionalFormatting sqref="R52">
    <cfRule type="expression" priority="162" aboveAverage="0" equalAverage="0" bottom="0" percent="0" rank="0" text="" dxfId="161">
      <formula>S52&lt;O52</formula>
    </cfRule>
    <cfRule type="expression" priority="163" aboveAverage="0" equalAverage="0" bottom="0" percent="0" rank="0" text="" dxfId="162">
      <formula>S52&gt;O52</formula>
    </cfRule>
  </conditionalFormatting>
  <conditionalFormatting sqref="R50">
    <cfRule type="expression" priority="164" aboveAverage="0" equalAverage="0" bottom="0" percent="0" rank="0" text="" dxfId="163">
      <formula>S50&lt;O50</formula>
    </cfRule>
    <cfRule type="expression" priority="165" aboveAverage="0" equalAverage="0" bottom="0" percent="0" rank="0" text="" dxfId="164">
      <formula>S50&gt;O50</formula>
    </cfRule>
  </conditionalFormatting>
  <conditionalFormatting sqref="R47">
    <cfRule type="expression" priority="166" aboveAverage="0" equalAverage="0" bottom="0" percent="0" rank="0" text="" dxfId="165">
      <formula>S47&lt;O47</formula>
    </cfRule>
    <cfRule type="expression" priority="167" aboveAverage="0" equalAverage="0" bottom="0" percent="0" rank="0" text="" dxfId="166">
      <formula>S47&gt;O47</formula>
    </cfRule>
  </conditionalFormatting>
  <conditionalFormatting sqref="R48">
    <cfRule type="expression" priority="168" aboveAverage="0" equalAverage="0" bottom="0" percent="0" rank="0" text="" dxfId="167">
      <formula>S48&lt;O48</formula>
    </cfRule>
    <cfRule type="expression" priority="169" aboveAverage="0" equalAverage="0" bottom="0" percent="0" rank="0" text="" dxfId="168">
      <formula>S48&gt;O48</formula>
    </cfRule>
  </conditionalFormatting>
  <conditionalFormatting sqref="R46">
    <cfRule type="expression" priority="170" aboveAverage="0" equalAverage="0" bottom="0" percent="0" rank="0" text="" dxfId="169">
      <formula>S46&lt;O46</formula>
    </cfRule>
    <cfRule type="expression" priority="171" aboveAverage="0" equalAverage="0" bottom="0" percent="0" rank="0" text="" dxfId="170">
      <formula>S46&gt;O46</formula>
    </cfRule>
  </conditionalFormatting>
  <conditionalFormatting sqref="N69">
    <cfRule type="expression" priority="172" aboveAverage="0" equalAverage="0" bottom="0" percent="0" rank="0" text="" dxfId="171">
      <formula>O69&lt;K69</formula>
    </cfRule>
    <cfRule type="expression" priority="173" aboveAverage="0" equalAverage="0" bottom="0" percent="0" rank="0" text="" dxfId="172">
      <formula>O69&gt;K69</formula>
    </cfRule>
  </conditionalFormatting>
  <conditionalFormatting sqref="N70">
    <cfRule type="expression" priority="174" aboveAverage="0" equalAverage="0" bottom="0" percent="0" rank="0" text="" dxfId="173">
      <formula>O70&lt;K70</formula>
    </cfRule>
    <cfRule type="expression" priority="175" aboveAverage="0" equalAverage="0" bottom="0" percent="0" rank="0" text="" dxfId="174">
      <formula>O70&gt;K70</formula>
    </cfRule>
  </conditionalFormatting>
  <conditionalFormatting sqref="N68">
    <cfRule type="expression" priority="176" aboveAverage="0" equalAverage="0" bottom="0" percent="0" rank="0" text="" dxfId="175">
      <formula>O68&lt;K68</formula>
    </cfRule>
    <cfRule type="expression" priority="177" aboveAverage="0" equalAverage="0" bottom="0" percent="0" rank="0" text="" dxfId="176">
      <formula>O68&gt;K68</formula>
    </cfRule>
  </conditionalFormatting>
  <conditionalFormatting sqref="N65">
    <cfRule type="expression" priority="178" aboveAverage="0" equalAverage="0" bottom="0" percent="0" rank="0" text="" dxfId="177">
      <formula>O65&lt;K65</formula>
    </cfRule>
    <cfRule type="expression" priority="179" aboveAverage="0" equalAverage="0" bottom="0" percent="0" rank="0" text="" dxfId="178">
      <formula>O65&gt;K65</formula>
    </cfRule>
  </conditionalFormatting>
  <conditionalFormatting sqref="N66">
    <cfRule type="expression" priority="180" aboveAverage="0" equalAverage="0" bottom="0" percent="0" rank="0" text="" dxfId="179">
      <formula>O66&lt;K66</formula>
    </cfRule>
    <cfRule type="expression" priority="181" aboveAverage="0" equalAverage="0" bottom="0" percent="0" rank="0" text="" dxfId="180">
      <formula>O66&gt;K66</formula>
    </cfRule>
  </conditionalFormatting>
  <conditionalFormatting sqref="N64">
    <cfRule type="expression" priority="182" aboveAverage="0" equalAverage="0" bottom="0" percent="0" rank="0" text="" dxfId="181">
      <formula>O64&lt;K64</formula>
    </cfRule>
    <cfRule type="expression" priority="183" aboveAverage="0" equalAverage="0" bottom="0" percent="0" rank="0" text="" dxfId="182">
      <formula>O64&gt;K64</formula>
    </cfRule>
  </conditionalFormatting>
  <conditionalFormatting sqref="N60">
    <cfRule type="expression" priority="184" aboveAverage="0" equalAverage="0" bottom="0" percent="0" rank="0" text="" dxfId="183">
      <formula>O60&lt;K60</formula>
    </cfRule>
    <cfRule type="expression" priority="185" aboveAverage="0" equalAverage="0" bottom="0" percent="0" rank="0" text="" dxfId="184">
      <formula>O60&gt;K60</formula>
    </cfRule>
  </conditionalFormatting>
  <conditionalFormatting sqref="N61">
    <cfRule type="expression" priority="186" aboveAverage="0" equalAverage="0" bottom="0" percent="0" rank="0" text="" dxfId="185">
      <formula>O61&lt;K61</formula>
    </cfRule>
    <cfRule type="expression" priority="187" aboveAverage="0" equalAverage="0" bottom="0" percent="0" rank="0" text="" dxfId="186">
      <formula>O61&gt;K61</formula>
    </cfRule>
  </conditionalFormatting>
  <conditionalFormatting sqref="N59">
    <cfRule type="expression" priority="188" aboveAverage="0" equalAverage="0" bottom="0" percent="0" rank="0" text="" dxfId="187">
      <formula>O59&lt;K59</formula>
    </cfRule>
    <cfRule type="expression" priority="189" aboveAverage="0" equalAverage="0" bottom="0" percent="0" rank="0" text="" dxfId="188">
      <formula>O59&gt;K59</formula>
    </cfRule>
  </conditionalFormatting>
  <conditionalFormatting sqref="N57">
    <cfRule type="expression" priority="190" aboveAverage="0" equalAverage="0" bottom="0" percent="0" rank="0" text="" dxfId="189">
      <formula>O57&lt;K57</formula>
    </cfRule>
    <cfRule type="expression" priority="191" aboveAverage="0" equalAverage="0" bottom="0" percent="0" rank="0" text="" dxfId="190">
      <formula>O57&gt;K57</formula>
    </cfRule>
  </conditionalFormatting>
  <conditionalFormatting sqref="N55:N56">
    <cfRule type="expression" priority="192" aboveAverage="0" equalAverage="0" bottom="0" percent="0" rank="0" text="" dxfId="191">
      <formula>O55&lt;K55</formula>
    </cfRule>
    <cfRule type="expression" priority="193" aboveAverage="0" equalAverage="0" bottom="0" percent="0" rank="0" text="" dxfId="192">
      <formula>O55&gt;K55</formula>
    </cfRule>
  </conditionalFormatting>
  <conditionalFormatting sqref="N51">
    <cfRule type="expression" priority="194" aboveAverage="0" equalAverage="0" bottom="0" percent="0" rank="0" text="" dxfId="193">
      <formula>O51&lt;K51</formula>
    </cfRule>
    <cfRule type="expression" priority="195" aboveAverage="0" equalAverage="0" bottom="0" percent="0" rank="0" text="" dxfId="194">
      <formula>O51&gt;K51</formula>
    </cfRule>
  </conditionalFormatting>
  <conditionalFormatting sqref="N52">
    <cfRule type="expression" priority="196" aboveAverage="0" equalAverage="0" bottom="0" percent="0" rank="0" text="" dxfId="195">
      <formula>O52&lt;K52</formula>
    </cfRule>
    <cfRule type="expression" priority="197" aboveAverage="0" equalAverage="0" bottom="0" percent="0" rank="0" text="" dxfId="196">
      <formula>O52&gt;K52</formula>
    </cfRule>
  </conditionalFormatting>
  <conditionalFormatting sqref="N50">
    <cfRule type="expression" priority="198" aboveAverage="0" equalAverage="0" bottom="0" percent="0" rank="0" text="" dxfId="197">
      <formula>O50&lt;K50</formula>
    </cfRule>
    <cfRule type="expression" priority="199" aboveAverage="0" equalAverage="0" bottom="0" percent="0" rank="0" text="" dxfId="198">
      <formula>O50&gt;K50</formula>
    </cfRule>
  </conditionalFormatting>
  <conditionalFormatting sqref="N47">
    <cfRule type="expression" priority="200" aboveAverage="0" equalAverage="0" bottom="0" percent="0" rank="0" text="" dxfId="199">
      <formula>O47&lt;K47</formula>
    </cfRule>
    <cfRule type="expression" priority="201" aboveAverage="0" equalAverage="0" bottom="0" percent="0" rank="0" text="" dxfId="200">
      <formula>O47&gt;K47</formula>
    </cfRule>
  </conditionalFormatting>
  <conditionalFormatting sqref="N48">
    <cfRule type="expression" priority="202" aboveAverage="0" equalAverage="0" bottom="0" percent="0" rank="0" text="" dxfId="201">
      <formula>O48&lt;K48</formula>
    </cfRule>
    <cfRule type="expression" priority="203" aboveAverage="0" equalAverage="0" bottom="0" percent="0" rank="0" text="" dxfId="202">
      <formula>O48&gt;K48</formula>
    </cfRule>
  </conditionalFormatting>
  <conditionalFormatting sqref="N46">
    <cfRule type="expression" priority="204" aboveAverage="0" equalAverage="0" bottom="0" percent="0" rank="0" text="" dxfId="203">
      <formula>O46&lt;K46</formula>
    </cfRule>
    <cfRule type="expression" priority="205" aboveAverage="0" equalAverage="0" bottom="0" percent="0" rank="0" text="" dxfId="204">
      <formula>O46&gt;K46</formula>
    </cfRule>
  </conditionalFormatting>
  <conditionalFormatting sqref="V98">
    <cfRule type="expression" priority="206" aboveAverage="0" equalAverage="0" bottom="0" percent="0" rank="0" text="" dxfId="205">
      <formula>W98&lt;S98</formula>
    </cfRule>
    <cfRule type="expression" priority="207" aboveAverage="0" equalAverage="0" bottom="0" percent="0" rank="0" text="" dxfId="206">
      <formula>W98&gt;S98</formula>
    </cfRule>
  </conditionalFormatting>
  <conditionalFormatting sqref="V80">
    <cfRule type="expression" priority="208" aboveAverage="0" equalAverage="0" bottom="0" percent="0" rank="0" text="" dxfId="207">
      <formula>W80&lt;S80</formula>
    </cfRule>
    <cfRule type="expression" priority="209" aboveAverage="0" equalAverage="0" bottom="0" percent="0" rank="0" text="" dxfId="208">
      <formula>W80&gt;S80</formula>
    </cfRule>
  </conditionalFormatting>
  <conditionalFormatting sqref="V97">
    <cfRule type="expression" priority="210" aboveAverage="0" equalAverage="0" bottom="0" percent="0" rank="0" text="" dxfId="209">
      <formula>W97&lt;S97</formula>
    </cfRule>
    <cfRule type="expression" priority="211" aboveAverage="0" equalAverage="0" bottom="0" percent="0" rank="0" text="" dxfId="210">
      <formula>W97&gt;S97</formula>
    </cfRule>
  </conditionalFormatting>
  <conditionalFormatting sqref="V96">
    <cfRule type="expression" priority="212" aboveAverage="0" equalAverage="0" bottom="0" percent="0" rank="0" text="" dxfId="211">
      <formula>W96&lt;S96</formula>
    </cfRule>
    <cfRule type="expression" priority="213" aboveAverage="0" equalAverage="0" bottom="0" percent="0" rank="0" text="" dxfId="212">
      <formula>W96&gt;S96</formula>
    </cfRule>
  </conditionalFormatting>
  <conditionalFormatting sqref="V93">
    <cfRule type="expression" priority="214" aboveAverage="0" equalAverage="0" bottom="0" percent="0" rank="0" text="" dxfId="213">
      <formula>W93&lt;S93</formula>
    </cfRule>
    <cfRule type="expression" priority="215" aboveAverage="0" equalAverage="0" bottom="0" percent="0" rank="0" text="" dxfId="214">
      <formula>W93&gt;S93</formula>
    </cfRule>
  </conditionalFormatting>
  <conditionalFormatting sqref="V94">
    <cfRule type="expression" priority="216" aboveAverage="0" equalAverage="0" bottom="0" percent="0" rank="0" text="" dxfId="215">
      <formula>W94&lt;S94</formula>
    </cfRule>
    <cfRule type="expression" priority="217" aboveAverage="0" equalAverage="0" bottom="0" percent="0" rank="0" text="" dxfId="216">
      <formula>W94&gt;S94</formula>
    </cfRule>
  </conditionalFormatting>
  <conditionalFormatting sqref="V92">
    <cfRule type="expression" priority="218" aboveAverage="0" equalAverage="0" bottom="0" percent="0" rank="0" text="" dxfId="217">
      <formula>W92&lt;S92</formula>
    </cfRule>
    <cfRule type="expression" priority="219" aboveAverage="0" equalAverage="0" bottom="0" percent="0" rank="0" text="" dxfId="218">
      <formula>W92&gt;S92</formula>
    </cfRule>
  </conditionalFormatting>
  <conditionalFormatting sqref="V88">
    <cfRule type="expression" priority="220" aboveAverage="0" equalAverage="0" bottom="0" percent="0" rank="0" text="" dxfId="219">
      <formula>W88&lt;S88</formula>
    </cfRule>
    <cfRule type="expression" priority="221" aboveAverage="0" equalAverage="0" bottom="0" percent="0" rank="0" text="" dxfId="220">
      <formula>W88&gt;S88</formula>
    </cfRule>
  </conditionalFormatting>
  <conditionalFormatting sqref="V89">
    <cfRule type="expression" priority="222" aboveAverage="0" equalAverage="0" bottom="0" percent="0" rank="0" text="" dxfId="221">
      <formula>W89&lt;S89</formula>
    </cfRule>
    <cfRule type="expression" priority="223" aboveAverage="0" equalAverage="0" bottom="0" percent="0" rank="0" text="" dxfId="222">
      <formula>W89&gt;S89</formula>
    </cfRule>
  </conditionalFormatting>
  <conditionalFormatting sqref="V87">
    <cfRule type="expression" priority="224" aboveAverage="0" equalAverage="0" bottom="0" percent="0" rank="0" text="" dxfId="223">
      <formula>W87&lt;S87</formula>
    </cfRule>
    <cfRule type="expression" priority="225" aboveAverage="0" equalAverage="0" bottom="0" percent="0" rank="0" text="" dxfId="224">
      <formula>W87&gt;S87</formula>
    </cfRule>
  </conditionalFormatting>
  <conditionalFormatting sqref="V84">
    <cfRule type="expression" priority="226" aboveAverage="0" equalAverage="0" bottom="0" percent="0" rank="0" text="" dxfId="225">
      <formula>W84&lt;S84</formula>
    </cfRule>
    <cfRule type="expression" priority="227" aboveAverage="0" equalAverage="0" bottom="0" percent="0" rank="0" text="" dxfId="226">
      <formula>W84&gt;S84</formula>
    </cfRule>
  </conditionalFormatting>
  <conditionalFormatting sqref="V85">
    <cfRule type="expression" priority="228" aboveAverage="0" equalAverage="0" bottom="0" percent="0" rank="0" text="" dxfId="227">
      <formula>W85&lt;S85</formula>
    </cfRule>
    <cfRule type="expression" priority="229" aboveAverage="0" equalAverage="0" bottom="0" percent="0" rank="0" text="" dxfId="228">
      <formula>W85&gt;S85</formula>
    </cfRule>
  </conditionalFormatting>
  <conditionalFormatting sqref="V83">
    <cfRule type="expression" priority="230" aboveAverage="0" equalAverage="0" bottom="0" percent="0" rank="0" text="" dxfId="229">
      <formula>W83&lt;S83</formula>
    </cfRule>
    <cfRule type="expression" priority="231" aboveAverage="0" equalAverage="0" bottom="0" percent="0" rank="0" text="" dxfId="230">
      <formula>W83&gt;S83</formula>
    </cfRule>
  </conditionalFormatting>
  <conditionalFormatting sqref="V79">
    <cfRule type="expression" priority="232" aboveAverage="0" equalAverage="0" bottom="0" percent="0" rank="0" text="" dxfId="231">
      <formula>W79&lt;S79</formula>
    </cfRule>
    <cfRule type="expression" priority="233" aboveAverage="0" equalAverage="0" bottom="0" percent="0" rank="0" text="" dxfId="232">
      <formula>W79&gt;S79</formula>
    </cfRule>
  </conditionalFormatting>
  <conditionalFormatting sqref="V78">
    <cfRule type="expression" priority="234" aboveAverage="0" equalAverage="0" bottom="0" percent="0" rank="0" text="" dxfId="233">
      <formula>W78&lt;S78</formula>
    </cfRule>
    <cfRule type="expression" priority="235" aboveAverage="0" equalAverage="0" bottom="0" percent="0" rank="0" text="" dxfId="234">
      <formula>W78&gt;S78</formula>
    </cfRule>
  </conditionalFormatting>
  <conditionalFormatting sqref="V75">
    <cfRule type="expression" priority="236" aboveAverage="0" equalAverage="0" bottom="0" percent="0" rank="0" text="" dxfId="235">
      <formula>W75&lt;S75</formula>
    </cfRule>
    <cfRule type="expression" priority="237" aboveAverage="0" equalAverage="0" bottom="0" percent="0" rank="0" text="" dxfId="236">
      <formula>W75&gt;S75</formula>
    </cfRule>
  </conditionalFormatting>
  <conditionalFormatting sqref="V76">
    <cfRule type="expression" priority="238" aboveAverage="0" equalAverage="0" bottom="0" percent="0" rank="0" text="" dxfId="237">
      <formula>W76&lt;S76</formula>
    </cfRule>
    <cfRule type="expression" priority="239" aboveAverage="0" equalAverage="0" bottom="0" percent="0" rank="0" text="" dxfId="238">
      <formula>W76&gt;S76</formula>
    </cfRule>
  </conditionalFormatting>
  <conditionalFormatting sqref="V74">
    <cfRule type="expression" priority="240" aboveAverage="0" equalAverage="0" bottom="0" percent="0" rank="0" text="" dxfId="239">
      <formula>W74&lt;S74</formula>
    </cfRule>
    <cfRule type="expression" priority="241" aboveAverage="0" equalAverage="0" bottom="0" percent="0" rank="0" text="" dxfId="240">
      <formula>W74&gt;S74</formula>
    </cfRule>
  </conditionalFormatting>
  <conditionalFormatting sqref="V125">
    <cfRule type="expression" priority="242" aboveAverage="0" equalAverage="0" bottom="0" percent="0" rank="0" text="" dxfId="241">
      <formula>W125&lt;S125</formula>
    </cfRule>
    <cfRule type="expression" priority="243" aboveAverage="0" equalAverage="0" bottom="0" percent="0" rank="0" text="" dxfId="242">
      <formula>W125&gt;S125</formula>
    </cfRule>
  </conditionalFormatting>
  <conditionalFormatting sqref="V126">
    <cfRule type="expression" priority="244" aboveAverage="0" equalAverage="0" bottom="0" percent="0" rank="0" text="" dxfId="243">
      <formula>W126&lt;S126</formula>
    </cfRule>
    <cfRule type="expression" priority="245" aboveAverage="0" equalAverage="0" bottom="0" percent="0" rank="0" text="" dxfId="244">
      <formula>W126&gt;S126</formula>
    </cfRule>
  </conditionalFormatting>
  <conditionalFormatting sqref="V124">
    <cfRule type="expression" priority="246" aboveAverage="0" equalAverage="0" bottom="0" percent="0" rank="0" text="" dxfId="245">
      <formula>W124&lt;S124</formula>
    </cfRule>
    <cfRule type="expression" priority="247" aboveAverage="0" equalAverage="0" bottom="0" percent="0" rank="0" text="" dxfId="246">
      <formula>W124&gt;S124</formula>
    </cfRule>
  </conditionalFormatting>
  <conditionalFormatting sqref="V121">
    <cfRule type="expression" priority="248" aboveAverage="0" equalAverage="0" bottom="0" percent="0" rank="0" text="" dxfId="247">
      <formula>W121&lt;S121</formula>
    </cfRule>
    <cfRule type="expression" priority="249" aboveAverage="0" equalAverage="0" bottom="0" percent="0" rank="0" text="" dxfId="248">
      <formula>W121&gt;S121</formula>
    </cfRule>
  </conditionalFormatting>
  <conditionalFormatting sqref="V122">
    <cfRule type="expression" priority="250" aboveAverage="0" equalAverage="0" bottom="0" percent="0" rank="0" text="" dxfId="249">
      <formula>W122&lt;S122</formula>
    </cfRule>
    <cfRule type="expression" priority="251" aboveAverage="0" equalAverage="0" bottom="0" percent="0" rank="0" text="" dxfId="250">
      <formula>W122&gt;S122</formula>
    </cfRule>
  </conditionalFormatting>
  <conditionalFormatting sqref="V120">
    <cfRule type="expression" priority="252" aboveAverage="0" equalAverage="0" bottom="0" percent="0" rank="0" text="" dxfId="251">
      <formula>W120&lt;S120</formula>
    </cfRule>
    <cfRule type="expression" priority="253" aboveAverage="0" equalAverage="0" bottom="0" percent="0" rank="0" text="" dxfId="252">
      <formula>W120&gt;S120</formula>
    </cfRule>
  </conditionalFormatting>
  <conditionalFormatting sqref="V116">
    <cfRule type="expression" priority="254" aboveAverage="0" equalAverage="0" bottom="0" percent="0" rank="0" text="" dxfId="253">
      <formula>W116&lt;S116</formula>
    </cfRule>
    <cfRule type="expression" priority="255" aboveAverage="0" equalAverage="0" bottom="0" percent="0" rank="0" text="" dxfId="254">
      <formula>W116&gt;S116</formula>
    </cfRule>
  </conditionalFormatting>
  <conditionalFormatting sqref="V117">
    <cfRule type="expression" priority="256" aboveAverage="0" equalAverage="0" bottom="0" percent="0" rank="0" text="" dxfId="255">
      <formula>W117&lt;S117</formula>
    </cfRule>
    <cfRule type="expression" priority="257" aboveAverage="0" equalAverage="0" bottom="0" percent="0" rank="0" text="" dxfId="256">
      <formula>W117&gt;S117</formula>
    </cfRule>
  </conditionalFormatting>
  <conditionalFormatting sqref="V115">
    <cfRule type="expression" priority="258" aboveAverage="0" equalAverage="0" bottom="0" percent="0" rank="0" text="" dxfId="257">
      <formula>W115&lt;S115</formula>
    </cfRule>
    <cfRule type="expression" priority="259" aboveAverage="0" equalAverage="0" bottom="0" percent="0" rank="0" text="" dxfId="258">
      <formula>W115&gt;S115</formula>
    </cfRule>
  </conditionalFormatting>
  <conditionalFormatting sqref="V112">
    <cfRule type="expression" priority="260" aboveAverage="0" equalAverage="0" bottom="0" percent="0" rank="0" text="" dxfId="259">
      <formula>W112&lt;S112</formula>
    </cfRule>
    <cfRule type="expression" priority="261" aboveAverage="0" equalAverage="0" bottom="0" percent="0" rank="0" text="" dxfId="260">
      <formula>W112&gt;S112</formula>
    </cfRule>
  </conditionalFormatting>
  <conditionalFormatting sqref="V113">
    <cfRule type="expression" priority="262" aboveAverage="0" equalAverage="0" bottom="0" percent="0" rank="0" text="" dxfId="261">
      <formula>W113&lt;S113</formula>
    </cfRule>
    <cfRule type="expression" priority="263" aboveAverage="0" equalAverage="0" bottom="0" percent="0" rank="0" text="" dxfId="262">
      <formula>W113&gt;S113</formula>
    </cfRule>
  </conditionalFormatting>
  <conditionalFormatting sqref="V111">
    <cfRule type="expression" priority="264" aboveAverage="0" equalAverage="0" bottom="0" percent="0" rank="0" text="" dxfId="263">
      <formula>W111&lt;S111</formula>
    </cfRule>
    <cfRule type="expression" priority="265" aboveAverage="0" equalAverage="0" bottom="0" percent="0" rank="0" text="" dxfId="264">
      <formula>W111&gt;S111</formula>
    </cfRule>
  </conditionalFormatting>
  <conditionalFormatting sqref="V107">
    <cfRule type="expression" priority="266" aboveAverage="0" equalAverage="0" bottom="0" percent="0" rank="0" text="" dxfId="265">
      <formula>W107&lt;S107</formula>
    </cfRule>
    <cfRule type="expression" priority="267" aboveAverage="0" equalAverage="0" bottom="0" percent="0" rank="0" text="" dxfId="266">
      <formula>W107&gt;S107</formula>
    </cfRule>
  </conditionalFormatting>
  <conditionalFormatting sqref="V108">
    <cfRule type="expression" priority="268" aboveAverage="0" equalAverage="0" bottom="0" percent="0" rank="0" text="" dxfId="267">
      <formula>W108&lt;S108</formula>
    </cfRule>
    <cfRule type="expression" priority="269" aboveAverage="0" equalAverage="0" bottom="0" percent="0" rank="0" text="" dxfId="268">
      <formula>W108&gt;S108</formula>
    </cfRule>
  </conditionalFormatting>
  <conditionalFormatting sqref="V106">
    <cfRule type="expression" priority="270" aboveAverage="0" equalAverage="0" bottom="0" percent="0" rank="0" text="" dxfId="269">
      <formula>W106&lt;S106</formula>
    </cfRule>
    <cfRule type="expression" priority="271" aboveAverage="0" equalAverage="0" bottom="0" percent="0" rank="0" text="" dxfId="270">
      <formula>W106&gt;S106</formula>
    </cfRule>
  </conditionalFormatting>
  <conditionalFormatting sqref="V103">
    <cfRule type="expression" priority="272" aboveAverage="0" equalAverage="0" bottom="0" percent="0" rank="0" text="" dxfId="271">
      <formula>W103&lt;S103</formula>
    </cfRule>
    <cfRule type="expression" priority="273" aboveAverage="0" equalAverage="0" bottom="0" percent="0" rank="0" text="" dxfId="272">
      <formula>W103&gt;S103</formula>
    </cfRule>
  </conditionalFormatting>
  <conditionalFormatting sqref="V104">
    <cfRule type="expression" priority="274" aboveAverage="0" equalAverage="0" bottom="0" percent="0" rank="0" text="" dxfId="273">
      <formula>W104&lt;S104</formula>
    </cfRule>
    <cfRule type="expression" priority="275" aboveAverage="0" equalAverage="0" bottom="0" percent="0" rank="0" text="" dxfId="274">
      <formula>W104&gt;S104</formula>
    </cfRule>
  </conditionalFormatting>
  <conditionalFormatting sqref="V102">
    <cfRule type="expression" priority="276" aboveAverage="0" equalAverage="0" bottom="0" percent="0" rank="0" text="" dxfId="275">
      <formula>W102&lt;S102</formula>
    </cfRule>
    <cfRule type="expression" priority="277" aboveAverage="0" equalAverage="0" bottom="0" percent="0" rank="0" text="" dxfId="276">
      <formula>W102&gt;S102</formula>
    </cfRule>
  </conditionalFormatting>
  <conditionalFormatting sqref="R125">
    <cfRule type="expression" priority="278" aboveAverage="0" equalAverage="0" bottom="0" percent="0" rank="0" text="" dxfId="277">
      <formula>S125&lt;O125</formula>
    </cfRule>
    <cfRule type="expression" priority="279" aboveAverage="0" equalAverage="0" bottom="0" percent="0" rank="0" text="" dxfId="278">
      <formula>S125&gt;O125</formula>
    </cfRule>
  </conditionalFormatting>
  <conditionalFormatting sqref="R126">
    <cfRule type="expression" priority="280" aboveAverage="0" equalAverage="0" bottom="0" percent="0" rank="0" text="" dxfId="279">
      <formula>S126&lt;O126</formula>
    </cfRule>
    <cfRule type="expression" priority="281" aboveAverage="0" equalAverage="0" bottom="0" percent="0" rank="0" text="" dxfId="280">
      <formula>S126&gt;O126</formula>
    </cfRule>
  </conditionalFormatting>
  <conditionalFormatting sqref="R124">
    <cfRule type="expression" priority="282" aboveAverage="0" equalAverage="0" bottom="0" percent="0" rank="0" text="" dxfId="281">
      <formula>S124&lt;O124</formula>
    </cfRule>
    <cfRule type="expression" priority="283" aboveAverage="0" equalAverage="0" bottom="0" percent="0" rank="0" text="" dxfId="282">
      <formula>S124&gt;O124</formula>
    </cfRule>
  </conditionalFormatting>
  <conditionalFormatting sqref="R121">
    <cfRule type="expression" priority="284" aboveAverage="0" equalAverage="0" bottom="0" percent="0" rank="0" text="" dxfId="283">
      <formula>S121&lt;O121</formula>
    </cfRule>
    <cfRule type="expression" priority="285" aboveAverage="0" equalAverage="0" bottom="0" percent="0" rank="0" text="" dxfId="284">
      <formula>S121&gt;O121</formula>
    </cfRule>
  </conditionalFormatting>
  <conditionalFormatting sqref="R122">
    <cfRule type="expression" priority="286" aboveAverage="0" equalAverage="0" bottom="0" percent="0" rank="0" text="" dxfId="285">
      <formula>S122&lt;O122</formula>
    </cfRule>
    <cfRule type="expression" priority="287" aboveAverage="0" equalAverage="0" bottom="0" percent="0" rank="0" text="" dxfId="286">
      <formula>S122&gt;O122</formula>
    </cfRule>
  </conditionalFormatting>
  <conditionalFormatting sqref="R120">
    <cfRule type="expression" priority="288" aboveAverage="0" equalAverage="0" bottom="0" percent="0" rank="0" text="" dxfId="287">
      <formula>S120&lt;O120</formula>
    </cfRule>
    <cfRule type="expression" priority="289" aboveAverage="0" equalAverage="0" bottom="0" percent="0" rank="0" text="" dxfId="288">
      <formula>S120&gt;O120</formula>
    </cfRule>
  </conditionalFormatting>
  <conditionalFormatting sqref="R116">
    <cfRule type="expression" priority="290" aboveAverage="0" equalAverage="0" bottom="0" percent="0" rank="0" text="" dxfId="289">
      <formula>S116&lt;O116</formula>
    </cfRule>
    <cfRule type="expression" priority="291" aboveAverage="0" equalAverage="0" bottom="0" percent="0" rank="0" text="" dxfId="290">
      <formula>S116&gt;O116</formula>
    </cfRule>
  </conditionalFormatting>
  <conditionalFormatting sqref="R117">
    <cfRule type="expression" priority="292" aboveAverage="0" equalAverage="0" bottom="0" percent="0" rank="0" text="" dxfId="291">
      <formula>S117&lt;O117</formula>
    </cfRule>
    <cfRule type="expression" priority="293" aboveAverage="0" equalAverage="0" bottom="0" percent="0" rank="0" text="" dxfId="292">
      <formula>S117&gt;O117</formula>
    </cfRule>
  </conditionalFormatting>
  <conditionalFormatting sqref="R115">
    <cfRule type="expression" priority="294" aboveAverage="0" equalAverage="0" bottom="0" percent="0" rank="0" text="" dxfId="293">
      <formula>S115&lt;O115</formula>
    </cfRule>
    <cfRule type="expression" priority="295" aboveAverage="0" equalAverage="0" bottom="0" percent="0" rank="0" text="" dxfId="294">
      <formula>S115&gt;O115</formula>
    </cfRule>
  </conditionalFormatting>
  <conditionalFormatting sqref="R112">
    <cfRule type="expression" priority="296" aboveAverage="0" equalAverage="0" bottom="0" percent="0" rank="0" text="" dxfId="295">
      <formula>S112&lt;O112</formula>
    </cfRule>
    <cfRule type="expression" priority="297" aboveAverage="0" equalAverage="0" bottom="0" percent="0" rank="0" text="" dxfId="296">
      <formula>S112&gt;O112</formula>
    </cfRule>
  </conditionalFormatting>
  <conditionalFormatting sqref="R113">
    <cfRule type="expression" priority="298" aboveAverage="0" equalAverage="0" bottom="0" percent="0" rank="0" text="" dxfId="297">
      <formula>S113&lt;O113</formula>
    </cfRule>
    <cfRule type="expression" priority="299" aboveAverage="0" equalAverage="0" bottom="0" percent="0" rank="0" text="" dxfId="298">
      <formula>S113&gt;O113</formula>
    </cfRule>
  </conditionalFormatting>
  <conditionalFormatting sqref="R111">
    <cfRule type="expression" priority="300" aboveAverage="0" equalAverage="0" bottom="0" percent="0" rank="0" text="" dxfId="299">
      <formula>S111&lt;O111</formula>
    </cfRule>
    <cfRule type="expression" priority="301" aboveAverage="0" equalAverage="0" bottom="0" percent="0" rank="0" text="" dxfId="300">
      <formula>S111&gt;O111</formula>
    </cfRule>
  </conditionalFormatting>
  <conditionalFormatting sqref="R107">
    <cfRule type="expression" priority="302" aboveAverage="0" equalAverage="0" bottom="0" percent="0" rank="0" text="" dxfId="301">
      <formula>S107&lt;O107</formula>
    </cfRule>
    <cfRule type="expression" priority="303" aboveAverage="0" equalAverage="0" bottom="0" percent="0" rank="0" text="" dxfId="302">
      <formula>S107&gt;O107</formula>
    </cfRule>
  </conditionalFormatting>
  <conditionalFormatting sqref="R108">
    <cfRule type="expression" priority="304" aboveAverage="0" equalAverage="0" bottom="0" percent="0" rank="0" text="" dxfId="303">
      <formula>S108&lt;O108</formula>
    </cfRule>
    <cfRule type="expression" priority="305" aboveAverage="0" equalAverage="0" bottom="0" percent="0" rank="0" text="" dxfId="304">
      <formula>S108&gt;O108</formula>
    </cfRule>
  </conditionalFormatting>
  <conditionalFormatting sqref="R106">
    <cfRule type="expression" priority="306" aboveAverage="0" equalAverage="0" bottom="0" percent="0" rank="0" text="" dxfId="305">
      <formula>S106&lt;O106</formula>
    </cfRule>
    <cfRule type="expression" priority="307" aboveAverage="0" equalAverage="0" bottom="0" percent="0" rank="0" text="" dxfId="306">
      <formula>S106&gt;O106</formula>
    </cfRule>
  </conditionalFormatting>
  <conditionalFormatting sqref="R103">
    <cfRule type="expression" priority="308" aboveAverage="0" equalAverage="0" bottom="0" percent="0" rank="0" text="" dxfId="307">
      <formula>S103&lt;O103</formula>
    </cfRule>
    <cfRule type="expression" priority="309" aboveAverage="0" equalAverage="0" bottom="0" percent="0" rank="0" text="" dxfId="308">
      <formula>S103&gt;O103</formula>
    </cfRule>
  </conditionalFormatting>
  <conditionalFormatting sqref="R104">
    <cfRule type="expression" priority="310" aboveAverage="0" equalAverage="0" bottom="0" percent="0" rank="0" text="" dxfId="309">
      <formula>S104&lt;O104</formula>
    </cfRule>
    <cfRule type="expression" priority="311" aboveAverage="0" equalAverage="0" bottom="0" percent="0" rank="0" text="" dxfId="310">
      <formula>S104&gt;O104</formula>
    </cfRule>
  </conditionalFormatting>
  <conditionalFormatting sqref="R102">
    <cfRule type="expression" priority="312" aboveAverage="0" equalAverage="0" bottom="0" percent="0" rank="0" text="" dxfId="311">
      <formula>S102&lt;O102</formula>
    </cfRule>
    <cfRule type="expression" priority="313" aboveAverage="0" equalAverage="0" bottom="0" percent="0" rank="0" text="" dxfId="312">
      <formula>S102&gt;O102</formula>
    </cfRule>
  </conditionalFormatting>
  <conditionalFormatting sqref="N125">
    <cfRule type="expression" priority="314" aboveAverage="0" equalAverage="0" bottom="0" percent="0" rank="0" text="" dxfId="313">
      <formula>O125&lt;K125</formula>
    </cfRule>
    <cfRule type="expression" priority="315" aboveAverage="0" equalAverage="0" bottom="0" percent="0" rank="0" text="" dxfId="314">
      <formula>O125&gt;K125</formula>
    </cfRule>
  </conditionalFormatting>
  <conditionalFormatting sqref="N126">
    <cfRule type="expression" priority="316" aboveAverage="0" equalAverage="0" bottom="0" percent="0" rank="0" text="" dxfId="315">
      <formula>O126&lt;K126</formula>
    </cfRule>
    <cfRule type="expression" priority="317" aboveAverage="0" equalAverage="0" bottom="0" percent="0" rank="0" text="" dxfId="316">
      <formula>O126&gt;K126</formula>
    </cfRule>
  </conditionalFormatting>
  <conditionalFormatting sqref="N124">
    <cfRule type="expression" priority="318" aboveAverage="0" equalAverage="0" bottom="0" percent="0" rank="0" text="" dxfId="317">
      <formula>O124&lt;K124</formula>
    </cfRule>
    <cfRule type="expression" priority="319" aboveAverage="0" equalAverage="0" bottom="0" percent="0" rank="0" text="" dxfId="318">
      <formula>O124&gt;K124</formula>
    </cfRule>
  </conditionalFormatting>
  <conditionalFormatting sqref="N121">
    <cfRule type="expression" priority="320" aboveAverage="0" equalAverage="0" bottom="0" percent="0" rank="0" text="" dxfId="319">
      <formula>O121&lt;K121</formula>
    </cfRule>
    <cfRule type="expression" priority="321" aboveAverage="0" equalAverage="0" bottom="0" percent="0" rank="0" text="" dxfId="320">
      <formula>O121&gt;K121</formula>
    </cfRule>
  </conditionalFormatting>
  <conditionalFormatting sqref="N122">
    <cfRule type="expression" priority="322" aboveAverage="0" equalAverage="0" bottom="0" percent="0" rank="0" text="" dxfId="321">
      <formula>O122&lt;K122</formula>
    </cfRule>
    <cfRule type="expression" priority="323" aboveAverage="0" equalAverage="0" bottom="0" percent="0" rank="0" text="" dxfId="322">
      <formula>O122&gt;K122</formula>
    </cfRule>
  </conditionalFormatting>
  <conditionalFormatting sqref="N120">
    <cfRule type="expression" priority="324" aboveAverage="0" equalAverage="0" bottom="0" percent="0" rank="0" text="" dxfId="323">
      <formula>O120&lt;K120</formula>
    </cfRule>
    <cfRule type="expression" priority="325" aboveAverage="0" equalAverage="0" bottom="0" percent="0" rank="0" text="" dxfId="324">
      <formula>O120&gt;K120</formula>
    </cfRule>
  </conditionalFormatting>
  <conditionalFormatting sqref="N116">
    <cfRule type="expression" priority="326" aboveAverage="0" equalAverage="0" bottom="0" percent="0" rank="0" text="" dxfId="325">
      <formula>O116&lt;K116</formula>
    </cfRule>
    <cfRule type="expression" priority="327" aboveAverage="0" equalAverage="0" bottom="0" percent="0" rank="0" text="" dxfId="326">
      <formula>O116&gt;K116</formula>
    </cfRule>
  </conditionalFormatting>
  <conditionalFormatting sqref="N117">
    <cfRule type="expression" priority="328" aboveAverage="0" equalAverage="0" bottom="0" percent="0" rank="0" text="" dxfId="327">
      <formula>O117&lt;K117</formula>
    </cfRule>
    <cfRule type="expression" priority="329" aboveAverage="0" equalAverage="0" bottom="0" percent="0" rank="0" text="" dxfId="328">
      <formula>O117&gt;K117</formula>
    </cfRule>
  </conditionalFormatting>
  <conditionalFormatting sqref="N115">
    <cfRule type="expression" priority="330" aboveAverage="0" equalAverage="0" bottom="0" percent="0" rank="0" text="" dxfId="329">
      <formula>O115&lt;K115</formula>
    </cfRule>
    <cfRule type="expression" priority="331" aboveAverage="0" equalAverage="0" bottom="0" percent="0" rank="0" text="" dxfId="330">
      <formula>O115&gt;K115</formula>
    </cfRule>
  </conditionalFormatting>
  <conditionalFormatting sqref="N112">
    <cfRule type="expression" priority="332" aboveAverage="0" equalAverage="0" bottom="0" percent="0" rank="0" text="" dxfId="331">
      <formula>O112&lt;K112</formula>
    </cfRule>
    <cfRule type="expression" priority="333" aboveAverage="0" equalAverage="0" bottom="0" percent="0" rank="0" text="" dxfId="332">
      <formula>O112&gt;K112</formula>
    </cfRule>
  </conditionalFormatting>
  <conditionalFormatting sqref="N113">
    <cfRule type="expression" priority="334" aboveAverage="0" equalAverage="0" bottom="0" percent="0" rank="0" text="" dxfId="333">
      <formula>O113&lt;K113</formula>
    </cfRule>
    <cfRule type="expression" priority="335" aboveAverage="0" equalAverage="0" bottom="0" percent="0" rank="0" text="" dxfId="334">
      <formula>O113&gt;K113</formula>
    </cfRule>
  </conditionalFormatting>
  <conditionalFormatting sqref="N111">
    <cfRule type="expression" priority="336" aboveAverage="0" equalAverage="0" bottom="0" percent="0" rank="0" text="" dxfId="335">
      <formula>O111&lt;K111</formula>
    </cfRule>
    <cfRule type="expression" priority="337" aboveAverage="0" equalAverage="0" bottom="0" percent="0" rank="0" text="" dxfId="336">
      <formula>O111&gt;K111</formula>
    </cfRule>
  </conditionalFormatting>
  <conditionalFormatting sqref="N107">
    <cfRule type="expression" priority="338" aboveAverage="0" equalAverage="0" bottom="0" percent="0" rank="0" text="" dxfId="337">
      <formula>O107&lt;K107</formula>
    </cfRule>
    <cfRule type="expression" priority="339" aboveAverage="0" equalAverage="0" bottom="0" percent="0" rank="0" text="" dxfId="338">
      <formula>O107&gt;K107</formula>
    </cfRule>
  </conditionalFormatting>
  <conditionalFormatting sqref="N108">
    <cfRule type="expression" priority="340" aboveAverage="0" equalAverage="0" bottom="0" percent="0" rank="0" text="" dxfId="339">
      <formula>O108&lt;K108</formula>
    </cfRule>
    <cfRule type="expression" priority="341" aboveAverage="0" equalAverage="0" bottom="0" percent="0" rank="0" text="" dxfId="340">
      <formula>O108&gt;K108</formula>
    </cfRule>
  </conditionalFormatting>
  <conditionalFormatting sqref="N106">
    <cfRule type="expression" priority="342" aboveAverage="0" equalAverage="0" bottom="0" percent="0" rank="0" text="" dxfId="341">
      <formula>O106&lt;K106</formula>
    </cfRule>
    <cfRule type="expression" priority="343" aboveAverage="0" equalAverage="0" bottom="0" percent="0" rank="0" text="" dxfId="342">
      <formula>O106&gt;K106</formula>
    </cfRule>
  </conditionalFormatting>
  <conditionalFormatting sqref="N103">
    <cfRule type="expression" priority="344" aboveAverage="0" equalAverage="0" bottom="0" percent="0" rank="0" text="" dxfId="343">
      <formula>O103&lt;K103</formula>
    </cfRule>
    <cfRule type="expression" priority="345" aboveAverage="0" equalAverage="0" bottom="0" percent="0" rank="0" text="" dxfId="344">
      <formula>O103&gt;K103</formula>
    </cfRule>
  </conditionalFormatting>
  <conditionalFormatting sqref="N104">
    <cfRule type="expression" priority="346" aboveAverage="0" equalAverage="0" bottom="0" percent="0" rank="0" text="" dxfId="345">
      <formula>O104&lt;K104</formula>
    </cfRule>
    <cfRule type="expression" priority="347" aboveAverage="0" equalAverage="0" bottom="0" percent="0" rank="0" text="" dxfId="346">
      <formula>O104&gt;K104</formula>
    </cfRule>
  </conditionalFormatting>
  <conditionalFormatting sqref="N102">
    <cfRule type="expression" priority="348" aboveAverage="0" equalAverage="0" bottom="0" percent="0" rank="0" text="" dxfId="347">
      <formula>O102&lt;K102</formula>
    </cfRule>
    <cfRule type="expression" priority="349" aboveAverage="0" equalAverage="0" bottom="0" percent="0" rank="0" text="" dxfId="348">
      <formula>O102&gt;K102</formula>
    </cfRule>
  </conditionalFormatting>
  <conditionalFormatting sqref="V153">
    <cfRule type="expression" priority="350" aboveAverage="0" equalAverage="0" bottom="0" percent="0" rank="0" text="" dxfId="349">
      <formula>W153&lt;S153</formula>
    </cfRule>
    <cfRule type="expression" priority="351" aboveAverage="0" equalAverage="0" bottom="0" percent="0" rank="0" text="" dxfId="350">
      <formula>W153&gt;S153</formula>
    </cfRule>
  </conditionalFormatting>
  <conditionalFormatting sqref="V154">
    <cfRule type="expression" priority="352" aboveAverage="0" equalAverage="0" bottom="0" percent="0" rank="0" text="" dxfId="351">
      <formula>W154&lt;S154</formula>
    </cfRule>
    <cfRule type="expression" priority="353" aboveAverage="0" equalAverage="0" bottom="0" percent="0" rank="0" text="" dxfId="352">
      <formula>W154&gt;S154</formula>
    </cfRule>
  </conditionalFormatting>
  <conditionalFormatting sqref="V152">
    <cfRule type="expression" priority="354" aboveAverage="0" equalAverage="0" bottom="0" percent="0" rank="0" text="" dxfId="353">
      <formula>W152&lt;S152</formula>
    </cfRule>
    <cfRule type="expression" priority="355" aboveAverage="0" equalAverage="0" bottom="0" percent="0" rank="0" text="" dxfId="354">
      <formula>W152&gt;S152</formula>
    </cfRule>
  </conditionalFormatting>
  <conditionalFormatting sqref="V149">
    <cfRule type="expression" priority="356" aboveAverage="0" equalAverage="0" bottom="0" percent="0" rank="0" text="" dxfId="355">
      <formula>W149&lt;S149</formula>
    </cfRule>
    <cfRule type="expression" priority="357" aboveAverage="0" equalAverage="0" bottom="0" percent="0" rank="0" text="" dxfId="356">
      <formula>W149&gt;S149</formula>
    </cfRule>
  </conditionalFormatting>
  <conditionalFormatting sqref="V150">
    <cfRule type="expression" priority="358" aboveAverage="0" equalAverage="0" bottom="0" percent="0" rank="0" text="" dxfId="357">
      <formula>W150&lt;S150</formula>
    </cfRule>
    <cfRule type="expression" priority="359" aboveAverage="0" equalAverage="0" bottom="0" percent="0" rank="0" text="" dxfId="358">
      <formula>W150&gt;S150</formula>
    </cfRule>
  </conditionalFormatting>
  <conditionalFormatting sqref="V148">
    <cfRule type="expression" priority="360" aboveAverage="0" equalAverage="0" bottom="0" percent="0" rank="0" text="" dxfId="359">
      <formula>W148&lt;S148</formula>
    </cfRule>
    <cfRule type="expression" priority="361" aboveAverage="0" equalAverage="0" bottom="0" percent="0" rank="0" text="" dxfId="360">
      <formula>W148&gt;S148</formula>
    </cfRule>
  </conditionalFormatting>
  <conditionalFormatting sqref="V144">
    <cfRule type="expression" priority="362" aboveAverage="0" equalAverage="0" bottom="0" percent="0" rank="0" text="" dxfId="361">
      <formula>W144&lt;S144</formula>
    </cfRule>
    <cfRule type="expression" priority="363" aboveAverage="0" equalAverage="0" bottom="0" percent="0" rank="0" text="" dxfId="362">
      <formula>W144&gt;S144</formula>
    </cfRule>
  </conditionalFormatting>
  <conditionalFormatting sqref="V145">
    <cfRule type="expression" priority="364" aboveAverage="0" equalAverage="0" bottom="0" percent="0" rank="0" text="" dxfId="363">
      <formula>W145&lt;S145</formula>
    </cfRule>
    <cfRule type="expression" priority="365" aboveAverage="0" equalAverage="0" bottom="0" percent="0" rank="0" text="" dxfId="364">
      <formula>W145&gt;S145</formula>
    </cfRule>
  </conditionalFormatting>
  <conditionalFormatting sqref="V143">
    <cfRule type="expression" priority="366" aboveAverage="0" equalAverage="0" bottom="0" percent="0" rank="0" text="" dxfId="365">
      <formula>W143&lt;S143</formula>
    </cfRule>
    <cfRule type="expression" priority="367" aboveAverage="0" equalAverage="0" bottom="0" percent="0" rank="0" text="" dxfId="366">
      <formula>W143&gt;S143</formula>
    </cfRule>
  </conditionalFormatting>
  <conditionalFormatting sqref="V140">
    <cfRule type="expression" priority="368" aboveAverage="0" equalAverage="0" bottom="0" percent="0" rank="0" text="" dxfId="367">
      <formula>W140&lt;S140</formula>
    </cfRule>
    <cfRule type="expression" priority="369" aboveAverage="0" equalAverage="0" bottom="0" percent="0" rank="0" text="" dxfId="368">
      <formula>W140&gt;S140</formula>
    </cfRule>
  </conditionalFormatting>
  <conditionalFormatting sqref="V141">
    <cfRule type="expression" priority="370" aboveAverage="0" equalAverage="0" bottom="0" percent="0" rank="0" text="" dxfId="369">
      <formula>W141&lt;S141</formula>
    </cfRule>
    <cfRule type="expression" priority="371" aboveAverage="0" equalAverage="0" bottom="0" percent="0" rank="0" text="" dxfId="370">
      <formula>W141&gt;S141</formula>
    </cfRule>
  </conditionalFormatting>
  <conditionalFormatting sqref="V139">
    <cfRule type="expression" priority="372" aboveAverage="0" equalAverage="0" bottom="0" percent="0" rank="0" text="" dxfId="371">
      <formula>W139&lt;S139</formula>
    </cfRule>
    <cfRule type="expression" priority="373" aboveAverage="0" equalAverage="0" bottom="0" percent="0" rank="0" text="" dxfId="372">
      <formula>W139&gt;S139</formula>
    </cfRule>
  </conditionalFormatting>
  <conditionalFormatting sqref="V135">
    <cfRule type="expression" priority="374" aboveAverage="0" equalAverage="0" bottom="0" percent="0" rank="0" text="" dxfId="373">
      <formula>W135&lt;S135</formula>
    </cfRule>
    <cfRule type="expression" priority="375" aboveAverage="0" equalAverage="0" bottom="0" percent="0" rank="0" text="" dxfId="374">
      <formula>W135&gt;S135</formula>
    </cfRule>
  </conditionalFormatting>
  <conditionalFormatting sqref="V136">
    <cfRule type="expression" priority="376" aboveAverage="0" equalAverage="0" bottom="0" percent="0" rank="0" text="" dxfId="375">
      <formula>W136&lt;S136</formula>
    </cfRule>
    <cfRule type="expression" priority="377" aboveAverage="0" equalAverage="0" bottom="0" percent="0" rank="0" text="" dxfId="376">
      <formula>W136&gt;S136</formula>
    </cfRule>
  </conditionalFormatting>
  <conditionalFormatting sqref="V134">
    <cfRule type="expression" priority="378" aboveAverage="0" equalAverage="0" bottom="0" percent="0" rank="0" text="" dxfId="377">
      <formula>W134&lt;S134</formula>
    </cfRule>
    <cfRule type="expression" priority="379" aboveAverage="0" equalAverage="0" bottom="0" percent="0" rank="0" text="" dxfId="378">
      <formula>W134&gt;S134</formula>
    </cfRule>
  </conditionalFormatting>
  <conditionalFormatting sqref="V131">
    <cfRule type="expression" priority="380" aboveAverage="0" equalAverage="0" bottom="0" percent="0" rank="0" text="" dxfId="379">
      <formula>W131&lt;S131</formula>
    </cfRule>
    <cfRule type="expression" priority="381" aboveAverage="0" equalAverage="0" bottom="0" percent="0" rank="0" text="" dxfId="380">
      <formula>W131&gt;S131</formula>
    </cfRule>
  </conditionalFormatting>
  <conditionalFormatting sqref="V132">
    <cfRule type="expression" priority="382" aboveAverage="0" equalAverage="0" bottom="0" percent="0" rank="0" text="" dxfId="381">
      <formula>W132&lt;S132</formula>
    </cfRule>
    <cfRule type="expression" priority="383" aboveAverage="0" equalAverage="0" bottom="0" percent="0" rank="0" text="" dxfId="382">
      <formula>W132&gt;S132</formula>
    </cfRule>
  </conditionalFormatting>
  <conditionalFormatting sqref="V130">
    <cfRule type="expression" priority="384" aboveAverage="0" equalAverage="0" bottom="0" percent="0" rank="0" text="" dxfId="383">
      <formula>W130&lt;S130</formula>
    </cfRule>
    <cfRule type="expression" priority="385" aboveAverage="0" equalAverage="0" bottom="0" percent="0" rank="0" text="" dxfId="384">
      <formula>W130&gt;S130</formula>
    </cfRule>
  </conditionalFormatting>
  <conditionalFormatting sqref="R153">
    <cfRule type="expression" priority="386" aboveAverage="0" equalAverage="0" bottom="0" percent="0" rank="0" text="" dxfId="385">
      <formula>S153&lt;O153</formula>
    </cfRule>
    <cfRule type="expression" priority="387" aboveAverage="0" equalAverage="0" bottom="0" percent="0" rank="0" text="" dxfId="386">
      <formula>S153&gt;O153</formula>
    </cfRule>
  </conditionalFormatting>
  <conditionalFormatting sqref="R154">
    <cfRule type="expression" priority="388" aboveAverage="0" equalAverage="0" bottom="0" percent="0" rank="0" text="" dxfId="387">
      <formula>S154&lt;O154</formula>
    </cfRule>
    <cfRule type="expression" priority="389" aboveAverage="0" equalAverage="0" bottom="0" percent="0" rank="0" text="" dxfId="388">
      <formula>S154&gt;O154</formula>
    </cfRule>
  </conditionalFormatting>
  <conditionalFormatting sqref="R152">
    <cfRule type="expression" priority="390" aboveAverage="0" equalAverage="0" bottom="0" percent="0" rank="0" text="" dxfId="389">
      <formula>S152&lt;O152</formula>
    </cfRule>
    <cfRule type="expression" priority="391" aboveAverage="0" equalAverage="0" bottom="0" percent="0" rank="0" text="" dxfId="390">
      <formula>S152&gt;O152</formula>
    </cfRule>
  </conditionalFormatting>
  <conditionalFormatting sqref="R149">
    <cfRule type="expression" priority="392" aboveAverage="0" equalAverage="0" bottom="0" percent="0" rank="0" text="" dxfId="391">
      <formula>S149&lt;O149</formula>
    </cfRule>
    <cfRule type="expression" priority="393" aboveAverage="0" equalAverage="0" bottom="0" percent="0" rank="0" text="" dxfId="392">
      <formula>S149&gt;O149</formula>
    </cfRule>
  </conditionalFormatting>
  <conditionalFormatting sqref="R150">
    <cfRule type="expression" priority="394" aboveAverage="0" equalAverage="0" bottom="0" percent="0" rank="0" text="" dxfId="393">
      <formula>S150&lt;O150</formula>
    </cfRule>
    <cfRule type="expression" priority="395" aboveAverage="0" equalAverage="0" bottom="0" percent="0" rank="0" text="" dxfId="394">
      <formula>S150&gt;O150</formula>
    </cfRule>
  </conditionalFormatting>
  <conditionalFormatting sqref="R148">
    <cfRule type="expression" priority="396" aboveAverage="0" equalAverage="0" bottom="0" percent="0" rank="0" text="" dxfId="395">
      <formula>S148&lt;O148</formula>
    </cfRule>
    <cfRule type="expression" priority="397" aboveAverage="0" equalAverage="0" bottom="0" percent="0" rank="0" text="" dxfId="396">
      <formula>S148&gt;O148</formula>
    </cfRule>
  </conditionalFormatting>
  <conditionalFormatting sqref="R144">
    <cfRule type="expression" priority="398" aboveAverage="0" equalAverage="0" bottom="0" percent="0" rank="0" text="" dxfId="397">
      <formula>S144&lt;O144</formula>
    </cfRule>
    <cfRule type="expression" priority="399" aboveAverage="0" equalAverage="0" bottom="0" percent="0" rank="0" text="" dxfId="398">
      <formula>S144&gt;O144</formula>
    </cfRule>
  </conditionalFormatting>
  <conditionalFormatting sqref="R145">
    <cfRule type="expression" priority="400" aboveAverage="0" equalAverage="0" bottom="0" percent="0" rank="0" text="" dxfId="399">
      <formula>S145&lt;O145</formula>
    </cfRule>
    <cfRule type="expression" priority="401" aboveAverage="0" equalAverage="0" bottom="0" percent="0" rank="0" text="" dxfId="400">
      <formula>S145&gt;O145</formula>
    </cfRule>
  </conditionalFormatting>
  <conditionalFormatting sqref="R143">
    <cfRule type="expression" priority="402" aboveAverage="0" equalAverage="0" bottom="0" percent="0" rank="0" text="" dxfId="401">
      <formula>S143&lt;O143</formula>
    </cfRule>
    <cfRule type="expression" priority="403" aboveAverage="0" equalAverage="0" bottom="0" percent="0" rank="0" text="" dxfId="402">
      <formula>S143&gt;O143</formula>
    </cfRule>
  </conditionalFormatting>
  <conditionalFormatting sqref="R140">
    <cfRule type="expression" priority="404" aboveAverage="0" equalAverage="0" bottom="0" percent="0" rank="0" text="" dxfId="403">
      <formula>S140&lt;O140</formula>
    </cfRule>
    <cfRule type="expression" priority="405" aboveAverage="0" equalAverage="0" bottom="0" percent="0" rank="0" text="" dxfId="404">
      <formula>S140&gt;O140</formula>
    </cfRule>
  </conditionalFormatting>
  <conditionalFormatting sqref="R141">
    <cfRule type="expression" priority="406" aboveAverage="0" equalAverage="0" bottom="0" percent="0" rank="0" text="" dxfId="405">
      <formula>S141&lt;O141</formula>
    </cfRule>
    <cfRule type="expression" priority="407" aboveAverage="0" equalAverage="0" bottom="0" percent="0" rank="0" text="" dxfId="406">
      <formula>S141&gt;O141</formula>
    </cfRule>
  </conditionalFormatting>
  <conditionalFormatting sqref="R139">
    <cfRule type="expression" priority="408" aboveAverage="0" equalAverage="0" bottom="0" percent="0" rank="0" text="" dxfId="407">
      <formula>S139&lt;O139</formula>
    </cfRule>
    <cfRule type="expression" priority="409" aboveAverage="0" equalAverage="0" bottom="0" percent="0" rank="0" text="" dxfId="408">
      <formula>S139&gt;O139</formula>
    </cfRule>
  </conditionalFormatting>
  <conditionalFormatting sqref="R135">
    <cfRule type="expression" priority="410" aboveAverage="0" equalAverage="0" bottom="0" percent="0" rank="0" text="" dxfId="409">
      <formula>S135&lt;O135</formula>
    </cfRule>
    <cfRule type="expression" priority="411" aboveAverage="0" equalAverage="0" bottom="0" percent="0" rank="0" text="" dxfId="410">
      <formula>S135&gt;O135</formula>
    </cfRule>
  </conditionalFormatting>
  <conditionalFormatting sqref="R136">
    <cfRule type="expression" priority="412" aboveAverage="0" equalAverage="0" bottom="0" percent="0" rank="0" text="" dxfId="411">
      <formula>S136&lt;O136</formula>
    </cfRule>
    <cfRule type="expression" priority="413" aboveAverage="0" equalAverage="0" bottom="0" percent="0" rank="0" text="" dxfId="412">
      <formula>S136&gt;O136</formula>
    </cfRule>
  </conditionalFormatting>
  <conditionalFormatting sqref="R134">
    <cfRule type="expression" priority="414" aboveAverage="0" equalAverage="0" bottom="0" percent="0" rank="0" text="" dxfId="413">
      <formula>S134&lt;O134</formula>
    </cfRule>
    <cfRule type="expression" priority="415" aboveAverage="0" equalAverage="0" bottom="0" percent="0" rank="0" text="" dxfId="414">
      <formula>S134&gt;O134</formula>
    </cfRule>
  </conditionalFormatting>
  <conditionalFormatting sqref="R131">
    <cfRule type="expression" priority="416" aboveAverage="0" equalAverage="0" bottom="0" percent="0" rank="0" text="" dxfId="415">
      <formula>S131&lt;O131</formula>
    </cfRule>
    <cfRule type="expression" priority="417" aboveAverage="0" equalAverage="0" bottom="0" percent="0" rank="0" text="" dxfId="416">
      <formula>S131&gt;O131</formula>
    </cfRule>
  </conditionalFormatting>
  <conditionalFormatting sqref="R132">
    <cfRule type="expression" priority="418" aboveAverage="0" equalAverage="0" bottom="0" percent="0" rank="0" text="" dxfId="417">
      <formula>S132&lt;O132</formula>
    </cfRule>
    <cfRule type="expression" priority="419" aboveAverage="0" equalAverage="0" bottom="0" percent="0" rank="0" text="" dxfId="418">
      <formula>S132&gt;O132</formula>
    </cfRule>
  </conditionalFormatting>
  <conditionalFormatting sqref="R130">
    <cfRule type="expression" priority="420" aboveAverage="0" equalAverage="0" bottom="0" percent="0" rank="0" text="" dxfId="419">
      <formula>S130&lt;O130</formula>
    </cfRule>
    <cfRule type="expression" priority="421" aboveAverage="0" equalAverage="0" bottom="0" percent="0" rank="0" text="" dxfId="420">
      <formula>S130&gt;O130</formula>
    </cfRule>
  </conditionalFormatting>
  <conditionalFormatting sqref="N153">
    <cfRule type="expression" priority="422" aboveAverage="0" equalAverage="0" bottom="0" percent="0" rank="0" text="" dxfId="421">
      <formula>O153&lt;K153</formula>
    </cfRule>
    <cfRule type="expression" priority="423" aboveAverage="0" equalAverage="0" bottom="0" percent="0" rank="0" text="" dxfId="422">
      <formula>O153&gt;K153</formula>
    </cfRule>
  </conditionalFormatting>
  <conditionalFormatting sqref="N154">
    <cfRule type="expression" priority="424" aboveAverage="0" equalAverage="0" bottom="0" percent="0" rank="0" text="" dxfId="423">
      <formula>O154&lt;K154</formula>
    </cfRule>
    <cfRule type="expression" priority="425" aboveAverage="0" equalAverage="0" bottom="0" percent="0" rank="0" text="" dxfId="424">
      <formula>O154&gt;K154</formula>
    </cfRule>
  </conditionalFormatting>
  <conditionalFormatting sqref="N152">
    <cfRule type="expression" priority="426" aboveAverage="0" equalAverage="0" bottom="0" percent="0" rank="0" text="" dxfId="425">
      <formula>O152&lt;K152</formula>
    </cfRule>
    <cfRule type="expression" priority="427" aboveAverage="0" equalAverage="0" bottom="0" percent="0" rank="0" text="" dxfId="426">
      <formula>O152&gt;K152</formula>
    </cfRule>
  </conditionalFormatting>
  <conditionalFormatting sqref="N149">
    <cfRule type="expression" priority="428" aboveAverage="0" equalAverage="0" bottom="0" percent="0" rank="0" text="" dxfId="427">
      <formula>O149&lt;K149</formula>
    </cfRule>
    <cfRule type="expression" priority="429" aboveAverage="0" equalAverage="0" bottom="0" percent="0" rank="0" text="" dxfId="428">
      <formula>O149&gt;K149</formula>
    </cfRule>
  </conditionalFormatting>
  <conditionalFormatting sqref="N150">
    <cfRule type="expression" priority="430" aboveAverage="0" equalAverage="0" bottom="0" percent="0" rank="0" text="" dxfId="429">
      <formula>O150&lt;K150</formula>
    </cfRule>
    <cfRule type="expression" priority="431" aboveAverage="0" equalAverage="0" bottom="0" percent="0" rank="0" text="" dxfId="430">
      <formula>O150&gt;K150</formula>
    </cfRule>
  </conditionalFormatting>
  <conditionalFormatting sqref="N148">
    <cfRule type="expression" priority="432" aboveAverage="0" equalAverage="0" bottom="0" percent="0" rank="0" text="" dxfId="431">
      <formula>O148&lt;K148</formula>
    </cfRule>
    <cfRule type="expression" priority="433" aboveAverage="0" equalAverage="0" bottom="0" percent="0" rank="0" text="" dxfId="432">
      <formula>O148&gt;K148</formula>
    </cfRule>
  </conditionalFormatting>
  <conditionalFormatting sqref="N144">
    <cfRule type="expression" priority="434" aboveAverage="0" equalAverage="0" bottom="0" percent="0" rank="0" text="" dxfId="433">
      <formula>O144&lt;K144</formula>
    </cfRule>
    <cfRule type="expression" priority="435" aboveAverage="0" equalAverage="0" bottom="0" percent="0" rank="0" text="" dxfId="434">
      <formula>O144&gt;K144</formula>
    </cfRule>
  </conditionalFormatting>
  <conditionalFormatting sqref="N145">
    <cfRule type="expression" priority="436" aboveAverage="0" equalAverage="0" bottom="0" percent="0" rank="0" text="" dxfId="435">
      <formula>O145&lt;K145</formula>
    </cfRule>
    <cfRule type="expression" priority="437" aboveAverage="0" equalAverage="0" bottom="0" percent="0" rank="0" text="" dxfId="436">
      <formula>O145&gt;K145</formula>
    </cfRule>
  </conditionalFormatting>
  <conditionalFormatting sqref="N143">
    <cfRule type="expression" priority="438" aboveAverage="0" equalAverage="0" bottom="0" percent="0" rank="0" text="" dxfId="437">
      <formula>O143&lt;K143</formula>
    </cfRule>
    <cfRule type="expression" priority="439" aboveAverage="0" equalAverage="0" bottom="0" percent="0" rank="0" text="" dxfId="438">
      <formula>O143&gt;K143</formula>
    </cfRule>
  </conditionalFormatting>
  <conditionalFormatting sqref="N140">
    <cfRule type="expression" priority="440" aboveAverage="0" equalAverage="0" bottom="0" percent="0" rank="0" text="" dxfId="439">
      <formula>O140&lt;K140</formula>
    </cfRule>
    <cfRule type="expression" priority="441" aboveAverage="0" equalAverage="0" bottom="0" percent="0" rank="0" text="" dxfId="440">
      <formula>O140&gt;K140</formula>
    </cfRule>
  </conditionalFormatting>
  <conditionalFormatting sqref="N141">
    <cfRule type="expression" priority="442" aboveAverage="0" equalAverage="0" bottom="0" percent="0" rank="0" text="" dxfId="441">
      <formula>O141&lt;K141</formula>
    </cfRule>
    <cfRule type="expression" priority="443" aboveAverage="0" equalAverage="0" bottom="0" percent="0" rank="0" text="" dxfId="442">
      <formula>O141&gt;K141</formula>
    </cfRule>
  </conditionalFormatting>
  <conditionalFormatting sqref="N139">
    <cfRule type="expression" priority="444" aboveAverage="0" equalAverage="0" bottom="0" percent="0" rank="0" text="" dxfId="443">
      <formula>O139&lt;K139</formula>
    </cfRule>
    <cfRule type="expression" priority="445" aboveAverage="0" equalAverage="0" bottom="0" percent="0" rank="0" text="" dxfId="444">
      <formula>O139&gt;K139</formula>
    </cfRule>
  </conditionalFormatting>
  <conditionalFormatting sqref="N135">
    <cfRule type="expression" priority="446" aboveAverage="0" equalAverage="0" bottom="0" percent="0" rank="0" text="" dxfId="445">
      <formula>O135&lt;K135</formula>
    </cfRule>
    <cfRule type="expression" priority="447" aboveAverage="0" equalAverage="0" bottom="0" percent="0" rank="0" text="" dxfId="446">
      <formula>O135&gt;K135</formula>
    </cfRule>
  </conditionalFormatting>
  <conditionalFormatting sqref="N136">
    <cfRule type="expression" priority="448" aboveAverage="0" equalAverage="0" bottom="0" percent="0" rank="0" text="" dxfId="447">
      <formula>O136&lt;K136</formula>
    </cfRule>
    <cfRule type="expression" priority="449" aboveAverage="0" equalAverage="0" bottom="0" percent="0" rank="0" text="" dxfId="448">
      <formula>O136&gt;K136</formula>
    </cfRule>
  </conditionalFormatting>
  <conditionalFormatting sqref="N134">
    <cfRule type="expression" priority="450" aboveAverage="0" equalAverage="0" bottom="0" percent="0" rank="0" text="" dxfId="449">
      <formula>O134&lt;K134</formula>
    </cfRule>
    <cfRule type="expression" priority="451" aboveAverage="0" equalAverage="0" bottom="0" percent="0" rank="0" text="" dxfId="450">
      <formula>O134&gt;K134</formula>
    </cfRule>
  </conditionalFormatting>
  <conditionalFormatting sqref="N131">
    <cfRule type="expression" priority="452" aboveAverage="0" equalAverage="0" bottom="0" percent="0" rank="0" text="" dxfId="451">
      <formula>O131&lt;K131</formula>
    </cfRule>
    <cfRule type="expression" priority="453" aboveAverage="0" equalAverage="0" bottom="0" percent="0" rank="0" text="" dxfId="452">
      <formula>O131&gt;K131</formula>
    </cfRule>
  </conditionalFormatting>
  <conditionalFormatting sqref="N132">
    <cfRule type="expression" priority="454" aboveAverage="0" equalAverage="0" bottom="0" percent="0" rank="0" text="" dxfId="453">
      <formula>O132&lt;K132</formula>
    </cfRule>
    <cfRule type="expression" priority="455" aboveAverage="0" equalAverage="0" bottom="0" percent="0" rank="0" text="" dxfId="454">
      <formula>O132&gt;K132</formula>
    </cfRule>
  </conditionalFormatting>
  <conditionalFormatting sqref="N130">
    <cfRule type="expression" priority="456" aboveAverage="0" equalAverage="0" bottom="0" percent="0" rank="0" text="" dxfId="455">
      <formula>O130&lt;K130</formula>
    </cfRule>
    <cfRule type="expression" priority="457" aboveAverage="0" equalAverage="0" bottom="0" percent="0" rank="0" text="" dxfId="456">
      <formula>O130&gt;K130</formula>
    </cfRule>
  </conditionalFormatting>
  <conditionalFormatting sqref="J18">
    <cfRule type="expression" priority="458" aboveAverage="0" equalAverage="0" bottom="0" percent="0" rank="0" text="" dxfId="457">
      <formula>K18&lt;G18</formula>
    </cfRule>
    <cfRule type="expression" priority="459" aboveAverage="0" equalAverage="0" bottom="0" percent="0" rank="0" text="" dxfId="458">
      <formula>K18&gt;G18</formula>
    </cfRule>
  </conditionalFormatting>
  <conditionalFormatting sqref="R98">
    <cfRule type="expression" priority="460" aboveAverage="0" equalAverage="0" bottom="0" percent="0" rank="0" text="" dxfId="459">
      <formula>S98&lt;O98</formula>
    </cfRule>
    <cfRule type="expression" priority="461" aboveAverage="0" equalAverage="0" bottom="0" percent="0" rank="0" text="" dxfId="460">
      <formula>S98&gt;O98</formula>
    </cfRule>
  </conditionalFormatting>
  <conditionalFormatting sqref="R80">
    <cfRule type="expression" priority="462" aboveAverage="0" equalAverage="0" bottom="0" percent="0" rank="0" text="" dxfId="461">
      <formula>S80&lt;O80</formula>
    </cfRule>
    <cfRule type="expression" priority="463" aboveAverage="0" equalAverage="0" bottom="0" percent="0" rank="0" text="" dxfId="462">
      <formula>S80&gt;O80</formula>
    </cfRule>
  </conditionalFormatting>
  <conditionalFormatting sqref="R97">
    <cfRule type="expression" priority="464" aboveAverage="0" equalAverage="0" bottom="0" percent="0" rank="0" text="" dxfId="463">
      <formula>S97&lt;O97</formula>
    </cfRule>
    <cfRule type="expression" priority="465" aboveAverage="0" equalAverage="0" bottom="0" percent="0" rank="0" text="" dxfId="464">
      <formula>S97&gt;O97</formula>
    </cfRule>
  </conditionalFormatting>
  <conditionalFormatting sqref="R96">
    <cfRule type="expression" priority="466" aboveAverage="0" equalAverage="0" bottom="0" percent="0" rank="0" text="" dxfId="465">
      <formula>S96&lt;O96</formula>
    </cfRule>
    <cfRule type="expression" priority="467" aboveAverage="0" equalAverage="0" bottom="0" percent="0" rank="0" text="" dxfId="466">
      <formula>S96&gt;O96</formula>
    </cfRule>
  </conditionalFormatting>
  <conditionalFormatting sqref="R93">
    <cfRule type="expression" priority="468" aboveAverage="0" equalAverage="0" bottom="0" percent="0" rank="0" text="" dxfId="467">
      <formula>S93&lt;O93</formula>
    </cfRule>
    <cfRule type="expression" priority="469" aboveAverage="0" equalAverage="0" bottom="0" percent="0" rank="0" text="" dxfId="468">
      <formula>S93&gt;O93</formula>
    </cfRule>
  </conditionalFormatting>
  <conditionalFormatting sqref="R94">
    <cfRule type="expression" priority="470" aboveAverage="0" equalAverage="0" bottom="0" percent="0" rank="0" text="" dxfId="469">
      <formula>S94&lt;O94</formula>
    </cfRule>
    <cfRule type="expression" priority="471" aboveAverage="0" equalAverage="0" bottom="0" percent="0" rank="0" text="" dxfId="470">
      <formula>S94&gt;O94</formula>
    </cfRule>
  </conditionalFormatting>
  <conditionalFormatting sqref="R92">
    <cfRule type="expression" priority="472" aboveAverage="0" equalAverage="0" bottom="0" percent="0" rank="0" text="" dxfId="471">
      <formula>S92&lt;O92</formula>
    </cfRule>
    <cfRule type="expression" priority="473" aboveAverage="0" equalAverage="0" bottom="0" percent="0" rank="0" text="" dxfId="472">
      <formula>S92&gt;O92</formula>
    </cfRule>
  </conditionalFormatting>
  <conditionalFormatting sqref="R88">
    <cfRule type="expression" priority="474" aboveAverage="0" equalAverage="0" bottom="0" percent="0" rank="0" text="" dxfId="473">
      <formula>S88&lt;O88</formula>
    </cfRule>
    <cfRule type="expression" priority="475" aboveAverage="0" equalAverage="0" bottom="0" percent="0" rank="0" text="" dxfId="474">
      <formula>S88&gt;O88</formula>
    </cfRule>
  </conditionalFormatting>
  <conditionalFormatting sqref="R89">
    <cfRule type="expression" priority="476" aboveAverage="0" equalAverage="0" bottom="0" percent="0" rank="0" text="" dxfId="475">
      <formula>S89&lt;O89</formula>
    </cfRule>
    <cfRule type="expression" priority="477" aboveAverage="0" equalAverage="0" bottom="0" percent="0" rank="0" text="" dxfId="476">
      <formula>S89&gt;O89</formula>
    </cfRule>
  </conditionalFormatting>
  <conditionalFormatting sqref="R87">
    <cfRule type="expression" priority="478" aboveAverage="0" equalAverage="0" bottom="0" percent="0" rank="0" text="" dxfId="477">
      <formula>S87&lt;O87</formula>
    </cfRule>
    <cfRule type="expression" priority="479" aboveAverage="0" equalAverage="0" bottom="0" percent="0" rank="0" text="" dxfId="478">
      <formula>S87&gt;O87</formula>
    </cfRule>
  </conditionalFormatting>
  <conditionalFormatting sqref="R84">
    <cfRule type="expression" priority="480" aboveAverage="0" equalAverage="0" bottom="0" percent="0" rank="0" text="" dxfId="479">
      <formula>S84&lt;O84</formula>
    </cfRule>
    <cfRule type="expression" priority="481" aboveAverage="0" equalAverage="0" bottom="0" percent="0" rank="0" text="" dxfId="480">
      <formula>S84&gt;O84</formula>
    </cfRule>
  </conditionalFormatting>
  <conditionalFormatting sqref="R85">
    <cfRule type="expression" priority="482" aboveAverage="0" equalAverage="0" bottom="0" percent="0" rank="0" text="" dxfId="481">
      <formula>S85&lt;O85</formula>
    </cfRule>
    <cfRule type="expression" priority="483" aboveAverage="0" equalAverage="0" bottom="0" percent="0" rank="0" text="" dxfId="482">
      <formula>S85&gt;O85</formula>
    </cfRule>
  </conditionalFormatting>
  <conditionalFormatting sqref="R83">
    <cfRule type="expression" priority="484" aboveAverage="0" equalAverage="0" bottom="0" percent="0" rank="0" text="" dxfId="483">
      <formula>S83&lt;O83</formula>
    </cfRule>
    <cfRule type="expression" priority="485" aboveAverage="0" equalAverage="0" bottom="0" percent="0" rank="0" text="" dxfId="484">
      <formula>S83&gt;O83</formula>
    </cfRule>
  </conditionalFormatting>
  <conditionalFormatting sqref="R79">
    <cfRule type="expression" priority="486" aboveAverage="0" equalAverage="0" bottom="0" percent="0" rank="0" text="" dxfId="485">
      <formula>S79&lt;O79</formula>
    </cfRule>
    <cfRule type="expression" priority="487" aboveAverage="0" equalAverage="0" bottom="0" percent="0" rank="0" text="" dxfId="486">
      <formula>S79&gt;O79</formula>
    </cfRule>
  </conditionalFormatting>
  <conditionalFormatting sqref="R78">
    <cfRule type="expression" priority="488" aboveAverage="0" equalAverage="0" bottom="0" percent="0" rank="0" text="" dxfId="487">
      <formula>S78&lt;O78</formula>
    </cfRule>
    <cfRule type="expression" priority="489" aboveAverage="0" equalAverage="0" bottom="0" percent="0" rank="0" text="" dxfId="488">
      <formula>S78&gt;O78</formula>
    </cfRule>
  </conditionalFormatting>
  <conditionalFormatting sqref="R75">
    <cfRule type="expression" priority="490" aboveAverage="0" equalAverage="0" bottom="0" percent="0" rank="0" text="" dxfId="489">
      <formula>S75&lt;O75</formula>
    </cfRule>
    <cfRule type="expression" priority="491" aboveAverage="0" equalAverage="0" bottom="0" percent="0" rank="0" text="" dxfId="490">
      <formula>S75&gt;O75</formula>
    </cfRule>
  </conditionalFormatting>
  <conditionalFormatting sqref="R76">
    <cfRule type="expression" priority="492" aboveAverage="0" equalAverage="0" bottom="0" percent="0" rank="0" text="" dxfId="491">
      <formula>S76&lt;O76</formula>
    </cfRule>
    <cfRule type="expression" priority="493" aboveAverage="0" equalAverage="0" bottom="0" percent="0" rank="0" text="" dxfId="492">
      <formula>S76&gt;O76</formula>
    </cfRule>
  </conditionalFormatting>
  <conditionalFormatting sqref="R74">
    <cfRule type="expression" priority="494" aboveAverage="0" equalAverage="0" bottom="0" percent="0" rank="0" text="" dxfId="493">
      <formula>S74&lt;O74</formula>
    </cfRule>
    <cfRule type="expression" priority="495" aboveAverage="0" equalAverage="0" bottom="0" percent="0" rank="0" text="" dxfId="494">
      <formula>S74&gt;O74</formula>
    </cfRule>
  </conditionalFormatting>
  <conditionalFormatting sqref="J153">
    <cfRule type="expression" priority="496" aboveAverage="0" equalAverage="0" bottom="0" percent="0" rank="0" text="" dxfId="495">
      <formula>K153&lt;G153</formula>
    </cfRule>
    <cfRule type="expression" priority="497" aboveAverage="0" equalAverage="0" bottom="0" percent="0" rank="0" text="" dxfId="496">
      <formula>K153&gt;G153</formula>
    </cfRule>
  </conditionalFormatting>
  <conditionalFormatting sqref="J154">
    <cfRule type="expression" priority="498" aboveAverage="0" equalAverage="0" bottom="0" percent="0" rank="0" text="" dxfId="497">
      <formula>K154&lt;G154</formula>
    </cfRule>
    <cfRule type="expression" priority="499" aboveAverage="0" equalAverage="0" bottom="0" percent="0" rank="0" text="" dxfId="498">
      <formula>K154&gt;G154</formula>
    </cfRule>
  </conditionalFormatting>
  <conditionalFormatting sqref="J152">
    <cfRule type="expression" priority="500" aboveAverage="0" equalAverage="0" bottom="0" percent="0" rank="0" text="" dxfId="499">
      <formula>K152&lt;G152</formula>
    </cfRule>
    <cfRule type="expression" priority="501" aboveAverage="0" equalAverage="0" bottom="0" percent="0" rank="0" text="" dxfId="500">
      <formula>K152&gt;G152</formula>
    </cfRule>
  </conditionalFormatting>
  <conditionalFormatting sqref="J149">
    <cfRule type="expression" priority="502" aboveAverage="0" equalAverage="0" bottom="0" percent="0" rank="0" text="" dxfId="501">
      <formula>K149&lt;G149</formula>
    </cfRule>
    <cfRule type="expression" priority="503" aboveAverage="0" equalAverage="0" bottom="0" percent="0" rank="0" text="" dxfId="502">
      <formula>K149&gt;G149</formula>
    </cfRule>
  </conditionalFormatting>
  <conditionalFormatting sqref="J150">
    <cfRule type="expression" priority="504" aboveAverage="0" equalAverage="0" bottom="0" percent="0" rank="0" text="" dxfId="503">
      <formula>K150&lt;G150</formula>
    </cfRule>
    <cfRule type="expression" priority="505" aboveAverage="0" equalAverage="0" bottom="0" percent="0" rank="0" text="" dxfId="504">
      <formula>K150&gt;G150</formula>
    </cfRule>
  </conditionalFormatting>
  <conditionalFormatting sqref="J148">
    <cfRule type="expression" priority="506" aboveAverage="0" equalAverage="0" bottom="0" percent="0" rank="0" text="" dxfId="505">
      <formula>K148&lt;G148</formula>
    </cfRule>
    <cfRule type="expression" priority="507" aboveAverage="0" equalAverage="0" bottom="0" percent="0" rank="0" text="" dxfId="506">
      <formula>K148&gt;G148</formula>
    </cfRule>
  </conditionalFormatting>
  <conditionalFormatting sqref="J144">
    <cfRule type="expression" priority="508" aboveAverage="0" equalAverage="0" bottom="0" percent="0" rank="0" text="" dxfId="507">
      <formula>K144&lt;G144</formula>
    </cfRule>
    <cfRule type="expression" priority="509" aboveAverage="0" equalAverage="0" bottom="0" percent="0" rank="0" text="" dxfId="508">
      <formula>K144&gt;G144</formula>
    </cfRule>
  </conditionalFormatting>
  <conditionalFormatting sqref="J145">
    <cfRule type="expression" priority="510" aboveAverage="0" equalAverage="0" bottom="0" percent="0" rank="0" text="" dxfId="509">
      <formula>K145&lt;G145</formula>
    </cfRule>
    <cfRule type="expression" priority="511" aboveAverage="0" equalAverage="0" bottom="0" percent="0" rank="0" text="" dxfId="510">
      <formula>K145&gt;G145</formula>
    </cfRule>
  </conditionalFormatting>
  <conditionalFormatting sqref="J143">
    <cfRule type="expression" priority="512" aboveAverage="0" equalAverage="0" bottom="0" percent="0" rank="0" text="" dxfId="511">
      <formula>K143&lt;G143</formula>
    </cfRule>
    <cfRule type="expression" priority="513" aboveAverage="0" equalAverage="0" bottom="0" percent="0" rank="0" text="" dxfId="512">
      <formula>K143&gt;G143</formula>
    </cfRule>
  </conditionalFormatting>
  <conditionalFormatting sqref="J140">
    <cfRule type="expression" priority="514" aboveAverage="0" equalAverage="0" bottom="0" percent="0" rank="0" text="" dxfId="513">
      <formula>K140&lt;G140</formula>
    </cfRule>
    <cfRule type="expression" priority="515" aboveAverage="0" equalAverage="0" bottom="0" percent="0" rank="0" text="" dxfId="514">
      <formula>K140&gt;G140</formula>
    </cfRule>
  </conditionalFormatting>
  <conditionalFormatting sqref="J141">
    <cfRule type="expression" priority="516" aboveAverage="0" equalAverage="0" bottom="0" percent="0" rank="0" text="" dxfId="515">
      <formula>K141&lt;G141</formula>
    </cfRule>
    <cfRule type="expression" priority="517" aboveAverage="0" equalAverage="0" bottom="0" percent="0" rank="0" text="" dxfId="516">
      <formula>K141&gt;G141</formula>
    </cfRule>
  </conditionalFormatting>
  <conditionalFormatting sqref="J139">
    <cfRule type="expression" priority="518" aboveAverage="0" equalAverage="0" bottom="0" percent="0" rank="0" text="" dxfId="517">
      <formula>K139&lt;G139</formula>
    </cfRule>
    <cfRule type="expression" priority="519" aboveAverage="0" equalAverage="0" bottom="0" percent="0" rank="0" text="" dxfId="518">
      <formula>K139&gt;G139</formula>
    </cfRule>
  </conditionalFormatting>
  <conditionalFormatting sqref="J135">
    <cfRule type="expression" priority="520" aboveAverage="0" equalAverage="0" bottom="0" percent="0" rank="0" text="" dxfId="519">
      <formula>K135&lt;G135</formula>
    </cfRule>
    <cfRule type="expression" priority="521" aboveAverage="0" equalAverage="0" bottom="0" percent="0" rank="0" text="" dxfId="520">
      <formula>K135&gt;G135</formula>
    </cfRule>
  </conditionalFormatting>
  <conditionalFormatting sqref="J136">
    <cfRule type="expression" priority="522" aboveAverage="0" equalAverage="0" bottom="0" percent="0" rank="0" text="" dxfId="521">
      <formula>K136&lt;G136</formula>
    </cfRule>
    <cfRule type="expression" priority="523" aboveAverage="0" equalAverage="0" bottom="0" percent="0" rank="0" text="" dxfId="522">
      <formula>K136&gt;G136</formula>
    </cfRule>
  </conditionalFormatting>
  <conditionalFormatting sqref="J134">
    <cfRule type="expression" priority="524" aboveAverage="0" equalAverage="0" bottom="0" percent="0" rank="0" text="" dxfId="523">
      <formula>K134&lt;G134</formula>
    </cfRule>
    <cfRule type="expression" priority="525" aboveAverage="0" equalAverage="0" bottom="0" percent="0" rank="0" text="" dxfId="524">
      <formula>K134&gt;G134</formula>
    </cfRule>
  </conditionalFormatting>
  <conditionalFormatting sqref="J131">
    <cfRule type="expression" priority="526" aboveAverage="0" equalAverage="0" bottom="0" percent="0" rank="0" text="" dxfId="525">
      <formula>K131&lt;G131</formula>
    </cfRule>
    <cfRule type="expression" priority="527" aboveAverage="0" equalAverage="0" bottom="0" percent="0" rank="0" text="" dxfId="526">
      <formula>K131&gt;G131</formula>
    </cfRule>
  </conditionalFormatting>
  <conditionalFormatting sqref="J132">
    <cfRule type="expression" priority="528" aboveAverage="0" equalAverage="0" bottom="0" percent="0" rank="0" text="" dxfId="527">
      <formula>K132&lt;G132</formula>
    </cfRule>
    <cfRule type="expression" priority="529" aboveAverage="0" equalAverage="0" bottom="0" percent="0" rank="0" text="" dxfId="528">
      <formula>K132&gt;G132</formula>
    </cfRule>
  </conditionalFormatting>
  <conditionalFormatting sqref="J130">
    <cfRule type="expression" priority="530" aboveAverage="0" equalAverage="0" bottom="0" percent="0" rank="0" text="" dxfId="529">
      <formula>K130&lt;G130</formula>
    </cfRule>
    <cfRule type="expression" priority="531" aboveAverage="0" equalAverage="0" bottom="0" percent="0" rank="0" text="" dxfId="530">
      <formula>K130&gt;G130</formula>
    </cfRule>
  </conditionalFormatting>
  <conditionalFormatting sqref="J125">
    <cfRule type="expression" priority="532" aboveAverage="0" equalAverage="0" bottom="0" percent="0" rank="0" text="" dxfId="531">
      <formula>K125&lt;G125</formula>
    </cfRule>
    <cfRule type="expression" priority="533" aboveAverage="0" equalAverage="0" bottom="0" percent="0" rank="0" text="" dxfId="532">
      <formula>K125&gt;G125</formula>
    </cfRule>
  </conditionalFormatting>
  <conditionalFormatting sqref="J126">
    <cfRule type="expression" priority="534" aboveAverage="0" equalAverage="0" bottom="0" percent="0" rank="0" text="" dxfId="533">
      <formula>K126&lt;G126</formula>
    </cfRule>
    <cfRule type="expression" priority="535" aboveAverage="0" equalAverage="0" bottom="0" percent="0" rank="0" text="" dxfId="534">
      <formula>K126&gt;G126</formula>
    </cfRule>
  </conditionalFormatting>
  <conditionalFormatting sqref="J124">
    <cfRule type="expression" priority="536" aboveAverage="0" equalAverage="0" bottom="0" percent="0" rank="0" text="" dxfId="535">
      <formula>K124&lt;G124</formula>
    </cfRule>
    <cfRule type="expression" priority="537" aboveAverage="0" equalAverage="0" bottom="0" percent="0" rank="0" text="" dxfId="536">
      <formula>K124&gt;G124</formula>
    </cfRule>
  </conditionalFormatting>
  <conditionalFormatting sqref="J121">
    <cfRule type="expression" priority="538" aboveAverage="0" equalAverage="0" bottom="0" percent="0" rank="0" text="" dxfId="537">
      <formula>K121&lt;G121</formula>
    </cfRule>
    <cfRule type="expression" priority="539" aboveAverage="0" equalAverage="0" bottom="0" percent="0" rank="0" text="" dxfId="538">
      <formula>K121&gt;G121</formula>
    </cfRule>
  </conditionalFormatting>
  <conditionalFormatting sqref="J122">
    <cfRule type="expression" priority="540" aboveAverage="0" equalAverage="0" bottom="0" percent="0" rank="0" text="" dxfId="539">
      <formula>K122&lt;G122</formula>
    </cfRule>
    <cfRule type="expression" priority="541" aboveAverage="0" equalAverage="0" bottom="0" percent="0" rank="0" text="" dxfId="540">
      <formula>K122&gt;G122</formula>
    </cfRule>
  </conditionalFormatting>
  <conditionalFormatting sqref="J120">
    <cfRule type="expression" priority="542" aboveAverage="0" equalAverage="0" bottom="0" percent="0" rank="0" text="" dxfId="541">
      <formula>K120&lt;G120</formula>
    </cfRule>
    <cfRule type="expression" priority="543" aboveAverage="0" equalAverage="0" bottom="0" percent="0" rank="0" text="" dxfId="542">
      <formula>K120&gt;G120</formula>
    </cfRule>
  </conditionalFormatting>
  <conditionalFormatting sqref="J116">
    <cfRule type="expression" priority="544" aboveAverage="0" equalAverage="0" bottom="0" percent="0" rank="0" text="" dxfId="543">
      <formula>K116&lt;G116</formula>
    </cfRule>
    <cfRule type="expression" priority="545" aboveAverage="0" equalAverage="0" bottom="0" percent="0" rank="0" text="" dxfId="544">
      <formula>K116&gt;G116</formula>
    </cfRule>
  </conditionalFormatting>
  <conditionalFormatting sqref="J117">
    <cfRule type="expression" priority="546" aboveAverage="0" equalAverage="0" bottom="0" percent="0" rank="0" text="" dxfId="545">
      <formula>K117&lt;G117</formula>
    </cfRule>
    <cfRule type="expression" priority="547" aboveAverage="0" equalAverage="0" bottom="0" percent="0" rank="0" text="" dxfId="546">
      <formula>K117&gt;G117</formula>
    </cfRule>
  </conditionalFormatting>
  <conditionalFormatting sqref="J115">
    <cfRule type="expression" priority="548" aboveAverage="0" equalAverage="0" bottom="0" percent="0" rank="0" text="" dxfId="547">
      <formula>K115&lt;G115</formula>
    </cfRule>
    <cfRule type="expression" priority="549" aboveAverage="0" equalAverage="0" bottom="0" percent="0" rank="0" text="" dxfId="548">
      <formula>K115&gt;G115</formula>
    </cfRule>
  </conditionalFormatting>
  <conditionalFormatting sqref="J112">
    <cfRule type="expression" priority="550" aboveAverage="0" equalAverage="0" bottom="0" percent="0" rank="0" text="" dxfId="549">
      <formula>K112&lt;G112</formula>
    </cfRule>
    <cfRule type="expression" priority="551" aboveAverage="0" equalAverage="0" bottom="0" percent="0" rank="0" text="" dxfId="550">
      <formula>K112&gt;G112</formula>
    </cfRule>
  </conditionalFormatting>
  <conditionalFormatting sqref="J113">
    <cfRule type="expression" priority="552" aboveAverage="0" equalAverage="0" bottom="0" percent="0" rank="0" text="" dxfId="551">
      <formula>K113&lt;G113</formula>
    </cfRule>
    <cfRule type="expression" priority="553" aboveAverage="0" equalAverage="0" bottom="0" percent="0" rank="0" text="" dxfId="552">
      <formula>K113&gt;G113</formula>
    </cfRule>
  </conditionalFormatting>
  <conditionalFormatting sqref="J111">
    <cfRule type="expression" priority="554" aboveAverage="0" equalAverage="0" bottom="0" percent="0" rank="0" text="" dxfId="553">
      <formula>K111&lt;G111</formula>
    </cfRule>
    <cfRule type="expression" priority="555" aboveAverage="0" equalAverage="0" bottom="0" percent="0" rank="0" text="" dxfId="554">
      <formula>K111&gt;G111</formula>
    </cfRule>
  </conditionalFormatting>
  <conditionalFormatting sqref="J107">
    <cfRule type="expression" priority="556" aboveAverage="0" equalAverage="0" bottom="0" percent="0" rank="0" text="" dxfId="555">
      <formula>K107&lt;G107</formula>
    </cfRule>
    <cfRule type="expression" priority="557" aboveAverage="0" equalAverage="0" bottom="0" percent="0" rank="0" text="" dxfId="556">
      <formula>K107&gt;G107</formula>
    </cfRule>
  </conditionalFormatting>
  <conditionalFormatting sqref="J108">
    <cfRule type="expression" priority="558" aboveAverage="0" equalAverage="0" bottom="0" percent="0" rank="0" text="" dxfId="557">
      <formula>K108&lt;G108</formula>
    </cfRule>
    <cfRule type="expression" priority="559" aboveAverage="0" equalAverage="0" bottom="0" percent="0" rank="0" text="" dxfId="558">
      <formula>K108&gt;G108</formula>
    </cfRule>
  </conditionalFormatting>
  <conditionalFormatting sqref="J106">
    <cfRule type="expression" priority="560" aboveAverage="0" equalAverage="0" bottom="0" percent="0" rank="0" text="" dxfId="559">
      <formula>K106&lt;G106</formula>
    </cfRule>
    <cfRule type="expression" priority="561" aboveAverage="0" equalAverage="0" bottom="0" percent="0" rank="0" text="" dxfId="560">
      <formula>K106&gt;G106</formula>
    </cfRule>
  </conditionalFormatting>
  <conditionalFormatting sqref="J103">
    <cfRule type="expression" priority="562" aboveAverage="0" equalAverage="0" bottom="0" percent="0" rank="0" text="" dxfId="561">
      <formula>K103&lt;G103</formula>
    </cfRule>
    <cfRule type="expression" priority="563" aboveAverage="0" equalAverage="0" bottom="0" percent="0" rank="0" text="" dxfId="562">
      <formula>K103&gt;G103</formula>
    </cfRule>
  </conditionalFormatting>
  <conditionalFormatting sqref="J104">
    <cfRule type="expression" priority="564" aboveAverage="0" equalAverage="0" bottom="0" percent="0" rank="0" text="" dxfId="563">
      <formula>K104&lt;G104</formula>
    </cfRule>
    <cfRule type="expression" priority="565" aboveAverage="0" equalAverage="0" bottom="0" percent="0" rank="0" text="" dxfId="564">
      <formula>K104&gt;G104</formula>
    </cfRule>
  </conditionalFormatting>
  <conditionalFormatting sqref="J102">
    <cfRule type="expression" priority="566" aboveAverage="0" equalAverage="0" bottom="0" percent="0" rank="0" text="" dxfId="565">
      <formula>K102&lt;G102</formula>
    </cfRule>
    <cfRule type="expression" priority="567" aboveAverage="0" equalAverage="0" bottom="0" percent="0" rank="0" text="" dxfId="566">
      <formula>K102&gt;G102</formula>
    </cfRule>
  </conditionalFormatting>
  <conditionalFormatting sqref="J69">
    <cfRule type="expression" priority="568" aboveAverage="0" equalAverage="0" bottom="0" percent="0" rank="0" text="" dxfId="567">
      <formula>K69&lt;G69</formula>
    </cfRule>
    <cfRule type="expression" priority="569" aboveAverage="0" equalAverage="0" bottom="0" percent="0" rank="0" text="" dxfId="568">
      <formula>K69&gt;G69</formula>
    </cfRule>
  </conditionalFormatting>
  <conditionalFormatting sqref="J70">
    <cfRule type="expression" priority="570" aboveAverage="0" equalAverage="0" bottom="0" percent="0" rank="0" text="" dxfId="569">
      <formula>K70&lt;G70</formula>
    </cfRule>
    <cfRule type="expression" priority="571" aboveAverage="0" equalAverage="0" bottom="0" percent="0" rank="0" text="" dxfId="570">
      <formula>K70&gt;G70</formula>
    </cfRule>
  </conditionalFormatting>
  <conditionalFormatting sqref="J68">
    <cfRule type="expression" priority="572" aboveAverage="0" equalAverage="0" bottom="0" percent="0" rank="0" text="" dxfId="571">
      <formula>K68&lt;G68</formula>
    </cfRule>
    <cfRule type="expression" priority="573" aboveAverage="0" equalAverage="0" bottom="0" percent="0" rank="0" text="" dxfId="572">
      <formula>K68&gt;G68</formula>
    </cfRule>
  </conditionalFormatting>
  <conditionalFormatting sqref="J65">
    <cfRule type="expression" priority="574" aboveAverage="0" equalAverage="0" bottom="0" percent="0" rank="0" text="" dxfId="573">
      <formula>K65&lt;G65</formula>
    </cfRule>
    <cfRule type="expression" priority="575" aboveAverage="0" equalAverage="0" bottom="0" percent="0" rank="0" text="" dxfId="574">
      <formula>K65&gt;G65</formula>
    </cfRule>
  </conditionalFormatting>
  <conditionalFormatting sqref="J66">
    <cfRule type="expression" priority="576" aboveAverage="0" equalAverage="0" bottom="0" percent="0" rank="0" text="" dxfId="575">
      <formula>K66&lt;G66</formula>
    </cfRule>
    <cfRule type="expression" priority="577" aboveAverage="0" equalAverage="0" bottom="0" percent="0" rank="0" text="" dxfId="576">
      <formula>K66&gt;G66</formula>
    </cfRule>
  </conditionalFormatting>
  <conditionalFormatting sqref="J64">
    <cfRule type="expression" priority="578" aboveAverage="0" equalAverage="0" bottom="0" percent="0" rank="0" text="" dxfId="577">
      <formula>K64&lt;G64</formula>
    </cfRule>
    <cfRule type="expression" priority="579" aboveAverage="0" equalAverage="0" bottom="0" percent="0" rank="0" text="" dxfId="578">
      <formula>K64&gt;G64</formula>
    </cfRule>
  </conditionalFormatting>
  <conditionalFormatting sqref="J60">
    <cfRule type="expression" priority="580" aboveAverage="0" equalAverage="0" bottom="0" percent="0" rank="0" text="" dxfId="579">
      <formula>K60&lt;G60</formula>
    </cfRule>
    <cfRule type="expression" priority="581" aboveAverage="0" equalAverage="0" bottom="0" percent="0" rank="0" text="" dxfId="580">
      <formula>K60&gt;G60</formula>
    </cfRule>
  </conditionalFormatting>
  <conditionalFormatting sqref="J61">
    <cfRule type="expression" priority="582" aboveAverage="0" equalAverage="0" bottom="0" percent="0" rank="0" text="" dxfId="581">
      <formula>K61&lt;G61</formula>
    </cfRule>
    <cfRule type="expression" priority="583" aboveAverage="0" equalAverage="0" bottom="0" percent="0" rank="0" text="" dxfId="582">
      <formula>K61&gt;G61</formula>
    </cfRule>
  </conditionalFormatting>
  <conditionalFormatting sqref="J59">
    <cfRule type="expression" priority="584" aboveAverage="0" equalAverage="0" bottom="0" percent="0" rank="0" text="" dxfId="583">
      <formula>K59&lt;G59</formula>
    </cfRule>
    <cfRule type="expression" priority="585" aboveAverage="0" equalAverage="0" bottom="0" percent="0" rank="0" text="" dxfId="584">
      <formula>K59&gt;G59</formula>
    </cfRule>
  </conditionalFormatting>
  <conditionalFormatting sqref="J57">
    <cfRule type="expression" priority="586" aboveAverage="0" equalAverage="0" bottom="0" percent="0" rank="0" text="" dxfId="585">
      <formula>K57&lt;G57</formula>
    </cfRule>
    <cfRule type="expression" priority="587" aboveAverage="0" equalAverage="0" bottom="0" percent="0" rank="0" text="" dxfId="586">
      <formula>K57&gt;G57</formula>
    </cfRule>
  </conditionalFormatting>
  <conditionalFormatting sqref="J55:J56">
    <cfRule type="expression" priority="588" aboveAverage="0" equalAverage="0" bottom="0" percent="0" rank="0" text="" dxfId="587">
      <formula>K55&lt;G55</formula>
    </cfRule>
    <cfRule type="expression" priority="589" aboveAverage="0" equalAverage="0" bottom="0" percent="0" rank="0" text="" dxfId="588">
      <formula>K55&gt;G55</formula>
    </cfRule>
  </conditionalFormatting>
  <conditionalFormatting sqref="J51">
    <cfRule type="expression" priority="590" aboveAverage="0" equalAverage="0" bottom="0" percent="0" rank="0" text="" dxfId="589">
      <formula>K51&lt;G51</formula>
    </cfRule>
    <cfRule type="expression" priority="591" aboveAverage="0" equalAverage="0" bottom="0" percent="0" rank="0" text="" dxfId="590">
      <formula>K51&gt;G51</formula>
    </cfRule>
  </conditionalFormatting>
  <conditionalFormatting sqref="J52">
    <cfRule type="expression" priority="592" aboveAverage="0" equalAverage="0" bottom="0" percent="0" rank="0" text="" dxfId="591">
      <formula>K52&lt;G52</formula>
    </cfRule>
    <cfRule type="expression" priority="593" aboveAverage="0" equalAverage="0" bottom="0" percent="0" rank="0" text="" dxfId="592">
      <formula>K52&gt;G52</formula>
    </cfRule>
  </conditionalFormatting>
  <conditionalFormatting sqref="J50">
    <cfRule type="expression" priority="594" aboveAverage="0" equalAverage="0" bottom="0" percent="0" rank="0" text="" dxfId="593">
      <formula>K50&lt;G50</formula>
    </cfRule>
    <cfRule type="expression" priority="595" aboveAverage="0" equalAverage="0" bottom="0" percent="0" rank="0" text="" dxfId="594">
      <formula>K50&gt;G50</formula>
    </cfRule>
  </conditionalFormatting>
  <conditionalFormatting sqref="J47">
    <cfRule type="expression" priority="596" aboveAverage="0" equalAverage="0" bottom="0" percent="0" rank="0" text="" dxfId="595">
      <formula>K47&lt;G47</formula>
    </cfRule>
    <cfRule type="expression" priority="597" aboveAverage="0" equalAverage="0" bottom="0" percent="0" rank="0" text="" dxfId="596">
      <formula>K47&gt;G47</formula>
    </cfRule>
  </conditionalFormatting>
  <conditionalFormatting sqref="J48">
    <cfRule type="expression" priority="598" aboveAverage="0" equalAverage="0" bottom="0" percent="0" rank="0" text="" dxfId="597">
      <formula>K48&lt;G48</formula>
    </cfRule>
    <cfRule type="expression" priority="599" aboveAverage="0" equalAverage="0" bottom="0" percent="0" rank="0" text="" dxfId="598">
      <formula>K48&gt;G48</formula>
    </cfRule>
  </conditionalFormatting>
  <conditionalFormatting sqref="J46">
    <cfRule type="expression" priority="600" aboveAverage="0" equalAverage="0" bottom="0" percent="0" rank="0" text="" dxfId="599">
      <formula>K46&lt;G46</formula>
    </cfRule>
    <cfRule type="expression" priority="601" aboveAverage="0" equalAverage="0" bottom="0" percent="0" rank="0" text="" dxfId="600">
      <formula>K46&gt;G46</formula>
    </cfRule>
  </conditionalFormatting>
  <conditionalFormatting sqref="J41">
    <cfRule type="expression" priority="602" aboveAverage="0" equalAverage="0" bottom="0" percent="0" rank="0" text="" dxfId="601">
      <formula>K41&lt;G41</formula>
    </cfRule>
    <cfRule type="expression" priority="603" aboveAverage="0" equalAverage="0" bottom="0" percent="0" rank="0" text="" dxfId="602">
      <formula>K41&gt;G41</formula>
    </cfRule>
  </conditionalFormatting>
  <conditionalFormatting sqref="J42">
    <cfRule type="expression" priority="604" aboveAverage="0" equalAverage="0" bottom="0" percent="0" rank="0" text="" dxfId="603">
      <formula>K42&lt;G42</formula>
    </cfRule>
    <cfRule type="expression" priority="605" aboveAverage="0" equalAverage="0" bottom="0" percent="0" rank="0" text="" dxfId="604">
      <formula>K42&gt;G42</formula>
    </cfRule>
  </conditionalFormatting>
  <conditionalFormatting sqref="J40">
    <cfRule type="expression" priority="606" aboveAverage="0" equalAverage="0" bottom="0" percent="0" rank="0" text="" dxfId="605">
      <formula>K40&lt;G40</formula>
    </cfRule>
    <cfRule type="expression" priority="607" aboveAverage="0" equalAverage="0" bottom="0" percent="0" rank="0" text="" dxfId="606">
      <formula>K40&gt;G40</formula>
    </cfRule>
  </conditionalFormatting>
  <conditionalFormatting sqref="J37">
    <cfRule type="expression" priority="608" aboveAverage="0" equalAverage="0" bottom="0" percent="0" rank="0" text="" dxfId="607">
      <formula>K37&lt;G37</formula>
    </cfRule>
    <cfRule type="expression" priority="609" aboveAverage="0" equalAverage="0" bottom="0" percent="0" rank="0" text="" dxfId="608">
      <formula>K37&gt;G37</formula>
    </cfRule>
  </conditionalFormatting>
  <conditionalFormatting sqref="J38">
    <cfRule type="expression" priority="610" aboveAverage="0" equalAverage="0" bottom="0" percent="0" rank="0" text="" dxfId="609">
      <formula>K38&lt;G38</formula>
    </cfRule>
    <cfRule type="expression" priority="611" aboveAverage="0" equalAverage="0" bottom="0" percent="0" rank="0" text="" dxfId="610">
      <formula>K38&gt;G38</formula>
    </cfRule>
  </conditionalFormatting>
  <conditionalFormatting sqref="J36">
    <cfRule type="expression" priority="612" aboveAverage="0" equalAverage="0" bottom="0" percent="0" rank="0" text="" dxfId="611">
      <formula>K36&lt;G36</formula>
    </cfRule>
    <cfRule type="expression" priority="613" aboveAverage="0" equalAverage="0" bottom="0" percent="0" rank="0" text="" dxfId="612">
      <formula>K36&gt;G36</formula>
    </cfRule>
  </conditionalFormatting>
  <conditionalFormatting sqref="J32">
    <cfRule type="expression" priority="614" aboveAverage="0" equalAverage="0" bottom="0" percent="0" rank="0" text="" dxfId="613">
      <formula>K32&lt;G32</formula>
    </cfRule>
    <cfRule type="expression" priority="615" aboveAverage="0" equalAverage="0" bottom="0" percent="0" rank="0" text="" dxfId="614">
      <formula>K32&gt;G32</formula>
    </cfRule>
  </conditionalFormatting>
  <conditionalFormatting sqref="J33">
    <cfRule type="expression" priority="616" aboveAverage="0" equalAverage="0" bottom="0" percent="0" rank="0" text="" dxfId="615">
      <formula>K33&lt;G33</formula>
    </cfRule>
    <cfRule type="expression" priority="617" aboveAverage="0" equalAverage="0" bottom="0" percent="0" rank="0" text="" dxfId="616">
      <formula>K33&gt;G33</formula>
    </cfRule>
  </conditionalFormatting>
  <conditionalFormatting sqref="J31">
    <cfRule type="expression" priority="618" aboveAverage="0" equalAverage="0" bottom="0" percent="0" rank="0" text="" dxfId="617">
      <formula>K31&lt;G31</formula>
    </cfRule>
    <cfRule type="expression" priority="619" aboveAverage="0" equalAverage="0" bottom="0" percent="0" rank="0" text="" dxfId="618">
      <formula>K31&gt;G31</formula>
    </cfRule>
  </conditionalFormatting>
  <conditionalFormatting sqref="J28">
    <cfRule type="expression" priority="620" aboveAverage="0" equalAverage="0" bottom="0" percent="0" rank="0" text="" dxfId="619">
      <formula>K28&lt;G28</formula>
    </cfRule>
    <cfRule type="expression" priority="621" aboveAverage="0" equalAverage="0" bottom="0" percent="0" rank="0" text="" dxfId="620">
      <formula>K28&gt;G28</formula>
    </cfRule>
  </conditionalFormatting>
  <conditionalFormatting sqref="J29">
    <cfRule type="expression" priority="622" aboveAverage="0" equalAverage="0" bottom="0" percent="0" rank="0" text="" dxfId="621">
      <formula>K29&lt;G29</formula>
    </cfRule>
    <cfRule type="expression" priority="623" aboveAverage="0" equalAverage="0" bottom="0" percent="0" rank="0" text="" dxfId="622">
      <formula>K29&gt;G29</formula>
    </cfRule>
  </conditionalFormatting>
  <conditionalFormatting sqref="J27">
    <cfRule type="expression" priority="624" aboveAverage="0" equalAverage="0" bottom="0" percent="0" rank="0" text="" dxfId="623">
      <formula>K27&lt;G27</formula>
    </cfRule>
    <cfRule type="expression" priority="625" aboveAverage="0" equalAverage="0" bottom="0" percent="0" rank="0" text="" dxfId="624">
      <formula>K27&gt;G27</formula>
    </cfRule>
  </conditionalFormatting>
  <conditionalFormatting sqref="J24">
    <cfRule type="expression" priority="626" aboveAverage="0" equalAverage="0" bottom="0" percent="0" rank="0" text="" dxfId="625">
      <formula>K24&lt;G24</formula>
    </cfRule>
    <cfRule type="expression" priority="627" aboveAverage="0" equalAverage="0" bottom="0" percent="0" rank="0" text="" dxfId="626">
      <formula>K24&gt;G24</formula>
    </cfRule>
  </conditionalFormatting>
  <conditionalFormatting sqref="J22:J23">
    <cfRule type="expression" priority="628" aboveAverage="0" equalAverage="0" bottom="0" percent="0" rank="0" text="" dxfId="627">
      <formula>K22&lt;G22</formula>
    </cfRule>
    <cfRule type="expression" priority="629" aboveAverage="0" equalAverage="0" bottom="0" percent="0" rank="0" text="" dxfId="628">
      <formula>K22&gt;G22</formula>
    </cfRule>
  </conditionalFormatting>
  <conditionalFormatting sqref="J19">
    <cfRule type="expression" priority="630" aboveAverage="0" equalAverage="0" bottom="0" percent="0" rank="0" text="" dxfId="629">
      <formula>K19&lt;G19</formula>
    </cfRule>
    <cfRule type="expression" priority="631" aboveAverage="0" equalAverage="0" bottom="0" percent="0" rank="0" text="" dxfId="630">
      <formula>K19&gt;G19</formula>
    </cfRule>
  </conditionalFormatting>
  <conditionalFormatting sqref="J20">
    <cfRule type="expression" priority="632" aboveAverage="0" equalAverage="0" bottom="0" percent="0" rank="0" text="" dxfId="631">
      <formula>K20&lt;G20</formula>
    </cfRule>
    <cfRule type="expression" priority="633" aboveAverage="0" equalAverage="0" bottom="0" percent="0" rank="0" text="" dxfId="632">
      <formula>K20&gt;G20</formula>
    </cfRule>
  </conditionalFormatting>
  <conditionalFormatting sqref="F15">
    <cfRule type="expression" priority="634" aboveAverage="0" equalAverage="0" bottom="0" percent="0" rank="0" text="" dxfId="633">
      <formula>$H$22=1</formula>
    </cfRule>
  </conditionalFormatting>
  <dataValidations count="24">
    <dataValidation allowBlank="true" errorStyle="stop" operator="between" showDropDown="false" showErrorMessage="true" showInputMessage="true" sqref="F18 J18 N18 R18 V18" type="list">
      <formula1>AnsY</formula1>
      <formula2>0</formula2>
    </dataValidation>
    <dataValidation allowBlank="true" errorStyle="stop" operator="between" showDropDown="false" showErrorMessage="true" showInputMessage="true" sqref="F41:F42 J41:J42 N41:N42 R41:R42 V41:V42" type="list">
      <formula1>AnsL</formula1>
      <formula2>0</formula2>
    </dataValidation>
    <dataValidation allowBlank="true" errorStyle="stop" operator="between" showDropDown="false" showErrorMessage="true" showInputMessage="true" sqref="F22 J22 N22 R22 V22" type="list">
      <formula1>AnsK</formula1>
      <formula2>0</formula2>
    </dataValidation>
    <dataValidation allowBlank="true" errorStyle="stop" operator="between" showDropDown="false" showErrorMessage="true" showInputMessage="true" sqref="F29 J29 N29 R29 V29 F33 J33 N33 R33 V33" type="list">
      <formula1>AnsE</formula1>
      <formula2>0</formula2>
    </dataValidation>
    <dataValidation allowBlank="true" errorStyle="stop" operator="between" showDropDown="false" showErrorMessage="true" showInputMessage="true" sqref="F32 J32 N32 R32 V32 R74:R76 V74:V76 R78:R80 V78:V80 R83:R85 V83:V85 R87:R89 V87:V89 R92:R94 V92:V94 R96:R98 V96:V98" type="list">
      <formula1>AnsD</formula1>
      <formula2>0</formula2>
    </dataValidation>
    <dataValidation allowBlank="true" errorStyle="stop" operator="between" showDropDown="false" showErrorMessage="true" showInputMessage="true" sqref="F37:F38 J37:J38 N37:N38 R37:R38 V37:V38" type="list">
      <formula1>AnsI</formula1>
      <formula2>0</formula2>
    </dataValidation>
    <dataValidation allowBlank="true" errorStyle="stop" operator="between" showDropDown="false" showErrorMessage="true" showInputMessage="true" sqref="F48 J48 N48 R48 V48" type="list">
      <formula1>AnsG</formula1>
      <formula2>0</formula2>
    </dataValidation>
    <dataValidation allowBlank="true" errorStyle="stop" operator="between" showDropDown="false" showErrorMessage="true" showInputMessage="true" sqref="F149 J149 N149 R149 V149" type="list">
      <formula1>AnsO</formula1>
      <formula2>0</formula2>
    </dataValidation>
    <dataValidation allowBlank="true" errorStyle="stop" operator="between" showDropDown="false" showErrorMessage="true" showInputMessage="true" sqref="F150 J150 N150 R150 V150" type="list">
      <formula1>AnsP</formula1>
      <formula2>0</formula2>
    </dataValidation>
    <dataValidation allowBlank="true" errorStyle="stop" operator="between" showDropDown="false" showErrorMessage="true" showInputMessage="true" sqref="F124 J124 N124 R124 V124 F139:F141 J139:J141 N139:N141 R139:R141 V139:V141 F143:F145 J143:J145 N143:N145 R143:R145 V143:V145" type="list">
      <formula1>AnsM</formula1>
      <formula2>0</formula2>
    </dataValidation>
    <dataValidation allowBlank="true" errorStyle="stop" operator="between" showDropDown="false" showErrorMessage="true" showInputMessage="true" sqref="F27 J27 N27 R27 V27 F31 J31 N31 R31 V31 F47 J47 N47 R47 V47 F51 J51 N51 R51 V51 F55 J55 N55 R55 V55 F57 J57 N57 R57 V57 F64:F66 J64:J66 N64:N66 R64:R66 V64:V66 F68 J68 N68 R68 V68 F70 J70 N70 R70 V70 F74:F76 J74:J76 N74:N76 F78:F80 J78:J80 N78:N80 F83:F85 J83:J85 N83:N85 F87:F89 J87:J89 N87:N89 F92:F94 J92:J94 N92:N94 F96:F98 J96:J98 N96:N98 F102:F104 J102:J104 N102:N104 R102:R104 V102:V104 F106:F108 J106:J108 N106:N108 R106:R108 V106:V108 F113 J113 N113 R113 V113 F115 J115 N115 R115 V115 F125 J125 N125 R125 V125 F130:F132 J130:J132 N130:N132 R130:R132 V130:V132 F148 J148 N148 R148 V148 F152 J152 N152 R152 V152" type="list">
      <formula1>AnsF</formula1>
      <formula2>0</formula2>
    </dataValidation>
    <dataValidation allowBlank="true" errorStyle="stop" operator="between" showDropDown="false" showErrorMessage="true" showInputMessage="true" sqref="F36 J36 N36 R36 V36 F46 J46 N46 R46 V46 F50 J50 N50 R50 V50 F111:F112 J111:J112 N111:N112 R111:R112 V111:V112 F120:F121 J120:J121 N120:N121 R120:R121 V120:V121" type="list">
      <formula1>AnsC</formula1>
      <formula2>0</formula2>
    </dataValidation>
    <dataValidation allowBlank="true" errorStyle="stop" operator="between" showDropDown="false" showErrorMessage="true" showInputMessage="true" sqref="F23 J23 N23 R23 V23" type="list">
      <formula1>AnsB</formula1>
      <formula2>0</formula2>
    </dataValidation>
    <dataValidation allowBlank="true" errorStyle="stop" operator="between" showDropDown="false" showErrorMessage="true" showInputMessage="true" sqref="F20 J20 N20 R20 V20 F24 J24 N24 R24 V24 F52 J52 N52 R52 V52" type="list">
      <formula1>AnsN</formula1>
      <formula2>0</formula2>
    </dataValidation>
    <dataValidation allowBlank="true" errorStyle="stop" operator="between" showDropDown="false" showErrorMessage="true" showInputMessage="true" sqref="F154 J154 N154 R154 V154" type="list">
      <formula1>AnsS</formula1>
      <formula2>0</formula2>
    </dataValidation>
    <dataValidation allowBlank="true" errorStyle="stop" operator="between" showDropDown="false" showErrorMessage="true" showInputMessage="true" sqref="F28 J28 N28 R28 V28" type="list">
      <formula1>AnsA</formula1>
      <formula2>0</formula2>
    </dataValidation>
    <dataValidation allowBlank="true" errorStyle="stop" operator="between" showDropDown="false" showErrorMessage="true" showInputMessage="true" sqref="F126 J126 N126 R126 V126" type="list">
      <formula1>AnsT</formula1>
      <formula2>0</formula2>
    </dataValidation>
    <dataValidation allowBlank="true" errorStyle="stop" operator="between" showDropDown="false" showErrorMessage="true" showInputMessage="true" sqref="F134 J134 N134 R134 V134" type="list">
      <formula1>AnsR</formula1>
      <formula2>0</formula2>
    </dataValidation>
    <dataValidation allowBlank="true" errorStyle="stop" operator="between" showDropDown="false" showErrorMessage="true" showInputMessage="true" sqref="F135 J135 N135 R135 V135" type="list">
      <formula1>AnsQ</formula1>
      <formula2>0</formula2>
    </dataValidation>
    <dataValidation allowBlank="true" errorStyle="stop" operator="between" showDropDown="false" showErrorMessage="true" showInputMessage="true" sqref="F19 J19 N19 R19 V19" type="list">
      <formula1>AnsV</formula1>
      <formula2>0</formula2>
    </dataValidation>
    <dataValidation allowBlank="true" errorStyle="stop" operator="between" showDropDown="false" showErrorMessage="true" showInputMessage="true" sqref="F40 J40 N40 R40 V40" type="list">
      <formula1>AnsW</formula1>
      <formula2>0</formula2>
    </dataValidation>
    <dataValidation allowBlank="true" errorStyle="stop" operator="between" showDropDown="false" showErrorMessage="true" showInputMessage="true" sqref="F56 J56 N56 R56 V56 F59:F61 J59:J61 N59:N61 R59:R61 V59:V61 F116:F117 J116:J117 N116:N117 R116:R117 V116:V117 F136 J136 N136 R136 V136 F153 J153 N153 R153 V153" type="list">
      <formula1>AnsH</formula1>
      <formula2>0</formula2>
    </dataValidation>
    <dataValidation allowBlank="true" errorStyle="stop" operator="between" showDropDown="false" showErrorMessage="true" showInputMessage="true" sqref="F69 J69 N69 R69 V69" type="list">
      <formula1>AnsU</formula1>
      <formula2>0</formula2>
    </dataValidation>
    <dataValidation allowBlank="true" errorStyle="stop" operator="between" showDropDown="false" showErrorMessage="true" showInputMessage="true" sqref="F122 J122 N122 R122 V122" type="list">
      <formula1>AnsX</formula1>
      <formula2>0</formula2>
    </dataValidation>
  </dataValidations>
  <printOptions headings="false" gridLines="false" gridLinesSet="true" horizontalCentered="false" verticalCentered="false"/>
  <pageMargins left="0.75" right="0.75" top="1" bottom="1" header="0.511811023622047" footer="0.511811023622047"/>
  <pageSetup paperSize="9" scale="1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E132"/>
  <sheetViews>
    <sheetView showFormulas="false" showGridLines="true" showRowColHeaders="true" showZeros="true" rightToLeft="false" tabSelected="false" showOutlineSymbols="true" defaultGridColor="true" view="normal" topLeftCell="A18" colorId="64" zoomScale="80" zoomScaleNormal="80" zoomScalePageLayoutView="100" workbookViewId="0">
      <selection pane="topLeft" activeCell="L35" activeCellId="0" sqref="L35"/>
    </sheetView>
  </sheetViews>
  <sheetFormatPr defaultColWidth="8.83203125" defaultRowHeight="12.75" zeroHeight="false" outlineLevelRow="0" outlineLevelCol="0"/>
  <cols>
    <col collapsed="false" customWidth="true" hidden="false" outlineLevel="0" max="1" min="1" style="302" width="22.83"/>
    <col collapsed="false" customWidth="true" hidden="false" outlineLevel="0" max="2" min="2" style="302" width="11"/>
    <col collapsed="false" customWidth="true" hidden="false" outlineLevel="0" max="3" min="3" style="302" width="9.67"/>
    <col collapsed="false" customWidth="true" hidden="false" outlineLevel="0" max="4" min="4" style="302" width="1.83"/>
    <col collapsed="false" customWidth="false" hidden="false" outlineLevel="0" max="5" min="5" style="302" width="8.83"/>
    <col collapsed="false" customWidth="true" hidden="false" outlineLevel="0" max="6" min="6" style="302" width="1.51"/>
    <col collapsed="false" customWidth="false" hidden="false" outlineLevel="0" max="7" min="7" style="302" width="8.83"/>
    <col collapsed="false" customWidth="true" hidden="false" outlineLevel="0" max="8" min="8" style="302" width="1.51"/>
    <col collapsed="false" customWidth="false" hidden="false" outlineLevel="0" max="9" min="9" style="302" width="8.83"/>
    <col collapsed="false" customWidth="true" hidden="false" outlineLevel="0" max="10" min="10" style="302" width="1.51"/>
    <col collapsed="false" customWidth="true" hidden="false" outlineLevel="0" max="11" min="11" style="302" width="21.5"/>
    <col collapsed="false" customWidth="true" hidden="false" outlineLevel="0" max="12" min="12" style="302" width="22.16"/>
    <col collapsed="false" customWidth="true" hidden="false" outlineLevel="0" max="13" min="13" style="302" width="3.83"/>
    <col collapsed="false" customWidth="true" hidden="false" outlineLevel="0" max="14" min="14" style="302" width="4.5"/>
    <col collapsed="false" customWidth="true" hidden="false" outlineLevel="0" max="21" min="15" style="303" width="9.67"/>
    <col collapsed="false" customWidth="true" hidden="false" outlineLevel="0" max="22" min="22" style="302" width="9.67"/>
    <col collapsed="false" customWidth="false" hidden="false" outlineLevel="0" max="25" min="23" style="302" width="8.83"/>
    <col collapsed="false" customWidth="true" hidden="false" outlineLevel="0" max="26" min="26" style="302" width="19"/>
    <col collapsed="false" customWidth="false" hidden="false" outlineLevel="0" max="16384" min="27" style="302" width="8.83"/>
  </cols>
  <sheetData>
    <row r="1" customFormat="false" ht="69" hidden="false" customHeight="true" outlineLevel="0" collapsed="false">
      <c r="A1" s="156" t="s">
        <v>152</v>
      </c>
      <c r="B1" s="156"/>
      <c r="C1" s="156"/>
      <c r="D1" s="156"/>
      <c r="E1" s="156"/>
      <c r="F1" s="156"/>
      <c r="G1" s="156"/>
      <c r="H1" s="156"/>
      <c r="I1" s="156"/>
      <c r="J1" s="156"/>
      <c r="K1" s="156"/>
    </row>
    <row r="3" customFormat="false" ht="24.75" hidden="false" customHeight="false" outlineLevel="0" collapsed="false">
      <c r="A3" s="304" t="s">
        <v>170</v>
      </c>
      <c r="L3" s="304" t="str">
        <f aca="false">A3</f>
        <v>Software Assurance Maturity Model (SAMM) Roadmap</v>
      </c>
    </row>
    <row r="4" s="305" customFormat="true" ht="13.8" hidden="false" customHeight="false" outlineLevel="0" collapsed="false">
      <c r="A4" s="305" t="s">
        <v>33</v>
      </c>
      <c r="B4" s="306" t="str">
        <f aca="false">IF(ISBLANK(Interview!D10),"",Interview!D10)</f>
        <v/>
      </c>
      <c r="C4" s="306"/>
      <c r="L4" s="305" t="str">
        <f aca="false">B4</f>
        <v/>
      </c>
      <c r="O4" s="307"/>
      <c r="P4" s="307"/>
      <c r="Q4" s="307"/>
      <c r="R4" s="307"/>
      <c r="S4" s="307"/>
      <c r="T4" s="307"/>
      <c r="U4" s="307"/>
      <c r="Y4" s="305" t="n">
        <v>1</v>
      </c>
      <c r="Z4" s="305" t="n">
        <v>1</v>
      </c>
      <c r="AA4" s="305" t="n">
        <v>1</v>
      </c>
    </row>
    <row r="5" s="305" customFormat="true" ht="13.8" hidden="false" customHeight="false" outlineLevel="0" collapsed="false">
      <c r="A5" s="305" t="s">
        <v>34</v>
      </c>
      <c r="B5" s="306" t="str">
        <f aca="false">IF(ISBLANK(Interview!D11),"",Interview!D11)</f>
        <v/>
      </c>
      <c r="C5" s="306"/>
      <c r="L5" s="305" t="str">
        <f aca="false">B5</f>
        <v/>
      </c>
      <c r="O5" s="307"/>
      <c r="P5" s="307"/>
      <c r="Q5" s="307"/>
      <c r="R5" s="307"/>
      <c r="S5" s="307"/>
      <c r="T5" s="307"/>
      <c r="U5" s="307"/>
    </row>
    <row r="6" s="305" customFormat="true" ht="13.8" hidden="false" customHeight="false" outlineLevel="0" collapsed="false">
      <c r="A6" s="305" t="s">
        <v>171</v>
      </c>
      <c r="B6" s="308" t="str">
        <f aca="false">IF(ISBLANK(Interview!D12),"",Interview!D12)</f>
        <v/>
      </c>
      <c r="C6" s="308"/>
      <c r="L6" s="309" t="str">
        <f aca="false">B6</f>
        <v/>
      </c>
      <c r="O6" s="307"/>
      <c r="P6" s="307"/>
      <c r="Q6" s="307"/>
      <c r="R6" s="307"/>
      <c r="S6" s="307"/>
      <c r="T6" s="307"/>
      <c r="U6" s="307"/>
    </row>
    <row r="7" s="305" customFormat="true" ht="13.8" hidden="false" customHeight="false" outlineLevel="0" collapsed="false">
      <c r="A7" s="305" t="s">
        <v>172</v>
      </c>
      <c r="B7" s="308" t="str">
        <f aca="false">IF(ISBLANK(Interview!D13),"",Interview!D13)</f>
        <v/>
      </c>
      <c r="C7" s="308"/>
      <c r="O7" s="307"/>
      <c r="P7" s="307"/>
      <c r="Q7" s="307"/>
      <c r="R7" s="307"/>
      <c r="S7" s="307"/>
      <c r="T7" s="307"/>
      <c r="U7" s="307"/>
    </row>
    <row r="8" s="305" customFormat="true" ht="13.8" hidden="false" customHeight="false" outlineLevel="0" collapsed="false">
      <c r="A8" s="305" t="s">
        <v>12</v>
      </c>
      <c r="B8" s="308" t="str">
        <f aca="false">IF(ISBLANK(Interview!D14),"",Interview!D14)</f>
        <v/>
      </c>
      <c r="C8" s="308"/>
      <c r="L8" s="310"/>
      <c r="M8" s="310"/>
      <c r="N8" s="310"/>
      <c r="O8" s="311"/>
      <c r="P8" s="311"/>
      <c r="Q8" s="311"/>
      <c r="R8" s="311"/>
      <c r="S8" s="311"/>
      <c r="T8" s="311"/>
      <c r="U8" s="311"/>
      <c r="V8" s="311"/>
    </row>
    <row r="9" s="305" customFormat="true" ht="13.8" hidden="false" customHeight="false" outlineLevel="0" collapsed="false">
      <c r="L9" s="312"/>
      <c r="M9" s="312"/>
      <c r="N9" s="312"/>
      <c r="O9" s="311"/>
      <c r="P9" s="311"/>
      <c r="Q9" s="311"/>
      <c r="R9" s="311"/>
      <c r="S9" s="311"/>
      <c r="T9" s="311"/>
      <c r="U9" s="311"/>
      <c r="V9" s="311"/>
    </row>
    <row r="10" s="305" customFormat="true" ht="13.8" hidden="false" customHeight="false" outlineLevel="0" collapsed="false">
      <c r="A10" s="305" t="s">
        <v>173</v>
      </c>
      <c r="B10" s="313" t="s">
        <v>174</v>
      </c>
      <c r="I10" s="313" t="s">
        <v>175</v>
      </c>
      <c r="L10" s="314" t="s">
        <v>176</v>
      </c>
      <c r="M10" s="314"/>
      <c r="N10" s="314"/>
      <c r="O10" s="315"/>
      <c r="P10" s="315"/>
      <c r="Q10" s="315"/>
      <c r="R10" s="315"/>
      <c r="S10" s="315"/>
      <c r="T10" s="315"/>
      <c r="U10" s="315"/>
      <c r="V10" s="315"/>
    </row>
    <row r="11" customFormat="false" ht="12.75" hidden="false" customHeight="false" outlineLevel="0" collapsed="false">
      <c r="A11" s="316" t="s">
        <v>177</v>
      </c>
      <c r="B11" s="317" t="s">
        <v>178</v>
      </c>
      <c r="C11" s="317" t="s">
        <v>179</v>
      </c>
      <c r="D11" s="318" t="s">
        <v>180</v>
      </c>
      <c r="E11" s="317" t="s">
        <v>181</v>
      </c>
      <c r="F11" s="318" t="s">
        <v>182</v>
      </c>
      <c r="G11" s="317" t="s">
        <v>183</v>
      </c>
      <c r="H11" s="318" t="s">
        <v>184</v>
      </c>
      <c r="I11" s="317" t="s">
        <v>185</v>
      </c>
      <c r="J11" s="319" t="s">
        <v>186</v>
      </c>
      <c r="K11" s="320" t="s">
        <v>187</v>
      </c>
      <c r="L11" s="321"/>
      <c r="M11" s="322"/>
      <c r="N11" s="322"/>
      <c r="O11" s="323" t="str">
        <f aca="false">C11</f>
        <v>Phase 1</v>
      </c>
      <c r="P11" s="323"/>
      <c r="Q11" s="323" t="str">
        <f aca="false">E11</f>
        <v>Phase 2</v>
      </c>
      <c r="R11" s="323"/>
      <c r="S11" s="323" t="str">
        <f aca="false">G11</f>
        <v>Phase 3</v>
      </c>
      <c r="T11" s="323"/>
      <c r="U11" s="323" t="str">
        <f aca="false">I11</f>
        <v>Phase 4</v>
      </c>
      <c r="V11" s="323"/>
      <c r="AA11" s="320" t="str">
        <f aca="false">I11</f>
        <v>Phase 4</v>
      </c>
      <c r="AB11" s="320" t="str">
        <f aca="false">G11</f>
        <v>Phase 3</v>
      </c>
      <c r="AC11" s="320" t="str">
        <f aca="false">E11</f>
        <v>Phase 2</v>
      </c>
      <c r="AD11" s="320" t="str">
        <f aca="false">C11</f>
        <v>Phase 1</v>
      </c>
      <c r="AE11" s="320" t="str">
        <f aca="false">B11</f>
        <v>Start</v>
      </c>
    </row>
    <row r="12" customFormat="false" ht="15" hidden="false" customHeight="true" outlineLevel="0" collapsed="false">
      <c r="A12" s="324" t="s">
        <v>188</v>
      </c>
      <c r="B12" s="325" t="n">
        <f aca="false">IF(ISNUMBER(Interview!$J$18),Interview!$J$18,SUM(LEFT(Interview!$J$18),".5"))</f>
        <v>0</v>
      </c>
      <c r="C12" s="326" t="n">
        <f aca="false">Roadmap!M18</f>
        <v>0.875</v>
      </c>
      <c r="D12" s="327" t="n">
        <f aca="false">C12</f>
        <v>0.875</v>
      </c>
      <c r="E12" s="326" t="n">
        <f aca="false">Roadmap!Q18</f>
        <v>0.875</v>
      </c>
      <c r="F12" s="327" t="n">
        <f aca="false">E12</f>
        <v>0.875</v>
      </c>
      <c r="G12" s="326" t="n">
        <f aca="false">Roadmap!U18</f>
        <v>0.875</v>
      </c>
      <c r="H12" s="328" t="n">
        <f aca="false">G12</f>
        <v>0.875</v>
      </c>
      <c r="I12" s="326" t="n">
        <f aca="false">Roadmap!Y18</f>
        <v>0.875</v>
      </c>
      <c r="J12" s="328" t="n">
        <f aca="false">I12</f>
        <v>0.875</v>
      </c>
      <c r="K12" s="329" t="n">
        <f aca="false">IFERROR(I12-B12,I12-LEFT(B12,1))</f>
        <v>0.875</v>
      </c>
      <c r="L12" s="330"/>
      <c r="M12" s="322"/>
      <c r="N12" s="322"/>
      <c r="O12" s="322"/>
      <c r="P12" s="322"/>
      <c r="Q12" s="322"/>
      <c r="R12" s="322"/>
      <c r="S12" s="322"/>
      <c r="T12" s="322"/>
      <c r="U12" s="322"/>
      <c r="V12" s="322"/>
      <c r="Z12" s="302" t="str">
        <f aca="false">A12</f>
        <v>Strategy &amp; metrics</v>
      </c>
      <c r="AA12" s="331" t="n">
        <f aca="false">I12</f>
        <v>0.875</v>
      </c>
      <c r="AB12" s="331" t="n">
        <f aca="false">G12</f>
        <v>0.875</v>
      </c>
      <c r="AC12" s="331" t="n">
        <f aca="false">E12</f>
        <v>0.875</v>
      </c>
      <c r="AD12" s="331" t="n">
        <f aca="false">C12</f>
        <v>0.875</v>
      </c>
      <c r="AE12" s="331" t="n">
        <f aca="false">B12</f>
        <v>0</v>
      </c>
    </row>
    <row r="13" customFormat="false" ht="15" hidden="false" customHeight="true" outlineLevel="0" collapsed="false">
      <c r="A13" s="332" t="s">
        <v>50</v>
      </c>
      <c r="B13" s="325" t="n">
        <f aca="false">IF(ISNUMBER(Interview!$J$32),Interview!$J$32,SUM(LEFT(Interview!$J$32),".5"))</f>
        <v>0</v>
      </c>
      <c r="C13" s="333" t="n">
        <f aca="false">Roadmap!M27</f>
        <v>0</v>
      </c>
      <c r="D13" s="327" t="n">
        <f aca="false">C13</f>
        <v>0</v>
      </c>
      <c r="E13" s="333" t="n">
        <f aca="false">Roadmap!Q27</f>
        <v>0</v>
      </c>
      <c r="F13" s="327" t="n">
        <f aca="false">E13</f>
        <v>0</v>
      </c>
      <c r="G13" s="333" t="n">
        <f aca="false">Roadmap!U27</f>
        <v>0</v>
      </c>
      <c r="H13" s="327" t="n">
        <f aca="false">G13</f>
        <v>0</v>
      </c>
      <c r="I13" s="333" t="n">
        <f aca="false">Roadmap!Y27</f>
        <v>0</v>
      </c>
      <c r="J13" s="327" t="n">
        <f aca="false">I13</f>
        <v>0</v>
      </c>
      <c r="K13" s="329" t="n">
        <f aca="false">IFERROR(I13-B13,I13-LEFT(B13,1))</f>
        <v>0</v>
      </c>
      <c r="L13" s="330"/>
      <c r="M13" s="322"/>
      <c r="N13" s="322"/>
      <c r="O13" s="322"/>
      <c r="P13" s="322"/>
      <c r="Q13" s="322"/>
      <c r="R13" s="322"/>
      <c r="S13" s="322"/>
      <c r="T13" s="322"/>
      <c r="U13" s="322"/>
      <c r="V13" s="322"/>
      <c r="Z13" s="302" t="str">
        <f aca="false">A13</f>
        <v>Policy &amp; Compliance</v>
      </c>
      <c r="AA13" s="331" t="n">
        <f aca="false">I13</f>
        <v>0</v>
      </c>
      <c r="AB13" s="331" t="n">
        <f aca="false">G13</f>
        <v>0</v>
      </c>
      <c r="AC13" s="331" t="n">
        <f aca="false">E13</f>
        <v>0</v>
      </c>
      <c r="AD13" s="331" t="n">
        <f aca="false">C13</f>
        <v>0</v>
      </c>
      <c r="AE13" s="331" t="n">
        <f aca="false">B13</f>
        <v>0</v>
      </c>
    </row>
    <row r="14" customFormat="false" ht="15" hidden="false" customHeight="true" outlineLevel="0" collapsed="false">
      <c r="A14" s="334" t="s">
        <v>57</v>
      </c>
      <c r="B14" s="335" t="n">
        <f aca="false">IF(ISNUMBER(Interview!$J$46),Interview!$J$46,SUM(LEFT(Interview!$J$46),".5"))</f>
        <v>0</v>
      </c>
      <c r="C14" s="333" t="n">
        <f aca="false">Roadmap!M36</f>
        <v>0</v>
      </c>
      <c r="D14" s="336" t="n">
        <f aca="false">C14</f>
        <v>0</v>
      </c>
      <c r="E14" s="333" t="n">
        <f aca="false">Roadmap!Q36</f>
        <v>0</v>
      </c>
      <c r="F14" s="336" t="n">
        <f aca="false">E14</f>
        <v>0</v>
      </c>
      <c r="G14" s="333" t="n">
        <f aca="false">Roadmap!U36</f>
        <v>0</v>
      </c>
      <c r="H14" s="336" t="n">
        <f aca="false">G14</f>
        <v>0</v>
      </c>
      <c r="I14" s="333" t="n">
        <f aca="false">Roadmap!Y36</f>
        <v>0</v>
      </c>
      <c r="J14" s="336" t="n">
        <f aca="false">I14</f>
        <v>0</v>
      </c>
      <c r="K14" s="329" t="n">
        <f aca="false">IFERROR(I14-B14,I14-LEFT(B14,1))</f>
        <v>0</v>
      </c>
      <c r="L14" s="330"/>
      <c r="M14" s="322"/>
      <c r="N14" s="322"/>
      <c r="O14" s="322"/>
      <c r="P14" s="322"/>
      <c r="Q14" s="322"/>
      <c r="R14" s="322"/>
      <c r="S14" s="322"/>
      <c r="T14" s="322"/>
      <c r="U14" s="322"/>
      <c r="V14" s="322"/>
      <c r="Z14" s="302" t="str">
        <f aca="false">A14</f>
        <v>Education &amp; Guidance</v>
      </c>
      <c r="AA14" s="331" t="n">
        <f aca="false">I14</f>
        <v>0</v>
      </c>
      <c r="AB14" s="331" t="n">
        <f aca="false">G14</f>
        <v>0</v>
      </c>
      <c r="AC14" s="331" t="n">
        <f aca="false">E14</f>
        <v>0</v>
      </c>
      <c r="AD14" s="331" t="n">
        <f aca="false">C14</f>
        <v>0</v>
      </c>
      <c r="AE14" s="331" t="n">
        <f aca="false">B14</f>
        <v>0</v>
      </c>
    </row>
    <row r="15" customFormat="false" ht="15" hidden="false" customHeight="true" outlineLevel="0" collapsed="false">
      <c r="A15" s="337" t="s">
        <v>65</v>
      </c>
      <c r="B15" s="325" t="n">
        <f aca="false">IF(ISNUMBER(Interview!$J$61),Interview!$J$61,SUM(LEFT(Interview!$J$61),".5"))</f>
        <v>0</v>
      </c>
      <c r="C15" s="338" t="n">
        <f aca="false">Roadmap!M46</f>
        <v>0</v>
      </c>
      <c r="D15" s="339" t="n">
        <f aca="false">C15</f>
        <v>0</v>
      </c>
      <c r="E15" s="338" t="n">
        <f aca="false">Roadmap!Q46</f>
        <v>0</v>
      </c>
      <c r="F15" s="339" t="n">
        <f aca="false">E15</f>
        <v>0</v>
      </c>
      <c r="G15" s="338" t="n">
        <f aca="false">Roadmap!U46</f>
        <v>0</v>
      </c>
      <c r="H15" s="339" t="n">
        <f aca="false">G15</f>
        <v>0</v>
      </c>
      <c r="I15" s="338" t="n">
        <f aca="false">Roadmap!Y46</f>
        <v>0</v>
      </c>
      <c r="J15" s="339" t="n">
        <f aca="false">I15</f>
        <v>0</v>
      </c>
      <c r="K15" s="329" t="n">
        <f aca="false">IFERROR(I15-B15,I15-LEFT(B15,1))</f>
        <v>0</v>
      </c>
      <c r="L15" s="330"/>
      <c r="M15" s="322"/>
      <c r="N15" s="322"/>
      <c r="O15" s="322"/>
      <c r="P15" s="322"/>
      <c r="Q15" s="322"/>
      <c r="R15" s="322"/>
      <c r="S15" s="322"/>
      <c r="T15" s="322"/>
      <c r="U15" s="322"/>
      <c r="V15" s="322"/>
      <c r="Z15" s="302" t="str">
        <f aca="false">A15</f>
        <v>Threat Assessment</v>
      </c>
      <c r="AA15" s="331" t="n">
        <f aca="false">I15</f>
        <v>0</v>
      </c>
      <c r="AB15" s="331" t="n">
        <f aca="false">G15</f>
        <v>0</v>
      </c>
      <c r="AC15" s="331" t="n">
        <f aca="false">E15</f>
        <v>0</v>
      </c>
      <c r="AD15" s="331" t="n">
        <f aca="false">C15</f>
        <v>0</v>
      </c>
      <c r="AE15" s="331" t="n">
        <f aca="false">B15</f>
        <v>0</v>
      </c>
    </row>
    <row r="16" customFormat="false" ht="15" hidden="false" customHeight="true" outlineLevel="0" collapsed="false">
      <c r="A16" s="340" t="s">
        <v>72</v>
      </c>
      <c r="B16" s="325" t="n">
        <f aca="false">IF(ISNUMBER(Interview!$J75),Interview!$J$75,SUM(LEFT(Interview!$J$75),".5"))</f>
        <v>0</v>
      </c>
      <c r="C16" s="333" t="n">
        <f aca="false">Roadmap!M55</f>
        <v>0</v>
      </c>
      <c r="D16" s="341" t="n">
        <f aca="false">C16</f>
        <v>0</v>
      </c>
      <c r="E16" s="333" t="n">
        <f aca="false">Roadmap!Q55</f>
        <v>0</v>
      </c>
      <c r="F16" s="341" t="n">
        <f aca="false">E16</f>
        <v>0</v>
      </c>
      <c r="G16" s="333" t="n">
        <f aca="false">Roadmap!U55</f>
        <v>0</v>
      </c>
      <c r="H16" s="341" t="n">
        <f aca="false">G16</f>
        <v>0</v>
      </c>
      <c r="I16" s="333" t="n">
        <f aca="false">Roadmap!Y55</f>
        <v>0</v>
      </c>
      <c r="J16" s="341" t="n">
        <f aca="false">I16</f>
        <v>0</v>
      </c>
      <c r="K16" s="329" t="n">
        <f aca="false">IFERROR(I16-B16,I16-LEFT(B16,1))</f>
        <v>0</v>
      </c>
      <c r="L16" s="330"/>
      <c r="M16" s="322"/>
      <c r="N16" s="322"/>
      <c r="O16" s="322"/>
      <c r="P16" s="322"/>
      <c r="Q16" s="322"/>
      <c r="R16" s="322"/>
      <c r="S16" s="322"/>
      <c r="T16" s="322"/>
      <c r="U16" s="322"/>
      <c r="V16" s="322"/>
      <c r="Z16" s="302" t="str">
        <f aca="false">A16</f>
        <v>Security Requirements</v>
      </c>
      <c r="AA16" s="331" t="n">
        <f aca="false">I16</f>
        <v>0</v>
      </c>
      <c r="AB16" s="331" t="n">
        <f aca="false">G16</f>
        <v>0</v>
      </c>
      <c r="AC16" s="331" t="n">
        <f aca="false">E16</f>
        <v>0</v>
      </c>
      <c r="AD16" s="331" t="n">
        <f aca="false">C16</f>
        <v>0</v>
      </c>
      <c r="AE16" s="331" t="n">
        <f aca="false">B16</f>
        <v>0</v>
      </c>
    </row>
    <row r="17" customFormat="false" ht="12.75" hidden="false" customHeight="false" outlineLevel="0" collapsed="false">
      <c r="A17" s="342" t="s">
        <v>79</v>
      </c>
      <c r="B17" s="335" t="n">
        <f aca="false">IF(ISNUMBER(Interview!$J$89),Interview!$J$89,SUM(LEFT(Interview!$J$89),".5"))</f>
        <v>0</v>
      </c>
      <c r="C17" s="333" t="n">
        <f aca="false">Roadmap!M64</f>
        <v>0</v>
      </c>
      <c r="D17" s="343" t="n">
        <f aca="false">C17</f>
        <v>0</v>
      </c>
      <c r="E17" s="333" t="n">
        <f aca="false">Roadmap!Q64</f>
        <v>0</v>
      </c>
      <c r="F17" s="343" t="n">
        <f aca="false">E17</f>
        <v>0</v>
      </c>
      <c r="G17" s="333" t="n">
        <f aca="false">Roadmap!U64</f>
        <v>0</v>
      </c>
      <c r="H17" s="343" t="n">
        <f aca="false">G17</f>
        <v>0</v>
      </c>
      <c r="I17" s="333" t="n">
        <f aca="false">Roadmap!Y64</f>
        <v>0</v>
      </c>
      <c r="J17" s="343" t="n">
        <f aca="false">I17</f>
        <v>0</v>
      </c>
      <c r="K17" s="329" t="n">
        <f aca="false">IFERROR(I17-B17,I17-LEFT(B17,1))</f>
        <v>0</v>
      </c>
      <c r="L17" s="330" t="str">
        <f aca="false">A12</f>
        <v>Strategy &amp; metrics</v>
      </c>
      <c r="M17" s="322"/>
      <c r="N17" s="322"/>
      <c r="O17" s="322"/>
      <c r="P17" s="322"/>
      <c r="Q17" s="322"/>
      <c r="R17" s="322"/>
      <c r="S17" s="322"/>
      <c r="T17" s="322"/>
      <c r="U17" s="322"/>
      <c r="V17" s="322"/>
      <c r="Z17" s="302" t="str">
        <f aca="false">A17</f>
        <v>Secure Architecture</v>
      </c>
      <c r="AA17" s="331" t="n">
        <f aca="false">I17</f>
        <v>0</v>
      </c>
      <c r="AB17" s="331" t="n">
        <f aca="false">G17</f>
        <v>0</v>
      </c>
      <c r="AC17" s="331" t="n">
        <f aca="false">E17</f>
        <v>0</v>
      </c>
      <c r="AD17" s="331" t="n">
        <f aca="false">C17</f>
        <v>0</v>
      </c>
      <c r="AE17" s="331" t="n">
        <f aca="false">B17</f>
        <v>0</v>
      </c>
    </row>
    <row r="18" customFormat="false" ht="12.75" hidden="false" customHeight="false" outlineLevel="0" collapsed="false">
      <c r="A18" s="344" t="s">
        <v>87</v>
      </c>
      <c r="B18" s="345" t="n">
        <f aca="false">IF(ISNUMBER(Interview!$J$104),Interview!$J$104,SUM(LEFT(Interview!$J$104),".5"))</f>
        <v>0</v>
      </c>
      <c r="C18" s="346" t="n">
        <f aca="false">Roadmap!M74</f>
        <v>0</v>
      </c>
      <c r="D18" s="327" t="n">
        <f aca="false">C18</f>
        <v>0</v>
      </c>
      <c r="E18" s="346" t="n">
        <f aca="false">Roadmap!Q74</f>
        <v>0</v>
      </c>
      <c r="F18" s="327" t="n">
        <f aca="false">E18</f>
        <v>0</v>
      </c>
      <c r="G18" s="346" t="n">
        <f aca="false">Roadmap!U74</f>
        <v>0</v>
      </c>
      <c r="H18" s="327" t="n">
        <f aca="false">G18</f>
        <v>0</v>
      </c>
      <c r="I18" s="346" t="n">
        <f aca="false">Roadmap!Y74</f>
        <v>0</v>
      </c>
      <c r="J18" s="327" t="n">
        <f aca="false">I18</f>
        <v>0</v>
      </c>
      <c r="K18" s="329" t="n">
        <f aca="false">IFERROR(I18-B18,I18-LEFT(B18,1))</f>
        <v>0</v>
      </c>
      <c r="L18" s="330"/>
      <c r="M18" s="322"/>
      <c r="N18" s="322"/>
      <c r="O18" s="322"/>
      <c r="P18" s="322"/>
      <c r="Q18" s="322"/>
      <c r="R18" s="322"/>
      <c r="S18" s="322"/>
      <c r="T18" s="322"/>
      <c r="U18" s="322"/>
      <c r="V18" s="322"/>
      <c r="Z18" s="302" t="str">
        <f aca="false">A18</f>
        <v>Secure Build</v>
      </c>
      <c r="AA18" s="331" t="n">
        <f aca="false">I18</f>
        <v>0</v>
      </c>
      <c r="AB18" s="331" t="n">
        <f aca="false">G18</f>
        <v>0</v>
      </c>
      <c r="AC18" s="331" t="n">
        <f aca="false">E18</f>
        <v>0</v>
      </c>
      <c r="AD18" s="331" t="n">
        <f aca="false">C18</f>
        <v>0</v>
      </c>
      <c r="AE18" s="331" t="n">
        <f aca="false">B18</f>
        <v>0</v>
      </c>
    </row>
    <row r="19" customFormat="false" ht="12.75" hidden="false" customHeight="false" outlineLevel="0" collapsed="false">
      <c r="A19" s="344" t="s">
        <v>94</v>
      </c>
      <c r="B19" s="345" t="n">
        <f aca="false">IF(ISNUMBER(Interview!$J$118),Interview!$J$118,SUM(LEFT(Interview!$J$118),".5"))</f>
        <v>0</v>
      </c>
      <c r="C19" s="333" t="n">
        <f aca="false">Roadmap!M83</f>
        <v>0</v>
      </c>
      <c r="D19" s="327" t="n">
        <f aca="false">C19</f>
        <v>0</v>
      </c>
      <c r="E19" s="333" t="n">
        <f aca="false">Roadmap!Q83</f>
        <v>0</v>
      </c>
      <c r="F19" s="327" t="n">
        <f aca="false">E19</f>
        <v>0</v>
      </c>
      <c r="G19" s="333" t="n">
        <f aca="false">Roadmap!U83</f>
        <v>0</v>
      </c>
      <c r="H19" s="327" t="n">
        <f aca="false">G19</f>
        <v>0</v>
      </c>
      <c r="I19" s="333" t="n">
        <f aca="false">Roadmap!Y83</f>
        <v>0</v>
      </c>
      <c r="J19" s="327" t="n">
        <f aca="false">I19</f>
        <v>0</v>
      </c>
      <c r="K19" s="329" t="n">
        <f aca="false">IFERROR(I19-B19,I19-LEFT(B19,1))</f>
        <v>0</v>
      </c>
      <c r="L19" s="330"/>
      <c r="M19" s="322"/>
      <c r="N19" s="322"/>
      <c r="O19" s="322"/>
      <c r="P19" s="322"/>
      <c r="Q19" s="322"/>
      <c r="R19" s="322"/>
      <c r="S19" s="322"/>
      <c r="T19" s="322"/>
      <c r="U19" s="322"/>
      <c r="V19" s="322"/>
      <c r="Z19" s="302" t="str">
        <f aca="false">A19</f>
        <v>Secure Deployment</v>
      </c>
      <c r="AA19" s="331" t="n">
        <f aca="false">I19</f>
        <v>0</v>
      </c>
      <c r="AB19" s="331" t="n">
        <f aca="false">G19</f>
        <v>0</v>
      </c>
      <c r="AC19" s="331" t="n">
        <f aca="false">E19</f>
        <v>0</v>
      </c>
      <c r="AD19" s="331" t="n">
        <f aca="false">C19</f>
        <v>0</v>
      </c>
      <c r="AE19" s="331" t="n">
        <f aca="false">B19</f>
        <v>0</v>
      </c>
    </row>
    <row r="20" customFormat="false" ht="12.75" hidden="false" customHeight="false" outlineLevel="0" collapsed="false">
      <c r="A20" s="344" t="s">
        <v>101</v>
      </c>
      <c r="B20" s="345" t="n">
        <f aca="false">IF(ISNUMBER(Interview!$J$132),Interview!$J$132,SUM(LEFT(Interview!$J$132),".5"))</f>
        <v>0</v>
      </c>
      <c r="C20" s="333" t="n">
        <f aca="false">Roadmap!M92</f>
        <v>0</v>
      </c>
      <c r="D20" s="327" t="n">
        <f aca="false">C20</f>
        <v>0</v>
      </c>
      <c r="E20" s="333" t="n">
        <f aca="false">Roadmap!Q92</f>
        <v>0</v>
      </c>
      <c r="F20" s="327" t="n">
        <f aca="false">E20</f>
        <v>0</v>
      </c>
      <c r="G20" s="333" t="n">
        <f aca="false">Roadmap!U92</f>
        <v>0</v>
      </c>
      <c r="H20" s="327" t="n">
        <f aca="false">G20</f>
        <v>0</v>
      </c>
      <c r="I20" s="333" t="n">
        <f aca="false">Roadmap!Y92</f>
        <v>0</v>
      </c>
      <c r="J20" s="327" t="n">
        <f aca="false">I20</f>
        <v>0</v>
      </c>
      <c r="K20" s="329" t="n">
        <f aca="false">IFERROR(I20-B20,I20-LEFT(B20,1))</f>
        <v>0</v>
      </c>
      <c r="L20" s="330"/>
      <c r="M20" s="322"/>
      <c r="N20" s="322"/>
      <c r="O20" s="322"/>
      <c r="P20" s="322"/>
      <c r="Q20" s="322"/>
      <c r="R20" s="322"/>
      <c r="S20" s="322"/>
      <c r="T20" s="322"/>
      <c r="U20" s="322"/>
      <c r="V20" s="322"/>
      <c r="Z20" s="302" t="str">
        <f aca="false">A20</f>
        <v>Defect Management</v>
      </c>
      <c r="AA20" s="331" t="n">
        <f aca="false">I20</f>
        <v>0</v>
      </c>
      <c r="AB20" s="331" t="n">
        <f aca="false">G20</f>
        <v>0</v>
      </c>
      <c r="AC20" s="331" t="n">
        <f aca="false">E20</f>
        <v>0</v>
      </c>
      <c r="AD20" s="331" t="n">
        <f aca="false">C20</f>
        <v>0</v>
      </c>
      <c r="AE20" s="331" t="n">
        <f aca="false">B20</f>
        <v>0</v>
      </c>
    </row>
    <row r="21" customFormat="false" ht="12.75" hidden="false" customHeight="false" outlineLevel="0" collapsed="false">
      <c r="A21" s="347" t="s">
        <v>109</v>
      </c>
      <c r="B21" s="348" t="n">
        <f aca="false">IF(ISNUMBER(Interview!$J$147),Interview!$J$147,SUM(LEFT(Interview!$J$147),".5"))</f>
        <v>0</v>
      </c>
      <c r="C21" s="346" t="n">
        <f aca="false">Roadmap!M102</f>
        <v>0</v>
      </c>
      <c r="D21" s="349" t="n">
        <f aca="false">C21</f>
        <v>0</v>
      </c>
      <c r="E21" s="346" t="n">
        <f aca="false">Roadmap!Q102</f>
        <v>0</v>
      </c>
      <c r="F21" s="349" t="n">
        <f aca="false">E21</f>
        <v>0</v>
      </c>
      <c r="G21" s="346" t="n">
        <f aca="false">Roadmap!U102</f>
        <v>0</v>
      </c>
      <c r="H21" s="349" t="n">
        <f aca="false">G21</f>
        <v>0</v>
      </c>
      <c r="I21" s="346" t="n">
        <f aca="false">Roadmap!Y102</f>
        <v>0</v>
      </c>
      <c r="J21" s="349" t="n">
        <f aca="false">I21</f>
        <v>0</v>
      </c>
      <c r="K21" s="329" t="n">
        <f aca="false">IFERROR(I21-B21,I21-LEFT(B21,1))</f>
        <v>0</v>
      </c>
      <c r="L21" s="330"/>
      <c r="M21" s="322"/>
      <c r="N21" s="322"/>
      <c r="O21" s="322"/>
      <c r="P21" s="322"/>
      <c r="Q21" s="322"/>
      <c r="R21" s="322"/>
      <c r="S21" s="322"/>
      <c r="T21" s="322"/>
      <c r="U21" s="322"/>
      <c r="V21" s="322"/>
      <c r="Z21" s="302" t="str">
        <f aca="false">A21</f>
        <v>Architecture Assessment</v>
      </c>
      <c r="AA21" s="331" t="n">
        <f aca="false">I21</f>
        <v>0</v>
      </c>
      <c r="AB21" s="331" t="n">
        <f aca="false">G21</f>
        <v>0</v>
      </c>
      <c r="AC21" s="331" t="n">
        <f aca="false">E21</f>
        <v>0</v>
      </c>
      <c r="AD21" s="331" t="n">
        <f aca="false">C21</f>
        <v>0</v>
      </c>
      <c r="AE21" s="331" t="n">
        <f aca="false">B21</f>
        <v>0</v>
      </c>
    </row>
    <row r="22" customFormat="false" ht="12.75" hidden="false" customHeight="false" outlineLevel="0" collapsed="false">
      <c r="A22" s="350" t="s">
        <v>116</v>
      </c>
      <c r="B22" s="325" t="n">
        <f aca="false">IF(ISNUMBER(Interview!$J$161),Interview!$J$161,SUM(LEFT(Interview!$J$161),".5"))</f>
        <v>0</v>
      </c>
      <c r="C22" s="333" t="n">
        <f aca="false">Roadmap!M111</f>
        <v>0</v>
      </c>
      <c r="D22" s="341" t="n">
        <f aca="false">C22</f>
        <v>0</v>
      </c>
      <c r="E22" s="333" t="n">
        <f aca="false">Roadmap!Q111</f>
        <v>0</v>
      </c>
      <c r="F22" s="341" t="n">
        <f aca="false">E22</f>
        <v>0</v>
      </c>
      <c r="G22" s="333" t="n">
        <f aca="false">Roadmap!U111</f>
        <v>0</v>
      </c>
      <c r="H22" s="341" t="n">
        <f aca="false">G22</f>
        <v>0</v>
      </c>
      <c r="I22" s="333" t="n">
        <f aca="false">Roadmap!Y111</f>
        <v>0</v>
      </c>
      <c r="J22" s="341" t="n">
        <f aca="false">I22</f>
        <v>0</v>
      </c>
      <c r="K22" s="329" t="n">
        <f aca="false">IFERROR(I22-B22,I22-LEFT(B22,1))</f>
        <v>0</v>
      </c>
      <c r="L22" s="330"/>
      <c r="M22" s="322"/>
      <c r="N22" s="322"/>
      <c r="O22" s="322"/>
      <c r="P22" s="322"/>
      <c r="Q22" s="322"/>
      <c r="R22" s="322"/>
      <c r="S22" s="322"/>
      <c r="T22" s="322"/>
      <c r="U22" s="322"/>
      <c r="V22" s="322"/>
      <c r="Z22" s="302" t="str">
        <f aca="false">A22</f>
        <v>Requirements Testing</v>
      </c>
      <c r="AA22" s="331" t="n">
        <f aca="false">I22</f>
        <v>0</v>
      </c>
      <c r="AB22" s="331" t="n">
        <f aca="false">G22</f>
        <v>0</v>
      </c>
      <c r="AC22" s="331" t="n">
        <f aca="false">E22</f>
        <v>0</v>
      </c>
      <c r="AD22" s="331" t="n">
        <f aca="false">C22</f>
        <v>0</v>
      </c>
      <c r="AE22" s="331" t="n">
        <f aca="false">B22</f>
        <v>0</v>
      </c>
    </row>
    <row r="23" customFormat="false" ht="12.75" hidden="false" customHeight="false" outlineLevel="0" collapsed="false">
      <c r="A23" s="351" t="s">
        <v>123</v>
      </c>
      <c r="B23" s="335" t="n">
        <f aca="false">IF(ISNUMBER(Interview!$J$175),Interview!$J$175,SUM(LEFT(Interview!$J$175),".5"))</f>
        <v>0</v>
      </c>
      <c r="C23" s="333" t="n">
        <f aca="false">Roadmap!M120</f>
        <v>0</v>
      </c>
      <c r="D23" s="343" t="n">
        <f aca="false">C23</f>
        <v>0</v>
      </c>
      <c r="E23" s="333" t="n">
        <f aca="false">Roadmap!Q120</f>
        <v>0</v>
      </c>
      <c r="F23" s="343" t="n">
        <f aca="false">E23</f>
        <v>0</v>
      </c>
      <c r="G23" s="333" t="n">
        <f aca="false">Roadmap!U120</f>
        <v>0</v>
      </c>
      <c r="H23" s="343" t="n">
        <f aca="false">G23</f>
        <v>0</v>
      </c>
      <c r="I23" s="333" t="n">
        <f aca="false">Roadmap!Y120</f>
        <v>0</v>
      </c>
      <c r="J23" s="343" t="n">
        <f aca="false">I23</f>
        <v>0</v>
      </c>
      <c r="K23" s="329" t="n">
        <f aca="false">IFERROR(I23-B23,I23-LEFT(B23,1))</f>
        <v>0</v>
      </c>
      <c r="L23" s="330"/>
      <c r="M23" s="322"/>
      <c r="N23" s="322"/>
      <c r="O23" s="322"/>
      <c r="P23" s="322"/>
      <c r="Q23" s="322"/>
      <c r="R23" s="322"/>
      <c r="S23" s="322"/>
      <c r="T23" s="322"/>
      <c r="U23" s="322"/>
      <c r="V23" s="322"/>
      <c r="Z23" s="302" t="str">
        <f aca="false">A23</f>
        <v>Security Testing</v>
      </c>
      <c r="AA23" s="331" t="n">
        <f aca="false">I23</f>
        <v>0</v>
      </c>
      <c r="AB23" s="331" t="n">
        <f aca="false">G23</f>
        <v>0</v>
      </c>
      <c r="AC23" s="331" t="n">
        <f aca="false">E23</f>
        <v>0</v>
      </c>
      <c r="AD23" s="331" t="n">
        <f aca="false">C23</f>
        <v>0</v>
      </c>
      <c r="AE23" s="331" t="n">
        <f aca="false">B23</f>
        <v>0</v>
      </c>
    </row>
    <row r="24" customFormat="false" ht="12.75" hidden="false" customHeight="false" outlineLevel="0" collapsed="false">
      <c r="A24" s="352" t="s">
        <v>131</v>
      </c>
      <c r="B24" s="325" t="n">
        <f aca="false">IF(ISNUMBER(Interview!$J$190),Interview!$J$190,SUM(LEFT(Interview!$J$190),".5"))</f>
        <v>0</v>
      </c>
      <c r="C24" s="338" t="n">
        <f aca="false">Roadmap!M130</f>
        <v>0</v>
      </c>
      <c r="D24" s="349" t="n">
        <f aca="false">C24</f>
        <v>0</v>
      </c>
      <c r="E24" s="338" t="n">
        <f aca="false">Roadmap!Q130</f>
        <v>0</v>
      </c>
      <c r="F24" s="349" t="n">
        <f aca="false">E24</f>
        <v>0</v>
      </c>
      <c r="G24" s="338" t="n">
        <f aca="false">Roadmap!U130</f>
        <v>0</v>
      </c>
      <c r="H24" s="349" t="n">
        <f aca="false">G24</f>
        <v>0</v>
      </c>
      <c r="I24" s="338" t="n">
        <f aca="false">Roadmap!Y130</f>
        <v>0</v>
      </c>
      <c r="J24" s="349" t="n">
        <f aca="false">I24</f>
        <v>0</v>
      </c>
      <c r="K24" s="329" t="n">
        <f aca="false">IFERROR(I24-B24,I24-LEFT(B24,1))</f>
        <v>0</v>
      </c>
      <c r="L24" s="330"/>
      <c r="M24" s="322"/>
      <c r="N24" s="322"/>
      <c r="O24" s="322"/>
      <c r="P24" s="322"/>
      <c r="Q24" s="322"/>
      <c r="R24" s="322"/>
      <c r="S24" s="322"/>
      <c r="T24" s="322"/>
      <c r="U24" s="322"/>
      <c r="V24" s="322"/>
      <c r="Z24" s="302" t="str">
        <f aca="false">A24</f>
        <v>Incident Management</v>
      </c>
      <c r="AA24" s="331" t="n">
        <f aca="false">I24</f>
        <v>0</v>
      </c>
      <c r="AB24" s="331" t="n">
        <f aca="false">G24</f>
        <v>0</v>
      </c>
      <c r="AC24" s="331" t="n">
        <f aca="false">E24</f>
        <v>0</v>
      </c>
      <c r="AD24" s="331" t="n">
        <f aca="false">C24</f>
        <v>0</v>
      </c>
      <c r="AE24" s="331" t="n">
        <f aca="false">B24</f>
        <v>0</v>
      </c>
    </row>
    <row r="25" customFormat="false" ht="12.75" hidden="false" customHeight="false" outlineLevel="0" collapsed="false">
      <c r="A25" s="353" t="s">
        <v>138</v>
      </c>
      <c r="B25" s="325" t="n">
        <f aca="false">IF(ISNUMBER(Interview!$J$204),Interview!$J$204,SUM(LEFT(Interview!$J$204),".5"))</f>
        <v>0</v>
      </c>
      <c r="C25" s="333" t="n">
        <f aca="false">Roadmap!M139</f>
        <v>0</v>
      </c>
      <c r="D25" s="341" t="n">
        <f aca="false">C25</f>
        <v>0</v>
      </c>
      <c r="E25" s="333" t="n">
        <f aca="false">Roadmap!Q139</f>
        <v>0</v>
      </c>
      <c r="F25" s="341" t="n">
        <f aca="false">E25</f>
        <v>0</v>
      </c>
      <c r="G25" s="333" t="n">
        <f aca="false">Roadmap!U139</f>
        <v>0</v>
      </c>
      <c r="H25" s="341" t="n">
        <f aca="false">G25</f>
        <v>0</v>
      </c>
      <c r="I25" s="333" t="n">
        <f aca="false">Roadmap!Y139</f>
        <v>0</v>
      </c>
      <c r="J25" s="341" t="n">
        <f aca="false">I25</f>
        <v>0</v>
      </c>
      <c r="K25" s="329" t="n">
        <f aca="false">IFERROR(I25-B25,I25-LEFT(B25,1))</f>
        <v>0</v>
      </c>
      <c r="L25" s="330"/>
      <c r="M25" s="322"/>
      <c r="N25" s="322"/>
      <c r="O25" s="322"/>
      <c r="P25" s="322"/>
      <c r="Q25" s="322"/>
      <c r="R25" s="322"/>
      <c r="S25" s="322"/>
      <c r="T25" s="322"/>
      <c r="U25" s="322"/>
      <c r="V25" s="322"/>
      <c r="Z25" s="302" t="str">
        <f aca="false">A25</f>
        <v>Environment Management</v>
      </c>
      <c r="AA25" s="331" t="n">
        <f aca="false">I25</f>
        <v>0</v>
      </c>
      <c r="AB25" s="331" t="n">
        <f aca="false">G25</f>
        <v>0</v>
      </c>
      <c r="AC25" s="331" t="n">
        <f aca="false">E25</f>
        <v>0</v>
      </c>
      <c r="AD25" s="331" t="n">
        <f aca="false">C25</f>
        <v>0</v>
      </c>
      <c r="AE25" s="331" t="n">
        <f aca="false">B25</f>
        <v>0</v>
      </c>
    </row>
    <row r="26" customFormat="false" ht="12.75" hidden="false" customHeight="false" outlineLevel="0" collapsed="false">
      <c r="A26" s="354" t="s">
        <v>145</v>
      </c>
      <c r="B26" s="355" t="n">
        <f aca="false">IF(ISNUMBER(Interview!$J$218),Interview!$J$218,SUM(LEFT(Interview!$J$218),".5"))</f>
        <v>0</v>
      </c>
      <c r="C26" s="356" t="n">
        <f aca="false">Roadmap!M148</f>
        <v>0</v>
      </c>
      <c r="D26" s="357" t="n">
        <f aca="false">C26</f>
        <v>0</v>
      </c>
      <c r="E26" s="356" t="n">
        <f aca="false">Roadmap!Q148</f>
        <v>0</v>
      </c>
      <c r="F26" s="357" t="n">
        <f aca="false">E26</f>
        <v>0</v>
      </c>
      <c r="G26" s="356" t="n">
        <f aca="false">Roadmap!U148</f>
        <v>0</v>
      </c>
      <c r="H26" s="357" t="n">
        <f aca="false">G26</f>
        <v>0</v>
      </c>
      <c r="I26" s="356" t="n">
        <f aca="false">Roadmap!Y148</f>
        <v>0</v>
      </c>
      <c r="J26" s="357" t="n">
        <f aca="false">I26</f>
        <v>0</v>
      </c>
      <c r="K26" s="329" t="n">
        <f aca="false">IFERROR(I26-B26,I26-LEFT(B26,1))</f>
        <v>0</v>
      </c>
      <c r="L26" s="330"/>
      <c r="M26" s="322"/>
      <c r="N26" s="322"/>
      <c r="O26" s="322"/>
      <c r="P26" s="322"/>
      <c r="Q26" s="322"/>
      <c r="R26" s="322"/>
      <c r="S26" s="322"/>
      <c r="T26" s="322"/>
      <c r="U26" s="322"/>
      <c r="V26" s="322"/>
      <c r="Z26" s="302" t="str">
        <f aca="false">A26</f>
        <v>Operational Management</v>
      </c>
      <c r="AA26" s="331" t="n">
        <f aca="false">I26</f>
        <v>0</v>
      </c>
      <c r="AB26" s="331" t="n">
        <f aca="false">G26</f>
        <v>0</v>
      </c>
      <c r="AC26" s="331" t="n">
        <f aca="false">E26</f>
        <v>0</v>
      </c>
      <c r="AD26" s="331" t="n">
        <f aca="false">C26</f>
        <v>0</v>
      </c>
      <c r="AE26" s="331" t="n">
        <f aca="false">B26</f>
        <v>0</v>
      </c>
    </row>
    <row r="27" customFormat="false" ht="12.75" hidden="false" customHeight="false" outlineLevel="0" collapsed="false">
      <c r="L27" s="330" t="str">
        <f aca="false">A13</f>
        <v>Policy &amp; Compliance</v>
      </c>
      <c r="M27" s="322"/>
      <c r="N27" s="322"/>
      <c r="O27" s="322"/>
      <c r="P27" s="322"/>
      <c r="Q27" s="322"/>
      <c r="R27" s="322"/>
      <c r="S27" s="322"/>
      <c r="T27" s="322"/>
      <c r="U27" s="322"/>
      <c r="V27" s="322"/>
    </row>
    <row r="28" customFormat="false" ht="12.75" hidden="false" customHeight="false" outlineLevel="0" collapsed="false">
      <c r="B28" s="358" t="s">
        <v>189</v>
      </c>
      <c r="C28" s="331" t="n">
        <f aca="false">SUM(C12:C26)-SUM(B12:B26)</f>
        <v>0.875</v>
      </c>
      <c r="D28" s="331"/>
      <c r="E28" s="331" t="n">
        <f aca="false">SUM(E12:E26)-SUM(C12:C26)</f>
        <v>0</v>
      </c>
      <c r="F28" s="331"/>
      <c r="G28" s="331" t="n">
        <f aca="false">SUM(G12:G26)-SUM(E12:E26)</f>
        <v>0</v>
      </c>
      <c r="H28" s="331"/>
      <c r="I28" s="331" t="n">
        <f aca="false">SUM(I12:I26)-SUM(G12:G26)</f>
        <v>0</v>
      </c>
      <c r="J28" s="331"/>
      <c r="K28" s="329" t="n">
        <f aca="false">SUM(K12:K26)</f>
        <v>0.875</v>
      </c>
      <c r="L28" s="330"/>
      <c r="M28" s="322"/>
      <c r="N28" s="322"/>
      <c r="O28" s="322"/>
      <c r="P28" s="322"/>
      <c r="Q28" s="322"/>
      <c r="R28" s="322"/>
      <c r="S28" s="322"/>
      <c r="T28" s="322"/>
      <c r="U28" s="322"/>
      <c r="V28" s="322"/>
    </row>
    <row r="29" customFormat="false" ht="12.75" hidden="false" customHeight="false" outlineLevel="0" collapsed="false">
      <c r="B29" s="358"/>
      <c r="C29" s="359" t="n">
        <f aca="false">C28/$K$28</f>
        <v>1</v>
      </c>
      <c r="E29" s="359" t="n">
        <f aca="false">E28/$K$28</f>
        <v>0</v>
      </c>
      <c r="G29" s="359" t="n">
        <f aca="false">G28/$K$28</f>
        <v>0</v>
      </c>
      <c r="I29" s="359" t="n">
        <f aca="false">I28/$K$28</f>
        <v>0</v>
      </c>
      <c r="K29" s="360" t="n">
        <f aca="false">1-K28/24</f>
        <v>0.963541666666667</v>
      </c>
      <c r="L29" s="330"/>
      <c r="M29" s="322"/>
      <c r="N29" s="322"/>
      <c r="O29" s="322"/>
      <c r="P29" s="322"/>
      <c r="Q29" s="322"/>
      <c r="R29" s="322"/>
      <c r="S29" s="322"/>
      <c r="T29" s="322"/>
      <c r="U29" s="322"/>
      <c r="V29" s="322"/>
    </row>
    <row r="30" customFormat="false" ht="12.75" hidden="false" customHeight="false" outlineLevel="0" collapsed="false">
      <c r="B30" s="358"/>
      <c r="L30" s="330"/>
      <c r="M30" s="322"/>
      <c r="N30" s="322"/>
      <c r="O30" s="322"/>
      <c r="P30" s="322"/>
      <c r="Q30" s="322"/>
      <c r="R30" s="322"/>
      <c r="S30" s="322"/>
      <c r="T30" s="322"/>
      <c r="U30" s="322"/>
      <c r="V30" s="322"/>
    </row>
    <row r="31" customFormat="false" ht="12.75" hidden="false" customHeight="false" outlineLevel="0" collapsed="false">
      <c r="L31" s="330"/>
      <c r="M31" s="322"/>
      <c r="N31" s="322"/>
      <c r="O31" s="322"/>
      <c r="P31" s="322"/>
      <c r="Q31" s="322"/>
      <c r="R31" s="322"/>
      <c r="S31" s="322"/>
      <c r="T31" s="322"/>
      <c r="U31" s="322"/>
      <c r="V31" s="322"/>
    </row>
    <row r="32" customFormat="false" ht="12.75" hidden="false" customHeight="false" outlineLevel="0" collapsed="false">
      <c r="A32" s="361" t="s">
        <v>190</v>
      </c>
      <c r="B32" s="362" t="n">
        <v>0</v>
      </c>
      <c r="L32" s="330"/>
      <c r="M32" s="322"/>
      <c r="N32" s="322"/>
      <c r="O32" s="322"/>
      <c r="P32" s="322"/>
      <c r="Q32" s="322"/>
      <c r="R32" s="322"/>
      <c r="S32" s="322"/>
      <c r="T32" s="322"/>
      <c r="U32" s="322"/>
      <c r="V32" s="322"/>
    </row>
    <row r="33" customFormat="false" ht="12.75" hidden="false" customHeight="false" outlineLevel="0" collapsed="false">
      <c r="A33" s="363"/>
      <c r="B33" s="364" t="n">
        <v>0.5</v>
      </c>
      <c r="L33" s="330"/>
      <c r="M33" s="322"/>
      <c r="N33" s="322"/>
      <c r="O33" s="322"/>
      <c r="P33" s="322"/>
      <c r="Q33" s="322"/>
      <c r="R33" s="322"/>
      <c r="S33" s="322"/>
      <c r="T33" s="322"/>
      <c r="U33" s="322"/>
      <c r="V33" s="322"/>
    </row>
    <row r="34" customFormat="false" ht="12.75" hidden="false" customHeight="false" outlineLevel="0" collapsed="false">
      <c r="A34" s="363"/>
      <c r="B34" s="364" t="n">
        <v>1</v>
      </c>
      <c r="L34" s="330" t="str">
        <f aca="false">A14</f>
        <v>Education &amp; Guidance</v>
      </c>
      <c r="M34" s="322"/>
      <c r="N34" s="322"/>
      <c r="O34" s="322"/>
      <c r="P34" s="322"/>
      <c r="Q34" s="322"/>
      <c r="R34" s="322"/>
      <c r="S34" s="322"/>
      <c r="T34" s="322"/>
      <c r="U34" s="322"/>
      <c r="V34" s="322"/>
    </row>
    <row r="35" customFormat="false" ht="12.75" hidden="false" customHeight="false" outlineLevel="0" collapsed="false">
      <c r="A35" s="363"/>
      <c r="B35" s="364" t="n">
        <v>1.5</v>
      </c>
      <c r="L35" s="330"/>
      <c r="M35" s="322"/>
      <c r="N35" s="322"/>
      <c r="O35" s="322"/>
      <c r="P35" s="322"/>
      <c r="Q35" s="322"/>
      <c r="R35" s="322"/>
      <c r="S35" s="322"/>
      <c r="T35" s="322"/>
      <c r="U35" s="322"/>
      <c r="V35" s="322"/>
    </row>
    <row r="36" customFormat="false" ht="12.75" hidden="false" customHeight="false" outlineLevel="0" collapsed="false">
      <c r="A36" s="363"/>
      <c r="B36" s="364" t="n">
        <v>2</v>
      </c>
      <c r="L36" s="330"/>
      <c r="M36" s="322"/>
      <c r="N36" s="322"/>
      <c r="O36" s="322"/>
      <c r="P36" s="322"/>
      <c r="Q36" s="322"/>
      <c r="R36" s="322"/>
      <c r="S36" s="322"/>
      <c r="T36" s="322"/>
      <c r="U36" s="322"/>
      <c r="V36" s="322"/>
    </row>
    <row r="37" customFormat="false" ht="12.75" hidden="false" customHeight="false" outlineLevel="0" collapsed="false">
      <c r="A37" s="363"/>
      <c r="B37" s="364" t="n">
        <v>2.5</v>
      </c>
      <c r="L37" s="330"/>
      <c r="M37" s="322"/>
      <c r="N37" s="322"/>
      <c r="O37" s="322"/>
      <c r="P37" s="322"/>
      <c r="Q37" s="322"/>
      <c r="R37" s="322"/>
      <c r="S37" s="322"/>
      <c r="T37" s="322"/>
      <c r="U37" s="322"/>
      <c r="V37" s="322"/>
    </row>
    <row r="38" customFormat="false" ht="12.75" hidden="false" customHeight="false" outlineLevel="0" collapsed="false">
      <c r="A38" s="365"/>
      <c r="B38" s="366" t="n">
        <v>3</v>
      </c>
      <c r="L38" s="330"/>
      <c r="M38" s="322"/>
      <c r="N38" s="322"/>
      <c r="O38" s="322"/>
      <c r="P38" s="322"/>
      <c r="Q38" s="322"/>
      <c r="R38" s="322"/>
      <c r="S38" s="322"/>
      <c r="T38" s="322"/>
      <c r="U38" s="322"/>
      <c r="V38" s="322"/>
    </row>
    <row r="39" customFormat="false" ht="12.75" hidden="false" customHeight="false" outlineLevel="0" collapsed="false">
      <c r="L39" s="330"/>
      <c r="M39" s="322"/>
      <c r="N39" s="322"/>
      <c r="O39" s="322"/>
      <c r="P39" s="322"/>
      <c r="Q39" s="322"/>
      <c r="R39" s="322"/>
      <c r="S39" s="322"/>
      <c r="T39" s="322"/>
      <c r="U39" s="322"/>
      <c r="V39" s="322"/>
    </row>
    <row r="40" customFormat="false" ht="12.75" hidden="false" customHeight="false" outlineLevel="0" collapsed="false">
      <c r="L40" s="330"/>
      <c r="M40" s="322"/>
      <c r="N40" s="322"/>
      <c r="O40" s="322"/>
      <c r="P40" s="322"/>
      <c r="Q40" s="322"/>
      <c r="R40" s="322"/>
      <c r="S40" s="322"/>
      <c r="T40" s="322"/>
      <c r="U40" s="322"/>
      <c r="V40" s="322"/>
    </row>
    <row r="41" customFormat="false" ht="12.75" hidden="false" customHeight="false" outlineLevel="0" collapsed="false">
      <c r="L41" s="330" t="str">
        <f aca="false">A15</f>
        <v>Threat Assessment</v>
      </c>
      <c r="M41" s="322"/>
      <c r="N41" s="322"/>
      <c r="O41" s="322"/>
      <c r="P41" s="322"/>
      <c r="Q41" s="322"/>
      <c r="R41" s="322"/>
      <c r="S41" s="322"/>
      <c r="T41" s="322"/>
      <c r="U41" s="322"/>
      <c r="V41" s="322"/>
    </row>
    <row r="42" customFormat="false" ht="12.75" hidden="false" customHeight="false" outlineLevel="0" collapsed="false">
      <c r="L42" s="330"/>
      <c r="M42" s="322"/>
      <c r="N42" s="322"/>
      <c r="O42" s="322"/>
      <c r="P42" s="322"/>
      <c r="Q42" s="322"/>
      <c r="R42" s="322"/>
      <c r="S42" s="322"/>
      <c r="T42" s="322"/>
      <c r="U42" s="322"/>
      <c r="V42" s="322"/>
    </row>
    <row r="43" customFormat="false" ht="12.75" hidden="false" customHeight="false" outlineLevel="0" collapsed="false">
      <c r="L43" s="330"/>
      <c r="M43" s="322"/>
      <c r="N43" s="322"/>
      <c r="O43" s="322"/>
      <c r="P43" s="322"/>
      <c r="Q43" s="322"/>
      <c r="R43" s="322"/>
      <c r="S43" s="322"/>
      <c r="T43" s="322"/>
      <c r="U43" s="322"/>
      <c r="V43" s="322"/>
    </row>
    <row r="44" customFormat="false" ht="12.75" hidden="false" customHeight="false" outlineLevel="0" collapsed="false">
      <c r="L44" s="330"/>
      <c r="M44" s="322"/>
      <c r="N44" s="322"/>
      <c r="O44" s="322"/>
      <c r="P44" s="322"/>
      <c r="Q44" s="322"/>
      <c r="R44" s="322"/>
      <c r="S44" s="322"/>
      <c r="T44" s="322"/>
      <c r="U44" s="322"/>
      <c r="V44" s="322"/>
    </row>
    <row r="45" customFormat="false" ht="12.75" hidden="false" customHeight="false" outlineLevel="0" collapsed="false">
      <c r="L45" s="330"/>
      <c r="M45" s="322"/>
      <c r="N45" s="322"/>
      <c r="O45" s="322"/>
      <c r="P45" s="322"/>
      <c r="Q45" s="322"/>
      <c r="R45" s="322"/>
      <c r="S45" s="322"/>
      <c r="T45" s="322"/>
      <c r="U45" s="322"/>
      <c r="V45" s="322"/>
    </row>
    <row r="46" customFormat="false" ht="12.75" hidden="false" customHeight="false" outlineLevel="0" collapsed="false">
      <c r="L46" s="330"/>
      <c r="M46" s="322"/>
      <c r="N46" s="322"/>
      <c r="O46" s="322"/>
      <c r="P46" s="322"/>
      <c r="Q46" s="322"/>
      <c r="R46" s="322"/>
      <c r="S46" s="322"/>
      <c r="T46" s="322"/>
      <c r="U46" s="322"/>
      <c r="V46" s="322"/>
    </row>
    <row r="47" customFormat="false" ht="12.75" hidden="false" customHeight="false" outlineLevel="0" collapsed="false">
      <c r="L47" s="330"/>
      <c r="M47" s="322"/>
      <c r="N47" s="322"/>
      <c r="O47" s="322"/>
      <c r="P47" s="322"/>
      <c r="Q47" s="322"/>
      <c r="R47" s="322"/>
      <c r="S47" s="322"/>
      <c r="T47" s="322"/>
      <c r="U47" s="322"/>
      <c r="V47" s="322"/>
    </row>
    <row r="48" customFormat="false" ht="12.75" hidden="false" customHeight="false" outlineLevel="0" collapsed="false">
      <c r="L48" s="330" t="str">
        <f aca="false">A16</f>
        <v>Security Requirements</v>
      </c>
      <c r="M48" s="322"/>
      <c r="N48" s="322"/>
      <c r="O48" s="322"/>
      <c r="P48" s="322"/>
      <c r="Q48" s="322"/>
      <c r="R48" s="322"/>
      <c r="S48" s="322"/>
      <c r="T48" s="322"/>
      <c r="U48" s="322"/>
      <c r="V48" s="322"/>
    </row>
    <row r="49" customFormat="false" ht="12.75" hidden="false" customHeight="false" outlineLevel="0" collapsed="false">
      <c r="L49" s="330"/>
      <c r="M49" s="322"/>
      <c r="N49" s="322"/>
      <c r="O49" s="322"/>
      <c r="P49" s="322"/>
      <c r="Q49" s="322"/>
      <c r="R49" s="322"/>
      <c r="S49" s="322"/>
      <c r="T49" s="322"/>
      <c r="U49" s="322"/>
      <c r="V49" s="322"/>
    </row>
    <row r="50" customFormat="false" ht="12.75" hidden="false" customHeight="false" outlineLevel="0" collapsed="false">
      <c r="L50" s="330"/>
      <c r="M50" s="322"/>
      <c r="N50" s="322"/>
      <c r="O50" s="322"/>
      <c r="P50" s="322"/>
      <c r="Q50" s="322"/>
      <c r="R50" s="322"/>
      <c r="S50" s="322"/>
      <c r="T50" s="322"/>
      <c r="U50" s="322"/>
      <c r="V50" s="322"/>
    </row>
    <row r="51" customFormat="false" ht="12.75" hidden="false" customHeight="false" outlineLevel="0" collapsed="false">
      <c r="L51" s="330"/>
      <c r="M51" s="322"/>
      <c r="N51" s="322"/>
      <c r="O51" s="322"/>
      <c r="P51" s="322"/>
      <c r="Q51" s="322"/>
      <c r="R51" s="322"/>
      <c r="S51" s="322"/>
      <c r="T51" s="322"/>
      <c r="U51" s="322"/>
      <c r="V51" s="322"/>
    </row>
    <row r="52" customFormat="false" ht="12.75" hidden="false" customHeight="false" outlineLevel="0" collapsed="false">
      <c r="L52" s="330"/>
      <c r="M52" s="322"/>
      <c r="N52" s="322"/>
      <c r="O52" s="322"/>
      <c r="P52" s="322"/>
      <c r="Q52" s="322"/>
      <c r="R52" s="322"/>
      <c r="S52" s="322"/>
      <c r="T52" s="322"/>
      <c r="U52" s="322"/>
      <c r="V52" s="322"/>
    </row>
    <row r="53" customFormat="false" ht="12.75" hidden="false" customHeight="false" outlineLevel="0" collapsed="false">
      <c r="L53" s="330"/>
      <c r="M53" s="322"/>
      <c r="N53" s="322"/>
      <c r="O53" s="322"/>
      <c r="P53" s="322"/>
      <c r="Q53" s="322"/>
      <c r="R53" s="322"/>
      <c r="S53" s="322"/>
      <c r="T53" s="322"/>
      <c r="U53" s="322"/>
      <c r="V53" s="322"/>
    </row>
    <row r="54" customFormat="false" ht="12.75" hidden="false" customHeight="false" outlineLevel="0" collapsed="false">
      <c r="L54" s="330"/>
      <c r="M54" s="322"/>
      <c r="N54" s="322"/>
      <c r="O54" s="322"/>
      <c r="P54" s="322"/>
      <c r="Q54" s="322"/>
      <c r="R54" s="322"/>
      <c r="S54" s="322"/>
      <c r="T54" s="322"/>
      <c r="U54" s="322"/>
      <c r="V54" s="322"/>
    </row>
    <row r="55" customFormat="false" ht="12.75" hidden="false" customHeight="false" outlineLevel="0" collapsed="false">
      <c r="L55" s="330"/>
      <c r="M55" s="322"/>
      <c r="N55" s="322"/>
      <c r="O55" s="322"/>
      <c r="P55" s="322"/>
      <c r="Q55" s="322"/>
      <c r="R55" s="322"/>
      <c r="S55" s="322"/>
      <c r="T55" s="322"/>
      <c r="U55" s="322"/>
      <c r="V55" s="322"/>
    </row>
    <row r="56" customFormat="false" ht="12.75" hidden="false" customHeight="false" outlineLevel="0" collapsed="false">
      <c r="L56" s="330" t="str">
        <f aca="false">A17</f>
        <v>Secure Architecture</v>
      </c>
    </row>
    <row r="57" customFormat="false" ht="12.75" hidden="false" customHeight="false" outlineLevel="0" collapsed="false">
      <c r="L57" s="363"/>
    </row>
    <row r="58" customFormat="false" ht="12.75" hidden="false" customHeight="false" outlineLevel="0" collapsed="false">
      <c r="L58" s="363"/>
    </row>
    <row r="59" customFormat="false" ht="12.75" hidden="false" customHeight="false" outlineLevel="0" collapsed="false">
      <c r="L59" s="363"/>
    </row>
    <row r="60" customFormat="false" ht="12.75" hidden="false" customHeight="false" outlineLevel="0" collapsed="false">
      <c r="L60" s="363"/>
    </row>
    <row r="61" customFormat="false" ht="12.75" hidden="false" customHeight="false" outlineLevel="0" collapsed="false">
      <c r="L61" s="363"/>
    </row>
    <row r="62" customFormat="false" ht="12.75" hidden="false" customHeight="false" outlineLevel="0" collapsed="false">
      <c r="L62" s="363"/>
    </row>
    <row r="63" customFormat="false" ht="12.75" hidden="false" customHeight="false" outlineLevel="0" collapsed="false">
      <c r="L63" s="363" t="s">
        <v>87</v>
      </c>
    </row>
    <row r="64" customFormat="false" ht="12.75" hidden="false" customHeight="false" outlineLevel="0" collapsed="false">
      <c r="L64" s="363"/>
    </row>
    <row r="65" customFormat="false" ht="12.75" hidden="false" customHeight="false" outlineLevel="0" collapsed="false">
      <c r="L65" s="363"/>
    </row>
    <row r="66" customFormat="false" ht="12.75" hidden="false" customHeight="false" outlineLevel="0" collapsed="false">
      <c r="L66" s="363"/>
    </row>
    <row r="67" customFormat="false" ht="12.75" hidden="false" customHeight="false" outlineLevel="0" collapsed="false">
      <c r="L67" s="363"/>
    </row>
    <row r="68" customFormat="false" ht="12.75" hidden="false" customHeight="false" outlineLevel="0" collapsed="false">
      <c r="L68" s="363"/>
    </row>
    <row r="69" customFormat="false" ht="12.75" hidden="false" customHeight="false" outlineLevel="0" collapsed="false">
      <c r="L69" s="363"/>
    </row>
    <row r="70" customFormat="false" ht="12.75" hidden="false" customHeight="false" outlineLevel="0" collapsed="false">
      <c r="L70" s="363" t="s">
        <v>94</v>
      </c>
    </row>
    <row r="71" customFormat="false" ht="12.75" hidden="false" customHeight="false" outlineLevel="0" collapsed="false">
      <c r="L71" s="363"/>
    </row>
    <row r="72" customFormat="false" ht="12.75" hidden="false" customHeight="false" outlineLevel="0" collapsed="false">
      <c r="L72" s="363"/>
    </row>
    <row r="73" customFormat="false" ht="12.75" hidden="false" customHeight="false" outlineLevel="0" collapsed="false">
      <c r="L73" s="363"/>
    </row>
    <row r="74" customFormat="false" ht="12.75" hidden="false" customHeight="false" outlineLevel="0" collapsed="false">
      <c r="L74" s="363"/>
    </row>
    <row r="75" customFormat="false" ht="12.75" hidden="false" customHeight="false" outlineLevel="0" collapsed="false">
      <c r="L75" s="363"/>
    </row>
    <row r="76" customFormat="false" ht="12.75" hidden="false" customHeight="false" outlineLevel="0" collapsed="false">
      <c r="L76" s="363"/>
    </row>
    <row r="77" customFormat="false" ht="12.75" hidden="false" customHeight="false" outlineLevel="0" collapsed="false">
      <c r="L77" s="363" t="s">
        <v>101</v>
      </c>
    </row>
    <row r="78" customFormat="false" ht="12.75" hidden="false" customHeight="false" outlineLevel="0" collapsed="false">
      <c r="L78" s="363"/>
    </row>
    <row r="79" customFormat="false" ht="12.75" hidden="false" customHeight="false" outlineLevel="0" collapsed="false">
      <c r="L79" s="363"/>
    </row>
    <row r="80" customFormat="false" ht="12.75" hidden="false" customHeight="false" outlineLevel="0" collapsed="false">
      <c r="L80" s="363"/>
      <c r="M80" s="322"/>
      <c r="N80" s="322"/>
      <c r="O80" s="322"/>
      <c r="P80" s="322"/>
      <c r="Q80" s="322"/>
      <c r="R80" s="322"/>
      <c r="S80" s="322"/>
      <c r="T80" s="322"/>
      <c r="U80" s="322"/>
      <c r="V80" s="322"/>
    </row>
    <row r="81" customFormat="false" ht="12.75" hidden="false" customHeight="false" outlineLevel="0" collapsed="false">
      <c r="L81" s="330"/>
      <c r="M81" s="322"/>
      <c r="N81" s="322"/>
      <c r="O81" s="322"/>
      <c r="P81" s="322"/>
      <c r="Q81" s="322"/>
      <c r="R81" s="322"/>
      <c r="S81" s="322"/>
      <c r="T81" s="322"/>
      <c r="U81" s="322"/>
      <c r="V81" s="322"/>
    </row>
    <row r="82" customFormat="false" ht="12.75" hidden="false" customHeight="false" outlineLevel="0" collapsed="false">
      <c r="L82" s="330"/>
      <c r="M82" s="322"/>
      <c r="N82" s="322"/>
      <c r="O82" s="322"/>
      <c r="P82" s="322"/>
      <c r="Q82" s="322"/>
      <c r="R82" s="322"/>
      <c r="S82" s="322"/>
      <c r="T82" s="322"/>
      <c r="U82" s="322"/>
      <c r="V82" s="322"/>
    </row>
    <row r="83" customFormat="false" ht="12.75" hidden="false" customHeight="false" outlineLevel="0" collapsed="false">
      <c r="L83" s="330"/>
      <c r="M83" s="322"/>
      <c r="N83" s="322"/>
      <c r="O83" s="322"/>
      <c r="P83" s="322"/>
      <c r="Q83" s="322"/>
      <c r="R83" s="322"/>
      <c r="S83" s="322"/>
      <c r="T83" s="322"/>
      <c r="U83" s="322"/>
      <c r="V83" s="322"/>
    </row>
    <row r="84" customFormat="false" ht="12.75" hidden="false" customHeight="false" outlineLevel="0" collapsed="false">
      <c r="L84" s="330"/>
      <c r="M84" s="322"/>
      <c r="N84" s="322"/>
      <c r="O84" s="322"/>
      <c r="P84" s="322"/>
      <c r="Q84" s="322"/>
      <c r="R84" s="322"/>
      <c r="S84" s="322"/>
      <c r="T84" s="322"/>
      <c r="U84" s="322"/>
      <c r="V84" s="322"/>
    </row>
    <row r="85" customFormat="false" ht="12.75" hidden="false" customHeight="false" outlineLevel="0" collapsed="false">
      <c r="L85" s="330"/>
      <c r="M85" s="322"/>
      <c r="N85" s="322"/>
      <c r="O85" s="322"/>
      <c r="P85" s="322"/>
      <c r="Q85" s="322"/>
      <c r="R85" s="322"/>
      <c r="S85" s="322"/>
      <c r="T85" s="322"/>
      <c r="U85" s="322"/>
      <c r="V85" s="322"/>
    </row>
    <row r="86" customFormat="false" ht="12.75" hidden="false" customHeight="false" outlineLevel="0" collapsed="false">
      <c r="L86" s="330"/>
      <c r="M86" s="322"/>
      <c r="N86" s="322"/>
      <c r="O86" s="322"/>
      <c r="P86" s="322"/>
      <c r="Q86" s="322"/>
      <c r="R86" s="322"/>
      <c r="S86" s="322"/>
      <c r="T86" s="322"/>
      <c r="U86" s="322"/>
      <c r="V86" s="322"/>
    </row>
    <row r="87" customFormat="false" ht="12.75" hidden="false" customHeight="false" outlineLevel="0" collapsed="false">
      <c r="L87" s="330"/>
      <c r="M87" s="322"/>
      <c r="N87" s="322"/>
      <c r="O87" s="322"/>
      <c r="P87" s="322"/>
      <c r="Q87" s="322"/>
      <c r="R87" s="322"/>
      <c r="S87" s="322"/>
      <c r="T87" s="322"/>
      <c r="U87" s="322"/>
      <c r="V87" s="322"/>
    </row>
    <row r="88" customFormat="false" ht="12.75" hidden="false" customHeight="false" outlineLevel="0" collapsed="false">
      <c r="L88" s="330" t="str">
        <f aca="false">A21</f>
        <v>Architecture Assessment</v>
      </c>
      <c r="M88" s="322"/>
      <c r="N88" s="322"/>
      <c r="O88" s="322"/>
      <c r="P88" s="322"/>
      <c r="Q88" s="322"/>
      <c r="R88" s="322"/>
      <c r="S88" s="322"/>
      <c r="T88" s="322"/>
      <c r="U88" s="322"/>
      <c r="V88" s="322"/>
    </row>
    <row r="89" customFormat="false" ht="12.75" hidden="false" customHeight="false" outlineLevel="0" collapsed="false">
      <c r="L89" s="330"/>
      <c r="M89" s="322"/>
      <c r="N89" s="322"/>
      <c r="O89" s="322"/>
      <c r="P89" s="322"/>
      <c r="Q89" s="322"/>
      <c r="R89" s="322"/>
      <c r="S89" s="322"/>
      <c r="T89" s="322"/>
      <c r="U89" s="322"/>
      <c r="V89" s="322"/>
    </row>
    <row r="90" customFormat="false" ht="12.75" hidden="false" customHeight="false" outlineLevel="0" collapsed="false">
      <c r="L90" s="330"/>
      <c r="M90" s="322"/>
      <c r="N90" s="322"/>
      <c r="O90" s="322"/>
      <c r="P90" s="322"/>
      <c r="Q90" s="322"/>
      <c r="R90" s="322"/>
      <c r="S90" s="322"/>
      <c r="T90" s="322"/>
      <c r="U90" s="322"/>
      <c r="V90" s="322"/>
    </row>
    <row r="91" customFormat="false" ht="12.75" hidden="false" customHeight="false" outlineLevel="0" collapsed="false">
      <c r="L91" s="330"/>
      <c r="M91" s="322"/>
      <c r="N91" s="322"/>
      <c r="O91" s="322"/>
      <c r="P91" s="322"/>
      <c r="Q91" s="322"/>
      <c r="R91" s="322"/>
      <c r="S91" s="322"/>
      <c r="T91" s="322"/>
      <c r="U91" s="322"/>
      <c r="V91" s="322"/>
    </row>
    <row r="92" customFormat="false" ht="12.75" hidden="false" customHeight="false" outlineLevel="0" collapsed="false">
      <c r="L92" s="330"/>
      <c r="M92" s="322"/>
      <c r="N92" s="322"/>
      <c r="O92" s="322"/>
      <c r="P92" s="322"/>
      <c r="Q92" s="322"/>
      <c r="R92" s="322"/>
      <c r="S92" s="322"/>
      <c r="T92" s="322"/>
      <c r="U92" s="322"/>
      <c r="V92" s="322"/>
    </row>
    <row r="93" customFormat="false" ht="12.75" hidden="false" customHeight="false" outlineLevel="0" collapsed="false">
      <c r="L93" s="330"/>
      <c r="M93" s="322"/>
      <c r="N93" s="322"/>
      <c r="O93" s="322"/>
      <c r="P93" s="322"/>
      <c r="Q93" s="322"/>
      <c r="R93" s="322"/>
      <c r="S93" s="322"/>
      <c r="T93" s="322"/>
      <c r="U93" s="322"/>
      <c r="V93" s="322"/>
    </row>
    <row r="94" customFormat="false" ht="12.75" hidden="false" customHeight="false" outlineLevel="0" collapsed="false">
      <c r="L94" s="330"/>
      <c r="M94" s="322"/>
      <c r="N94" s="322"/>
      <c r="O94" s="322"/>
      <c r="P94" s="322"/>
      <c r="Q94" s="322"/>
      <c r="R94" s="322"/>
      <c r="S94" s="322"/>
      <c r="T94" s="322"/>
      <c r="U94" s="322"/>
      <c r="V94" s="322"/>
    </row>
    <row r="95" customFormat="false" ht="12.75" hidden="false" customHeight="false" outlineLevel="0" collapsed="false">
      <c r="L95" s="330"/>
      <c r="M95" s="322"/>
      <c r="N95" s="322"/>
      <c r="O95" s="322"/>
      <c r="P95" s="322"/>
      <c r="Q95" s="322"/>
      <c r="R95" s="322"/>
      <c r="S95" s="322"/>
      <c r="T95" s="322"/>
      <c r="U95" s="322"/>
      <c r="V95" s="322"/>
    </row>
    <row r="96" customFormat="false" ht="12.75" hidden="false" customHeight="false" outlineLevel="0" collapsed="false">
      <c r="L96" s="330" t="str">
        <f aca="false">A22</f>
        <v>Requirements Testing</v>
      </c>
      <c r="M96" s="322"/>
      <c r="N96" s="322"/>
      <c r="O96" s="322"/>
      <c r="P96" s="322"/>
      <c r="Q96" s="322"/>
      <c r="R96" s="322"/>
      <c r="S96" s="322"/>
      <c r="T96" s="322"/>
      <c r="U96" s="322"/>
      <c r="V96" s="322"/>
    </row>
    <row r="97" customFormat="false" ht="12.75" hidden="false" customHeight="false" outlineLevel="0" collapsed="false">
      <c r="L97" s="330"/>
      <c r="M97" s="322"/>
      <c r="N97" s="322"/>
      <c r="O97" s="322"/>
      <c r="P97" s="322"/>
      <c r="Q97" s="322"/>
      <c r="R97" s="322"/>
      <c r="S97" s="322"/>
      <c r="T97" s="322"/>
      <c r="U97" s="322"/>
      <c r="V97" s="322"/>
    </row>
    <row r="98" customFormat="false" ht="12.75" hidden="false" customHeight="false" outlineLevel="0" collapsed="false">
      <c r="L98" s="330"/>
      <c r="M98" s="322"/>
      <c r="N98" s="322"/>
      <c r="O98" s="322"/>
      <c r="P98" s="322"/>
      <c r="Q98" s="322"/>
      <c r="R98" s="322"/>
      <c r="S98" s="322"/>
      <c r="T98" s="322"/>
      <c r="U98" s="322"/>
      <c r="V98" s="322"/>
    </row>
    <row r="99" customFormat="false" ht="12.75" hidden="false" customHeight="false" outlineLevel="0" collapsed="false">
      <c r="L99" s="330"/>
      <c r="M99" s="322"/>
      <c r="N99" s="322"/>
      <c r="O99" s="322"/>
      <c r="P99" s="322"/>
      <c r="Q99" s="322"/>
      <c r="R99" s="322"/>
      <c r="S99" s="322"/>
      <c r="T99" s="322"/>
      <c r="U99" s="322"/>
      <c r="V99" s="322"/>
    </row>
    <row r="100" customFormat="false" ht="12.75" hidden="false" customHeight="false" outlineLevel="0" collapsed="false">
      <c r="L100" s="330"/>
      <c r="M100" s="322"/>
      <c r="N100" s="322"/>
      <c r="O100" s="322"/>
      <c r="P100" s="322"/>
      <c r="Q100" s="322"/>
      <c r="R100" s="322"/>
      <c r="S100" s="322"/>
      <c r="T100" s="322"/>
      <c r="U100" s="322"/>
      <c r="V100" s="322"/>
    </row>
    <row r="101" customFormat="false" ht="12.75" hidden="false" customHeight="false" outlineLevel="0" collapsed="false">
      <c r="L101" s="330"/>
      <c r="M101" s="322"/>
      <c r="N101" s="322"/>
      <c r="O101" s="322"/>
      <c r="P101" s="322"/>
      <c r="Q101" s="322"/>
      <c r="R101" s="322"/>
      <c r="S101" s="322"/>
      <c r="T101" s="322"/>
      <c r="U101" s="322"/>
      <c r="V101" s="322"/>
    </row>
    <row r="102" customFormat="false" ht="12.75" hidden="false" customHeight="false" outlineLevel="0" collapsed="false">
      <c r="L102" s="330"/>
      <c r="M102" s="322"/>
      <c r="N102" s="322"/>
      <c r="O102" s="322"/>
      <c r="P102" s="322"/>
      <c r="Q102" s="322"/>
      <c r="R102" s="322"/>
      <c r="S102" s="322"/>
      <c r="T102" s="322"/>
      <c r="U102" s="322"/>
      <c r="V102" s="322"/>
    </row>
    <row r="103" customFormat="false" ht="12.75" hidden="false" customHeight="false" outlineLevel="0" collapsed="false">
      <c r="L103" s="330"/>
      <c r="M103" s="322"/>
      <c r="N103" s="322"/>
      <c r="O103" s="322"/>
      <c r="P103" s="322"/>
      <c r="Q103" s="322"/>
      <c r="R103" s="322"/>
      <c r="S103" s="322"/>
      <c r="T103" s="322"/>
      <c r="U103" s="322"/>
      <c r="V103" s="322"/>
    </row>
    <row r="104" customFormat="false" ht="12.75" hidden="false" customHeight="false" outlineLevel="0" collapsed="false">
      <c r="L104" s="330" t="str">
        <f aca="false">A23</f>
        <v>Security Testing</v>
      </c>
      <c r="M104" s="322"/>
      <c r="N104" s="322"/>
      <c r="O104" s="322"/>
      <c r="P104" s="322"/>
      <c r="Q104" s="322"/>
      <c r="R104" s="322"/>
      <c r="S104" s="322"/>
      <c r="T104" s="322"/>
      <c r="U104" s="322"/>
      <c r="V104" s="322"/>
    </row>
    <row r="105" customFormat="false" ht="12.75" hidden="false" customHeight="false" outlineLevel="0" collapsed="false">
      <c r="L105" s="330"/>
      <c r="M105" s="322"/>
      <c r="N105" s="322"/>
      <c r="O105" s="322"/>
      <c r="P105" s="322"/>
      <c r="Q105" s="322"/>
      <c r="R105" s="322"/>
      <c r="S105" s="322"/>
      <c r="T105" s="322"/>
      <c r="U105" s="322"/>
      <c r="V105" s="322"/>
    </row>
    <row r="106" customFormat="false" ht="12.75" hidden="false" customHeight="false" outlineLevel="0" collapsed="false">
      <c r="L106" s="330"/>
      <c r="M106" s="322"/>
      <c r="N106" s="322"/>
      <c r="O106" s="322"/>
      <c r="P106" s="322"/>
      <c r="Q106" s="322"/>
      <c r="R106" s="322"/>
      <c r="S106" s="322"/>
      <c r="T106" s="322"/>
      <c r="U106" s="322"/>
      <c r="V106" s="322"/>
    </row>
    <row r="107" customFormat="false" ht="12.75" hidden="false" customHeight="false" outlineLevel="0" collapsed="false">
      <c r="L107" s="330"/>
      <c r="M107" s="322"/>
      <c r="N107" s="322"/>
      <c r="O107" s="322"/>
      <c r="P107" s="322"/>
      <c r="Q107" s="322"/>
      <c r="R107" s="322"/>
      <c r="S107" s="322"/>
      <c r="T107" s="322"/>
      <c r="U107" s="322"/>
      <c r="V107" s="322"/>
    </row>
    <row r="108" customFormat="false" ht="12.75" hidden="false" customHeight="false" outlineLevel="0" collapsed="false">
      <c r="L108" s="330"/>
      <c r="M108" s="322"/>
      <c r="N108" s="322"/>
      <c r="O108" s="322"/>
      <c r="P108" s="322"/>
      <c r="Q108" s="322"/>
      <c r="R108" s="322"/>
      <c r="S108" s="322"/>
      <c r="T108" s="322"/>
      <c r="U108" s="322"/>
      <c r="V108" s="322"/>
    </row>
    <row r="109" customFormat="false" ht="12.75" hidden="false" customHeight="false" outlineLevel="0" collapsed="false">
      <c r="L109" s="330"/>
      <c r="M109" s="322"/>
      <c r="N109" s="322"/>
      <c r="O109" s="322"/>
      <c r="P109" s="322"/>
      <c r="Q109" s="322"/>
      <c r="R109" s="322"/>
      <c r="S109" s="322"/>
      <c r="T109" s="322"/>
      <c r="U109" s="322"/>
      <c r="V109" s="322"/>
    </row>
    <row r="110" customFormat="false" ht="12.75" hidden="false" customHeight="false" outlineLevel="0" collapsed="false">
      <c r="L110" s="330"/>
      <c r="M110" s="322"/>
      <c r="N110" s="322"/>
      <c r="O110" s="322"/>
      <c r="P110" s="322"/>
      <c r="Q110" s="322"/>
      <c r="R110" s="322"/>
      <c r="S110" s="322"/>
      <c r="T110" s="322"/>
      <c r="U110" s="322"/>
      <c r="V110" s="322"/>
    </row>
    <row r="111" customFormat="false" ht="12.75" hidden="false" customHeight="false" outlineLevel="0" collapsed="false">
      <c r="L111" s="330"/>
      <c r="M111" s="322"/>
      <c r="N111" s="322"/>
      <c r="O111" s="322"/>
      <c r="P111" s="322"/>
      <c r="Q111" s="322"/>
      <c r="R111" s="322"/>
      <c r="S111" s="322"/>
      <c r="T111" s="322"/>
      <c r="U111" s="322"/>
      <c r="V111" s="322"/>
    </row>
    <row r="112" customFormat="false" ht="12.75" hidden="false" customHeight="false" outlineLevel="0" collapsed="false">
      <c r="L112" s="330" t="str">
        <f aca="false">A24</f>
        <v>Incident Management</v>
      </c>
      <c r="M112" s="322"/>
      <c r="N112" s="322"/>
      <c r="O112" s="322"/>
      <c r="P112" s="322"/>
      <c r="Q112" s="322"/>
      <c r="R112" s="322"/>
      <c r="S112" s="322"/>
      <c r="T112" s="322"/>
      <c r="U112" s="322"/>
      <c r="V112" s="322"/>
    </row>
    <row r="113" customFormat="false" ht="12.75" hidden="false" customHeight="false" outlineLevel="0" collapsed="false">
      <c r="L113" s="330"/>
      <c r="M113" s="322"/>
      <c r="N113" s="322"/>
      <c r="O113" s="322"/>
      <c r="P113" s="322"/>
      <c r="Q113" s="322"/>
      <c r="R113" s="322"/>
      <c r="S113" s="322"/>
      <c r="T113" s="322"/>
      <c r="U113" s="322"/>
      <c r="V113" s="322"/>
    </row>
    <row r="114" customFormat="false" ht="12.75" hidden="false" customHeight="false" outlineLevel="0" collapsed="false">
      <c r="L114" s="330"/>
      <c r="M114" s="322"/>
      <c r="N114" s="322"/>
      <c r="O114" s="322"/>
      <c r="P114" s="322"/>
      <c r="Q114" s="322"/>
      <c r="R114" s="322"/>
      <c r="S114" s="322"/>
      <c r="T114" s="322"/>
      <c r="U114" s="322"/>
      <c r="V114" s="322"/>
    </row>
    <row r="115" customFormat="false" ht="12.75" hidden="false" customHeight="false" outlineLevel="0" collapsed="false">
      <c r="L115" s="330"/>
      <c r="M115" s="322"/>
      <c r="N115" s="322"/>
      <c r="O115" s="322"/>
      <c r="P115" s="322"/>
      <c r="Q115" s="322"/>
      <c r="R115" s="322"/>
      <c r="S115" s="322"/>
      <c r="T115" s="322"/>
      <c r="U115" s="322"/>
      <c r="V115" s="322"/>
    </row>
    <row r="116" customFormat="false" ht="12.75" hidden="false" customHeight="false" outlineLevel="0" collapsed="false">
      <c r="L116" s="330"/>
      <c r="M116" s="322"/>
      <c r="N116" s="322"/>
      <c r="O116" s="322"/>
      <c r="P116" s="322"/>
      <c r="Q116" s="322"/>
      <c r="R116" s="322"/>
      <c r="S116" s="322"/>
      <c r="T116" s="322"/>
      <c r="U116" s="322"/>
      <c r="V116" s="322"/>
    </row>
    <row r="117" customFormat="false" ht="12.75" hidden="false" customHeight="false" outlineLevel="0" collapsed="false">
      <c r="L117" s="330"/>
      <c r="M117" s="322"/>
      <c r="N117" s="322"/>
      <c r="O117" s="322"/>
      <c r="P117" s="322"/>
      <c r="Q117" s="322"/>
      <c r="R117" s="322"/>
      <c r="S117" s="322"/>
      <c r="T117" s="322"/>
      <c r="U117" s="322"/>
      <c r="V117" s="322"/>
    </row>
    <row r="118" customFormat="false" ht="12.75" hidden="false" customHeight="false" outlineLevel="0" collapsed="false">
      <c r="L118" s="330"/>
      <c r="M118" s="322"/>
      <c r="N118" s="322"/>
      <c r="O118" s="322"/>
      <c r="P118" s="322"/>
      <c r="Q118" s="322"/>
      <c r="R118" s="322"/>
      <c r="S118" s="322"/>
      <c r="T118" s="322"/>
      <c r="U118" s="322"/>
      <c r="V118" s="322"/>
    </row>
    <row r="119" customFormat="false" ht="12.75" hidden="false" customHeight="false" outlineLevel="0" collapsed="false">
      <c r="L119" s="330"/>
      <c r="M119" s="322"/>
      <c r="N119" s="322"/>
      <c r="O119" s="322"/>
      <c r="P119" s="322"/>
      <c r="Q119" s="322"/>
      <c r="R119" s="322"/>
      <c r="S119" s="322"/>
      <c r="T119" s="322"/>
      <c r="U119" s="322"/>
      <c r="V119" s="322"/>
    </row>
    <row r="120" customFormat="false" ht="12.75" hidden="false" customHeight="false" outlineLevel="0" collapsed="false">
      <c r="L120" s="330" t="str">
        <f aca="false">A25</f>
        <v>Environment Management</v>
      </c>
      <c r="M120" s="322"/>
      <c r="N120" s="322"/>
      <c r="O120" s="322"/>
      <c r="P120" s="322"/>
      <c r="Q120" s="322"/>
      <c r="R120" s="322"/>
      <c r="S120" s="322"/>
      <c r="T120" s="322"/>
      <c r="U120" s="322"/>
      <c r="V120" s="322"/>
    </row>
    <row r="121" customFormat="false" ht="12.75" hidden="false" customHeight="false" outlineLevel="0" collapsed="false">
      <c r="L121" s="330"/>
      <c r="M121" s="322"/>
      <c r="N121" s="322"/>
      <c r="O121" s="322"/>
      <c r="P121" s="322"/>
      <c r="Q121" s="322"/>
      <c r="R121" s="322"/>
      <c r="S121" s="322"/>
      <c r="T121" s="322"/>
      <c r="U121" s="322"/>
      <c r="V121" s="322"/>
    </row>
    <row r="122" customFormat="false" ht="12.75" hidden="false" customHeight="false" outlineLevel="0" collapsed="false">
      <c r="L122" s="330"/>
      <c r="M122" s="322"/>
      <c r="N122" s="322"/>
      <c r="O122" s="322"/>
      <c r="P122" s="322"/>
      <c r="Q122" s="322"/>
      <c r="R122" s="322"/>
      <c r="S122" s="322"/>
      <c r="T122" s="322"/>
      <c r="U122" s="322"/>
      <c r="V122" s="322"/>
    </row>
    <row r="123" customFormat="false" ht="12.75" hidden="false" customHeight="false" outlineLevel="0" collapsed="false">
      <c r="L123" s="330"/>
      <c r="M123" s="322"/>
      <c r="N123" s="322"/>
      <c r="O123" s="322"/>
      <c r="P123" s="322"/>
      <c r="Q123" s="322"/>
      <c r="R123" s="322"/>
      <c r="S123" s="322"/>
      <c r="T123" s="322"/>
      <c r="U123" s="322"/>
      <c r="V123" s="322"/>
    </row>
    <row r="124" customFormat="false" ht="12.75" hidden="false" customHeight="false" outlineLevel="0" collapsed="false">
      <c r="L124" s="330"/>
      <c r="M124" s="322"/>
      <c r="N124" s="322"/>
      <c r="O124" s="322"/>
      <c r="P124" s="322"/>
      <c r="Q124" s="322"/>
      <c r="R124" s="322"/>
      <c r="S124" s="322"/>
      <c r="T124" s="322"/>
      <c r="U124" s="322"/>
      <c r="V124" s="322"/>
    </row>
    <row r="125" customFormat="false" ht="12.75" hidden="false" customHeight="false" outlineLevel="0" collapsed="false">
      <c r="L125" s="330"/>
      <c r="M125" s="322"/>
      <c r="N125" s="322"/>
      <c r="O125" s="322"/>
      <c r="P125" s="322"/>
      <c r="Q125" s="322"/>
      <c r="R125" s="322"/>
      <c r="S125" s="322"/>
      <c r="T125" s="322"/>
      <c r="U125" s="322"/>
      <c r="V125" s="322"/>
    </row>
    <row r="126" customFormat="false" ht="12.75" hidden="false" customHeight="false" outlineLevel="0" collapsed="false">
      <c r="L126" s="330"/>
      <c r="M126" s="322"/>
      <c r="N126" s="322"/>
      <c r="O126" s="322"/>
      <c r="P126" s="322"/>
      <c r="Q126" s="322"/>
      <c r="R126" s="322"/>
      <c r="S126" s="322"/>
      <c r="T126" s="322"/>
      <c r="U126" s="322"/>
      <c r="V126" s="322"/>
    </row>
    <row r="127" customFormat="false" ht="12.75" hidden="false" customHeight="false" outlineLevel="0" collapsed="false">
      <c r="L127" s="330"/>
      <c r="M127" s="322"/>
      <c r="N127" s="322"/>
      <c r="O127" s="322"/>
      <c r="P127" s="322"/>
      <c r="Q127" s="322"/>
      <c r="R127" s="322"/>
      <c r="S127" s="322"/>
      <c r="T127" s="322"/>
      <c r="U127" s="322"/>
      <c r="V127" s="322"/>
    </row>
    <row r="128" customFormat="false" ht="12.75" hidden="false" customHeight="false" outlineLevel="0" collapsed="false">
      <c r="L128" s="330" t="str">
        <f aca="false">A26</f>
        <v>Operational Management</v>
      </c>
      <c r="M128" s="322"/>
      <c r="N128" s="322"/>
      <c r="O128" s="322"/>
      <c r="P128" s="322"/>
      <c r="Q128" s="322"/>
      <c r="R128" s="322"/>
      <c r="S128" s="322"/>
      <c r="T128" s="322"/>
      <c r="U128" s="322"/>
      <c r="V128" s="322"/>
    </row>
    <row r="129" customFormat="false" ht="12.75" hidden="false" customHeight="false" outlineLevel="0" collapsed="false">
      <c r="L129" s="330"/>
      <c r="M129" s="322"/>
      <c r="N129" s="322"/>
      <c r="O129" s="322"/>
      <c r="P129" s="322"/>
      <c r="Q129" s="322"/>
      <c r="R129" s="322"/>
      <c r="S129" s="322"/>
      <c r="T129" s="322"/>
      <c r="U129" s="322"/>
      <c r="V129" s="322"/>
    </row>
    <row r="130" customFormat="false" ht="12.75" hidden="false" customHeight="false" outlineLevel="0" collapsed="false">
      <c r="L130" s="330"/>
      <c r="M130" s="322"/>
      <c r="N130" s="322"/>
      <c r="O130" s="322"/>
      <c r="P130" s="322"/>
      <c r="Q130" s="322"/>
      <c r="R130" s="322"/>
      <c r="S130" s="322"/>
      <c r="T130" s="322"/>
      <c r="U130" s="322"/>
      <c r="V130" s="322"/>
    </row>
    <row r="131" customFormat="false" ht="12.75" hidden="false" customHeight="false" outlineLevel="0" collapsed="false">
      <c r="L131" s="330"/>
      <c r="M131" s="322"/>
      <c r="N131" s="322"/>
      <c r="O131" s="322"/>
      <c r="P131" s="322"/>
      <c r="Q131" s="322"/>
      <c r="R131" s="322"/>
      <c r="S131" s="322"/>
      <c r="T131" s="322"/>
      <c r="U131" s="322"/>
      <c r="V131" s="322"/>
    </row>
    <row r="132" customFormat="false" ht="12.75" hidden="false" customHeight="false" outlineLevel="0" collapsed="false">
      <c r="L132" s="330"/>
      <c r="M132" s="367"/>
      <c r="N132" s="367"/>
      <c r="O132" s="367"/>
      <c r="P132" s="367"/>
      <c r="Q132" s="367"/>
      <c r="R132" s="367"/>
      <c r="S132" s="367"/>
      <c r="T132" s="367"/>
      <c r="U132" s="367"/>
      <c r="V132" s="367"/>
    </row>
  </sheetData>
  <mergeCells count="20">
    <mergeCell ref="A1:K1"/>
    <mergeCell ref="B4:C4"/>
    <mergeCell ref="B5:C5"/>
    <mergeCell ref="B6:C6"/>
    <mergeCell ref="B7:C7"/>
    <mergeCell ref="B8:C8"/>
    <mergeCell ref="O8:R8"/>
    <mergeCell ref="S8:V8"/>
    <mergeCell ref="O9:P9"/>
    <mergeCell ref="Q9:R9"/>
    <mergeCell ref="S9:T9"/>
    <mergeCell ref="U9:V9"/>
    <mergeCell ref="O10:P10"/>
    <mergeCell ref="Q10:R10"/>
    <mergeCell ref="S10:T10"/>
    <mergeCell ref="U10:V10"/>
    <mergeCell ref="O11:P11"/>
    <mergeCell ref="Q11:R11"/>
    <mergeCell ref="S11:T11"/>
    <mergeCell ref="U11:V11"/>
  </mergeCells>
  <dataValidations count="1">
    <dataValidation allowBlank="false" errorStyle="stop" operator="between" showDropDown="false" showErrorMessage="true" showInputMessage="true" sqref="B12:B26" type="none">
      <formula1>0</formula1>
      <formula2>0</formula2>
    </dataValidation>
  </dataValidations>
  <printOptions headings="false" gridLines="false" gridLinesSet="true" horizontalCentered="false" verticalCentered="false"/>
  <pageMargins left="0.551388888888889" right="0.551388888888889" top="0.39375" bottom="0.39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52"/>
  <sheetViews>
    <sheetView showFormulas="false" showGridLines="true" showRowColHeaders="true" showZeros="true" rightToLeft="false" tabSelected="false" showOutlineSymbols="true" defaultGridColor="true" view="normal" topLeftCell="H111" colorId="64" zoomScale="80" zoomScaleNormal="80" zoomScalePageLayoutView="100" workbookViewId="0">
      <selection pane="topLeft" activeCell="P130" activeCellId="0" sqref="P130"/>
    </sheetView>
  </sheetViews>
  <sheetFormatPr defaultColWidth="8.83203125" defaultRowHeight="12.75" zeroHeight="false" outlineLevelRow="0" outlineLevelCol="0"/>
  <cols>
    <col collapsed="false" customWidth="true" hidden="false" outlineLevel="0" max="9" min="9" style="10" width="22.67"/>
    <col collapsed="false" customWidth="true" hidden="false" outlineLevel="0" max="10" min="10" style="0" width="35.16"/>
    <col collapsed="false" customWidth="true" hidden="false" outlineLevel="0" max="15" min="15" style="0" width="21.83"/>
    <col collapsed="false" customWidth="true" hidden="false" outlineLevel="0" max="16" min="16" style="0" width="29.16"/>
  </cols>
  <sheetData>
    <row r="1" customFormat="false" ht="66" hidden="false" customHeight="true" outlineLevel="0" collapsed="false">
      <c r="A1" s="156" t="s">
        <v>191</v>
      </c>
      <c r="B1" s="156"/>
      <c r="C1" s="156"/>
      <c r="D1" s="156"/>
      <c r="E1" s="156"/>
      <c r="F1" s="156"/>
      <c r="G1" s="156"/>
      <c r="H1" s="156"/>
      <c r="I1" s="156"/>
      <c r="J1" s="156"/>
      <c r="K1" s="156"/>
      <c r="M1" s="33" t="str">
        <f aca="false">IF(M2=M3,"OK","Problem")</f>
        <v>OK</v>
      </c>
    </row>
    <row r="2" customFormat="false" ht="12.75" hidden="false" customHeight="false" outlineLevel="0" collapsed="false">
      <c r="M2" s="169" t="n">
        <f aca="false">COUNTA(M4:M200)</f>
        <v>25</v>
      </c>
    </row>
    <row r="3" customFormat="false" ht="12.75" hidden="false" customHeight="false" outlineLevel="0" collapsed="false">
      <c r="A3" s="368" t="s">
        <v>41</v>
      </c>
      <c r="B3" s="369"/>
      <c r="C3" s="370" t="s">
        <v>192</v>
      </c>
      <c r="D3" s="370"/>
      <c r="E3" s="370"/>
      <c r="F3" s="369"/>
      <c r="G3" s="369"/>
      <c r="H3" s="369"/>
      <c r="I3" s="13"/>
      <c r="M3" s="169" t="n">
        <f aca="false">COUNTA('imp-answers'!A2:A200)</f>
        <v>25</v>
      </c>
    </row>
    <row r="4" customFormat="false" ht="12.75" hidden="false" customHeight="false" outlineLevel="0" collapsed="false">
      <c r="A4" s="371" t="s">
        <v>193</v>
      </c>
      <c r="C4" s="372" t="n">
        <v>3</v>
      </c>
      <c r="D4" s="372" t="n">
        <v>3</v>
      </c>
      <c r="E4" s="372" t="n">
        <v>3</v>
      </c>
      <c r="F4" s="372" t="n">
        <v>6</v>
      </c>
      <c r="G4" s="183"/>
      <c r="H4" s="373" t="s">
        <v>194</v>
      </c>
      <c r="I4" s="374" t="n">
        <v>1</v>
      </c>
      <c r="J4" s="169" t="s">
        <v>195</v>
      </c>
      <c r="K4" s="0" t="n">
        <v>0</v>
      </c>
      <c r="M4" s="375" t="str">
        <f aca="false">CHAR(65+N4)</f>
        <v>A</v>
      </c>
      <c r="N4" s="375" t="n">
        <v>0</v>
      </c>
      <c r="O4" s="374"/>
      <c r="P4" s="376" t="str">
        <f aca="false">VLOOKUP(N4,'imp-answers'!$A$2:$I$50,2,FALSE())</f>
        <v>No</v>
      </c>
      <c r="Q4" s="376" t="n">
        <f aca="false">VLOOKUP(N4,'imp-answers'!$A$2:$I$50,6,FALSE())</f>
        <v>0</v>
      </c>
    </row>
    <row r="5" customFormat="false" ht="12.75" hidden="false" customHeight="false" outlineLevel="0" collapsed="false">
      <c r="A5" s="371" t="s">
        <v>195</v>
      </c>
      <c r="B5" s="376"/>
      <c r="C5" s="372" t="n">
        <v>2.01</v>
      </c>
      <c r="D5" s="372" t="n">
        <v>2.99</v>
      </c>
      <c r="E5" s="377" t="s">
        <v>196</v>
      </c>
      <c r="F5" s="378" t="n">
        <v>5</v>
      </c>
      <c r="G5" s="10"/>
      <c r="H5" s="373"/>
      <c r="I5" s="379"/>
      <c r="J5" s="169" t="s">
        <v>197</v>
      </c>
      <c r="K5" s="0" t="n">
        <v>0.2</v>
      </c>
      <c r="M5" s="375"/>
      <c r="N5" s="375"/>
      <c r="O5" s="379"/>
      <c r="P5" s="376" t="str">
        <f aca="false">VLOOKUP(N4,'imp-answers'!$A$2:$I$50,3,FALSE())</f>
        <v>Yes, some content</v>
      </c>
      <c r="Q5" s="376" t="n">
        <f aca="false">VLOOKUP(N4,'imp-answers'!$A$2:$I$50,7,FALSE())</f>
        <v>0.25</v>
      </c>
    </row>
    <row r="6" customFormat="false" ht="12.75" hidden="false" customHeight="false" outlineLevel="0" collapsed="false">
      <c r="C6" s="372" t="n">
        <v>2</v>
      </c>
      <c r="D6" s="372" t="n">
        <v>2</v>
      </c>
      <c r="E6" s="372" t="n">
        <v>2</v>
      </c>
      <c r="F6" s="372" t="n">
        <v>4</v>
      </c>
      <c r="G6" s="183"/>
      <c r="H6" s="373"/>
      <c r="I6" s="380"/>
      <c r="J6" s="169" t="s">
        <v>198</v>
      </c>
      <c r="K6" s="0" t="n">
        <v>0.5</v>
      </c>
      <c r="M6" s="375"/>
      <c r="N6" s="375"/>
      <c r="O6" s="381"/>
      <c r="P6" s="376" t="str">
        <f aca="false">VLOOKUP(N4,'imp-answers'!$A$2:$I$50,4,FALSE())</f>
        <v>Yes, at least half of the content</v>
      </c>
      <c r="Q6" s="376" t="n">
        <f aca="false">VLOOKUP(N4,'imp-answers'!$A$2:$I$50,8,FALSE())</f>
        <v>0.5</v>
      </c>
    </row>
    <row r="7" customFormat="false" ht="12.75" hidden="false" customHeight="false" outlineLevel="0" collapsed="false">
      <c r="C7" s="372" t="n">
        <v>1.01</v>
      </c>
      <c r="D7" s="372" t="n">
        <v>1.99</v>
      </c>
      <c r="E7" s="377" t="s">
        <v>199</v>
      </c>
      <c r="F7" s="378" t="n">
        <v>3</v>
      </c>
      <c r="G7" s="10"/>
      <c r="H7" s="373"/>
      <c r="I7" s="382" t="n">
        <v>2</v>
      </c>
      <c r="J7" s="169" t="s">
        <v>200</v>
      </c>
      <c r="K7" s="0" t="n">
        <v>1</v>
      </c>
      <c r="M7" s="375"/>
      <c r="N7" s="375"/>
      <c r="O7" s="380"/>
      <c r="P7" s="376" t="str">
        <f aca="false">VLOOKUP(N4,'imp-answers'!$A$2:$I$50,5,FALSE())</f>
        <v>Yes, most or all of the content</v>
      </c>
      <c r="Q7" s="376" t="n">
        <f aca="false">VLOOKUP(N4,'imp-answers'!$A$2:$I$50,9,FALSE())</f>
        <v>1</v>
      </c>
    </row>
    <row r="8" customFormat="false" ht="12.75" hidden="false" customHeight="false" outlineLevel="0" collapsed="false">
      <c r="C8" s="372" t="n">
        <v>1</v>
      </c>
      <c r="D8" s="372" t="n">
        <v>1</v>
      </c>
      <c r="E8" s="372" t="n">
        <v>1</v>
      </c>
      <c r="F8" s="372" t="n">
        <v>2</v>
      </c>
      <c r="G8" s="183"/>
      <c r="M8" s="375"/>
      <c r="N8" s="375"/>
      <c r="O8" s="383"/>
    </row>
    <row r="9" customFormat="false" ht="12.75" hidden="false" customHeight="false" outlineLevel="0" collapsed="false">
      <c r="C9" s="372" t="n">
        <v>0.01</v>
      </c>
      <c r="D9" s="372" t="n">
        <v>0.99</v>
      </c>
      <c r="E9" s="377" t="s">
        <v>201</v>
      </c>
      <c r="F9" s="378" t="n">
        <v>1</v>
      </c>
      <c r="G9" s="10"/>
      <c r="H9" s="373" t="s">
        <v>202</v>
      </c>
      <c r="I9" s="384" t="s">
        <v>203</v>
      </c>
      <c r="J9" s="169" t="s">
        <v>195</v>
      </c>
      <c r="K9" s="0" t="n">
        <v>0</v>
      </c>
    </row>
    <row r="10" customFormat="false" ht="12.75" hidden="false" customHeight="false" outlineLevel="0" collapsed="false">
      <c r="C10" s="372" t="n">
        <v>0</v>
      </c>
      <c r="D10" s="372" t="n">
        <v>0</v>
      </c>
      <c r="E10" s="372" t="n">
        <v>0</v>
      </c>
      <c r="F10" s="372" t="n">
        <v>0</v>
      </c>
      <c r="G10" s="183"/>
      <c r="H10" s="373"/>
      <c r="I10" s="379" t="n">
        <v>5</v>
      </c>
      <c r="J10" s="169" t="s">
        <v>204</v>
      </c>
      <c r="K10" s="0" t="n">
        <v>0.2</v>
      </c>
      <c r="M10" s="375" t="str">
        <f aca="false">CHAR(65+N10)</f>
        <v>B</v>
      </c>
      <c r="N10" s="375" t="n">
        <v>1</v>
      </c>
      <c r="O10" s="374"/>
      <c r="P10" s="376" t="str">
        <f aca="false">VLOOKUP(N10,'imp-answers'!$A$2:$I$50,2,FALSE())</f>
        <v>No</v>
      </c>
      <c r="Q10" s="376" t="n">
        <f aca="false">VLOOKUP(N10,'imp-answers'!$A$2:$I$50,6,FALSE())</f>
        <v>0</v>
      </c>
    </row>
    <row r="11" customFormat="false" ht="12.75" hidden="false" customHeight="false" outlineLevel="0" collapsed="false">
      <c r="H11" s="373"/>
      <c r="I11" s="380" t="s">
        <v>205</v>
      </c>
      <c r="J11" s="169" t="s">
        <v>206</v>
      </c>
      <c r="K11" s="0" t="n">
        <v>0.5</v>
      </c>
      <c r="M11" s="375"/>
      <c r="N11" s="375"/>
      <c r="O11" s="379"/>
      <c r="P11" s="376" t="str">
        <f aca="false">VLOOKUP(N10,'imp-answers'!$A$2:$I$50,3,FALSE())</f>
        <v>Yes, for some of the metrics</v>
      </c>
      <c r="Q11" s="376" t="n">
        <f aca="false">VLOOKUP(N10,'imp-answers'!$A$2:$I$50,7,FALSE())</f>
        <v>0.25</v>
      </c>
    </row>
    <row r="12" customFormat="false" ht="12.75" hidden="false" customHeight="false" outlineLevel="0" collapsed="false">
      <c r="H12" s="373"/>
      <c r="I12" s="382" t="s">
        <v>207</v>
      </c>
      <c r="J12" s="169" t="s">
        <v>208</v>
      </c>
      <c r="K12" s="0" t="n">
        <v>1</v>
      </c>
      <c r="M12" s="375"/>
      <c r="N12" s="375"/>
      <c r="O12" s="381"/>
      <c r="P12" s="376" t="str">
        <f aca="false">VLOOKUP(N10,'imp-answers'!$A$2:$I$50,4,FALSE())</f>
        <v>Yes, for at least half of the metrics</v>
      </c>
      <c r="Q12" s="376" t="n">
        <f aca="false">VLOOKUP(N10,'imp-answers'!$A$2:$I$50,8,FALSE())</f>
        <v>0.5</v>
      </c>
    </row>
    <row r="13" customFormat="false" ht="12.75" hidden="false" customHeight="false" outlineLevel="0" collapsed="false">
      <c r="M13" s="375"/>
      <c r="N13" s="375"/>
      <c r="O13" s="380"/>
      <c r="P13" s="376" t="str">
        <f aca="false">VLOOKUP(N10,'imp-answers'!$A$2:$I$50,5,FALSE())</f>
        <v>Yes, for most or all of the metrics</v>
      </c>
      <c r="Q13" s="376" t="n">
        <f aca="false">VLOOKUP(N10,'imp-answers'!$A$2:$I$50,9,FALSE())</f>
        <v>1</v>
      </c>
    </row>
    <row r="14" customFormat="false" ht="12.75" hidden="false" customHeight="false" outlineLevel="0" collapsed="false">
      <c r="H14" s="373" t="s">
        <v>209</v>
      </c>
      <c r="I14" s="384" t="s">
        <v>210</v>
      </c>
      <c r="J14" s="169" t="s">
        <v>195</v>
      </c>
      <c r="K14" s="0" t="n">
        <v>0</v>
      </c>
      <c r="M14" s="375"/>
      <c r="N14" s="375"/>
      <c r="O14" s="383"/>
    </row>
    <row r="15" customFormat="false" ht="12.75" hidden="false" customHeight="false" outlineLevel="0" collapsed="false">
      <c r="H15" s="373"/>
      <c r="I15" s="379" t="s">
        <v>211</v>
      </c>
      <c r="J15" s="169" t="s">
        <v>212</v>
      </c>
      <c r="K15" s="0" t="n">
        <v>0.2</v>
      </c>
    </row>
    <row r="16" customFormat="false" ht="12.75" hidden="false" customHeight="false" outlineLevel="0" collapsed="false">
      <c r="H16" s="373"/>
      <c r="I16" s="380" t="s">
        <v>213</v>
      </c>
      <c r="J16" s="169" t="s">
        <v>214</v>
      </c>
      <c r="K16" s="0" t="n">
        <v>0.5</v>
      </c>
      <c r="M16" s="375" t="str">
        <f aca="false">CHAR(65+N16)</f>
        <v>C</v>
      </c>
      <c r="N16" s="375" t="n">
        <v>2</v>
      </c>
      <c r="O16" s="374"/>
      <c r="P16" s="376" t="str">
        <f aca="false">VLOOKUP(N16,'imp-answers'!$A$2:$I$50,2,FALSE())</f>
        <v>No</v>
      </c>
      <c r="Q16" s="376" t="n">
        <f aca="false">VLOOKUP(N16,'imp-answers'!$A$2:$I$50,6,FALSE())</f>
        <v>0</v>
      </c>
    </row>
    <row r="17" customFormat="false" ht="12.75" hidden="false" customHeight="false" outlineLevel="0" collapsed="false">
      <c r="H17" s="373"/>
      <c r="I17" s="382" t="s">
        <v>215</v>
      </c>
      <c r="J17" s="169" t="s">
        <v>216</v>
      </c>
      <c r="K17" s="0" t="n">
        <v>1</v>
      </c>
      <c r="M17" s="375"/>
      <c r="N17" s="375"/>
      <c r="O17" s="379"/>
      <c r="P17" s="376" t="str">
        <f aca="false">VLOOKUP(N16,'imp-answers'!$A$2:$I$50,3,FALSE())</f>
        <v>Yes, some of them</v>
      </c>
      <c r="Q17" s="376" t="n">
        <f aca="false">VLOOKUP(N16,'imp-answers'!$A$2:$I$50,7,FALSE())</f>
        <v>0.25</v>
      </c>
    </row>
    <row r="18" customFormat="false" ht="12.75" hidden="false" customHeight="false" outlineLevel="0" collapsed="false">
      <c r="M18" s="375"/>
      <c r="N18" s="375"/>
      <c r="O18" s="381"/>
      <c r="P18" s="376" t="str">
        <f aca="false">VLOOKUP(N16,'imp-answers'!$A$2:$I$50,4,FALSE())</f>
        <v>Yes, at least half of them</v>
      </c>
      <c r="Q18" s="376" t="n">
        <f aca="false">VLOOKUP(N16,'imp-answers'!$A$2:$I$50,8,FALSE())</f>
        <v>0.5</v>
      </c>
    </row>
    <row r="19" customFormat="false" ht="12.75" hidden="false" customHeight="false" outlineLevel="0" collapsed="false">
      <c r="H19" s="373" t="s">
        <v>217</v>
      </c>
      <c r="I19" s="384" t="s">
        <v>218</v>
      </c>
      <c r="J19" s="169" t="s">
        <v>195</v>
      </c>
      <c r="K19" s="0" t="n">
        <v>0</v>
      </c>
      <c r="M19" s="375"/>
      <c r="N19" s="375"/>
      <c r="O19" s="380"/>
      <c r="P19" s="376" t="str">
        <f aca="false">VLOOKUP(N16,'imp-answers'!$A$2:$I$50,5,FALSE())</f>
        <v>Yes, most or all of them</v>
      </c>
      <c r="Q19" s="376" t="n">
        <f aca="false">VLOOKUP(N16,'imp-answers'!$A$2:$I$50,9,FALSE())</f>
        <v>1</v>
      </c>
    </row>
    <row r="20" customFormat="false" ht="12.75" hidden="false" customHeight="false" outlineLevel="0" collapsed="false">
      <c r="H20" s="373"/>
      <c r="I20" s="379" t="n">
        <v>13</v>
      </c>
      <c r="J20" s="169" t="s">
        <v>219</v>
      </c>
      <c r="K20" s="0" t="n">
        <v>0.2</v>
      </c>
      <c r="M20" s="375"/>
      <c r="N20" s="375"/>
      <c r="O20" s="383"/>
    </row>
    <row r="21" customFormat="false" ht="12.75" hidden="false" customHeight="false" outlineLevel="0" collapsed="false">
      <c r="H21" s="373"/>
      <c r="I21" s="380"/>
      <c r="J21" s="169" t="s">
        <v>220</v>
      </c>
      <c r="K21" s="0" t="n">
        <v>0.5</v>
      </c>
    </row>
    <row r="22" customFormat="false" ht="12.75" hidden="false" customHeight="false" outlineLevel="0" collapsed="false">
      <c r="H22" s="373"/>
      <c r="I22" s="382" t="n">
        <v>18</v>
      </c>
      <c r="J22" s="169" t="s">
        <v>221</v>
      </c>
      <c r="K22" s="0" t="n">
        <v>1</v>
      </c>
      <c r="M22" s="375" t="str">
        <f aca="false">CHAR(65+N22)</f>
        <v>D</v>
      </c>
      <c r="N22" s="375" t="n">
        <v>3</v>
      </c>
      <c r="O22" s="374"/>
      <c r="P22" s="376" t="str">
        <f aca="false">VLOOKUP(N22,'imp-answers'!$A$2:$I$50,2,FALSE())</f>
        <v>No</v>
      </c>
      <c r="Q22" s="376" t="n">
        <f aca="false">VLOOKUP(N22,'imp-answers'!$A$2:$I$50,6,FALSE())</f>
        <v>0</v>
      </c>
    </row>
    <row r="23" customFormat="false" ht="12.75" hidden="false" customHeight="false" outlineLevel="0" collapsed="false">
      <c r="M23" s="375"/>
      <c r="N23" s="375"/>
      <c r="O23" s="379"/>
      <c r="P23" s="376" t="str">
        <f aca="false">VLOOKUP(N22,'imp-answers'!$A$2:$I$50,3,FALSE())</f>
        <v>Yes, for some obligations</v>
      </c>
      <c r="Q23" s="376" t="n">
        <f aca="false">VLOOKUP(N22,'imp-answers'!$A$2:$I$50,7,FALSE())</f>
        <v>0.25</v>
      </c>
    </row>
    <row r="24" customFormat="false" ht="12.75" hidden="false" customHeight="false" outlineLevel="0" collapsed="false">
      <c r="H24" s="373" t="s">
        <v>222</v>
      </c>
      <c r="I24" s="384" t="n">
        <v>10</v>
      </c>
      <c r="J24" s="169" t="s">
        <v>195</v>
      </c>
      <c r="K24" s="0" t="n">
        <v>0</v>
      </c>
      <c r="M24" s="375"/>
      <c r="N24" s="375"/>
      <c r="O24" s="381"/>
      <c r="P24" s="376" t="str">
        <f aca="false">VLOOKUP(N22,'imp-answers'!$A$2:$I$50,4,FALSE())</f>
        <v>Yes, for at least half of the obligations</v>
      </c>
      <c r="Q24" s="376" t="n">
        <f aca="false">VLOOKUP(N22,'imp-answers'!$A$2:$I$50,8,FALSE())</f>
        <v>0.5</v>
      </c>
    </row>
    <row r="25" customFormat="false" ht="12.75" hidden="false" customHeight="false" outlineLevel="0" collapsed="false">
      <c r="H25" s="373"/>
      <c r="I25" s="379"/>
      <c r="J25" s="169" t="s">
        <v>223</v>
      </c>
      <c r="K25" s="0" t="n">
        <v>1</v>
      </c>
      <c r="M25" s="375"/>
      <c r="N25" s="375"/>
      <c r="O25" s="380"/>
      <c r="P25" s="376" t="str">
        <f aca="false">VLOOKUP(N22,'imp-answers'!$A$2:$I$50,5,FALSE())</f>
        <v>Yes, for most or all of the obligations</v>
      </c>
      <c r="Q25" s="376" t="n">
        <f aca="false">VLOOKUP(N22,'imp-answers'!$A$2:$I$50,9,FALSE())</f>
        <v>1</v>
      </c>
    </row>
    <row r="26" customFormat="false" ht="12.75" hidden="false" customHeight="false" outlineLevel="0" collapsed="false">
      <c r="H26" s="373"/>
      <c r="I26" s="380"/>
      <c r="J26" s="169" t="s">
        <v>224</v>
      </c>
      <c r="K26" s="0" t="n">
        <v>0.5</v>
      </c>
      <c r="M26" s="375"/>
      <c r="N26" s="375"/>
      <c r="O26" s="383"/>
    </row>
    <row r="27" customFormat="false" ht="12.75" hidden="false" customHeight="false" outlineLevel="0" collapsed="false">
      <c r="H27" s="373"/>
      <c r="I27" s="382" t="n">
        <v>19</v>
      </c>
      <c r="J27" s="169" t="s">
        <v>193</v>
      </c>
      <c r="K27" s="0" t="n">
        <v>1</v>
      </c>
    </row>
    <row r="28" customFormat="false" ht="12.75" hidden="false" customHeight="false" outlineLevel="0" collapsed="false">
      <c r="M28" s="375" t="str">
        <f aca="false">CHAR(65+N28)</f>
        <v>E</v>
      </c>
      <c r="N28" s="375" t="n">
        <v>4</v>
      </c>
      <c r="O28" s="374"/>
      <c r="P28" s="376" t="str">
        <f aca="false">VLOOKUP(N28,'imp-answers'!$A$2:$I$50,2,FALSE())</f>
        <v>No</v>
      </c>
      <c r="Q28" s="376" t="n">
        <f aca="false">VLOOKUP(N28,'imp-answers'!$A$2:$I$50,6,FALSE())</f>
        <v>0</v>
      </c>
    </row>
    <row r="29" customFormat="false" ht="12.75" hidden="false" customHeight="false" outlineLevel="0" collapsed="false">
      <c r="H29" s="373" t="s">
        <v>225</v>
      </c>
      <c r="I29" s="384" t="s">
        <v>226</v>
      </c>
      <c r="J29" s="169" t="s">
        <v>195</v>
      </c>
      <c r="K29" s="0" t="n">
        <v>0</v>
      </c>
      <c r="M29" s="375"/>
      <c r="N29" s="375"/>
      <c r="O29" s="379"/>
      <c r="P29" s="376" t="str">
        <f aca="false">VLOOKUP(N28,'imp-answers'!$A$2:$I$50,3,FALSE())</f>
        <v>Yes, but reporting is ad-hoc</v>
      </c>
      <c r="Q29" s="376" t="n">
        <f aca="false">VLOOKUP(N28,'imp-answers'!$A$2:$I$50,7,FALSE())</f>
        <v>0.25</v>
      </c>
    </row>
    <row r="30" customFormat="false" ht="12.75" hidden="false" customHeight="false" outlineLevel="0" collapsed="false">
      <c r="H30" s="373"/>
      <c r="I30" s="379" t="s">
        <v>227</v>
      </c>
      <c r="J30" s="169" t="s">
        <v>228</v>
      </c>
      <c r="K30" s="0" t="n">
        <v>0.2</v>
      </c>
      <c r="M30" s="375"/>
      <c r="N30" s="375"/>
      <c r="O30" s="381"/>
      <c r="P30" s="376" t="str">
        <f aca="false">VLOOKUP(N28,'imp-answers'!$A$2:$I$50,4,FALSE())</f>
        <v>Yes, we report at regular times</v>
      </c>
      <c r="Q30" s="376" t="n">
        <f aca="false">VLOOKUP(N28,'imp-answers'!$A$2:$I$50,8,FALSE())</f>
        <v>0.5</v>
      </c>
    </row>
    <row r="31" customFormat="false" ht="12.75" hidden="false" customHeight="false" outlineLevel="0" collapsed="false">
      <c r="H31" s="373"/>
      <c r="I31" s="380"/>
      <c r="J31" s="169" t="s">
        <v>229</v>
      </c>
      <c r="K31" s="0" t="n">
        <v>0.5</v>
      </c>
      <c r="M31" s="375"/>
      <c r="N31" s="375"/>
      <c r="O31" s="380"/>
      <c r="P31" s="376" t="str">
        <f aca="false">VLOOKUP(N28,'imp-answers'!$A$2:$I$50,5,FALSE())</f>
        <v>Yes, we report at least annually</v>
      </c>
      <c r="Q31" s="376" t="n">
        <f aca="false">VLOOKUP(N28,'imp-answers'!$A$2:$I$50,9,FALSE())</f>
        <v>1</v>
      </c>
    </row>
    <row r="32" customFormat="false" ht="12.75" hidden="false" customHeight="false" outlineLevel="0" collapsed="false">
      <c r="H32" s="373"/>
      <c r="I32" s="382"/>
      <c r="J32" s="169" t="s">
        <v>230</v>
      </c>
      <c r="K32" s="0" t="n">
        <v>1</v>
      </c>
      <c r="M32" s="375"/>
      <c r="N32" s="375"/>
      <c r="O32" s="383"/>
    </row>
    <row r="34" customFormat="false" ht="12.75" hidden="false" customHeight="false" outlineLevel="0" collapsed="false">
      <c r="H34" s="373" t="s">
        <v>231</v>
      </c>
      <c r="I34" s="384"/>
      <c r="J34" s="169" t="s">
        <v>195</v>
      </c>
      <c r="K34" s="0" t="n">
        <v>0</v>
      </c>
      <c r="M34" s="375" t="str">
        <f aca="false">CHAR(65+N34)</f>
        <v>F</v>
      </c>
      <c r="N34" s="375" t="n">
        <v>5</v>
      </c>
      <c r="O34" s="374"/>
      <c r="P34" s="376" t="str">
        <f aca="false">VLOOKUP(N34,'imp-answers'!$A$2:$I$50,2,FALSE())</f>
        <v>No</v>
      </c>
      <c r="Q34" s="376" t="n">
        <f aca="false">VLOOKUP(N34,'imp-answers'!$A$2:$I$50,6,FALSE())</f>
        <v>0</v>
      </c>
    </row>
    <row r="35" customFormat="false" ht="12.75" hidden="false" customHeight="false" outlineLevel="0" collapsed="false">
      <c r="H35" s="373"/>
      <c r="I35" s="379" t="s">
        <v>232</v>
      </c>
      <c r="J35" s="169" t="s">
        <v>233</v>
      </c>
      <c r="K35" s="0" t="n">
        <v>0.2</v>
      </c>
      <c r="M35" s="375"/>
      <c r="N35" s="375"/>
      <c r="O35" s="379"/>
      <c r="P35" s="376" t="str">
        <f aca="false">VLOOKUP(N34,'imp-answers'!$A$2:$I$50,3,FALSE())</f>
        <v>Yes, for some applications</v>
      </c>
      <c r="Q35" s="376" t="n">
        <f aca="false">VLOOKUP(N34,'imp-answers'!$A$2:$I$50,7,FALSE())</f>
        <v>0.25</v>
      </c>
    </row>
    <row r="36" customFormat="false" ht="12.75" hidden="false" customHeight="false" outlineLevel="0" collapsed="false">
      <c r="H36" s="373"/>
      <c r="I36" s="380" t="s">
        <v>234</v>
      </c>
      <c r="J36" s="169" t="s">
        <v>235</v>
      </c>
      <c r="K36" s="0" t="n">
        <v>0.5</v>
      </c>
      <c r="M36" s="375"/>
      <c r="N36" s="375"/>
      <c r="O36" s="381"/>
      <c r="P36" s="376" t="str">
        <f aca="false">VLOOKUP(N34,'imp-answers'!$A$2:$I$50,4,FALSE())</f>
        <v>Yes, for at least half of the applications</v>
      </c>
      <c r="Q36" s="376" t="n">
        <f aca="false">VLOOKUP(N34,'imp-answers'!$A$2:$I$50,8,FALSE())</f>
        <v>0.5</v>
      </c>
    </row>
    <row r="37" customFormat="false" ht="12.75" hidden="false" customHeight="false" outlineLevel="0" collapsed="false">
      <c r="H37" s="373"/>
      <c r="I37" s="382" t="s">
        <v>236</v>
      </c>
      <c r="J37" s="169" t="s">
        <v>237</v>
      </c>
      <c r="K37" s="0" t="n">
        <v>1</v>
      </c>
      <c r="M37" s="375"/>
      <c r="N37" s="375"/>
      <c r="O37" s="380"/>
      <c r="P37" s="376" t="str">
        <f aca="false">VLOOKUP(N34,'imp-answers'!$A$2:$I$50,5,FALSE())</f>
        <v>Yes, for most or all of the applications</v>
      </c>
      <c r="Q37" s="376" t="n">
        <f aca="false">VLOOKUP(N34,'imp-answers'!$A$2:$I$50,9,FALSE())</f>
        <v>1</v>
      </c>
    </row>
    <row r="38" customFormat="false" ht="12.75" hidden="false" customHeight="false" outlineLevel="0" collapsed="false">
      <c r="M38" s="375"/>
      <c r="N38" s="375"/>
      <c r="O38" s="383"/>
    </row>
    <row r="39" customFormat="false" ht="12.75" hidden="false" customHeight="false" outlineLevel="0" collapsed="false">
      <c r="H39" s="373" t="s">
        <v>238</v>
      </c>
      <c r="I39" s="384"/>
    </row>
    <row r="40" customFormat="false" ht="12.75" hidden="false" customHeight="false" outlineLevel="0" collapsed="false">
      <c r="H40" s="373"/>
      <c r="I40" s="379"/>
      <c r="M40" s="375" t="str">
        <f aca="false">CHAR(65+N40)</f>
        <v>G</v>
      </c>
      <c r="N40" s="375" t="n">
        <v>6</v>
      </c>
      <c r="O40" s="374"/>
      <c r="P40" s="376" t="str">
        <f aca="false">VLOOKUP(N40,'imp-answers'!$A$2:$I$50,2,FALSE())</f>
        <v>No</v>
      </c>
      <c r="Q40" s="376" t="n">
        <f aca="false">VLOOKUP(N40,'imp-answers'!$A$2:$I$50,6,FALSE())</f>
        <v>0</v>
      </c>
    </row>
    <row r="41" customFormat="false" ht="12.75" hidden="false" customHeight="false" outlineLevel="0" collapsed="false">
      <c r="H41" s="373"/>
      <c r="I41" s="380"/>
      <c r="M41" s="375"/>
      <c r="N41" s="375"/>
      <c r="O41" s="379"/>
      <c r="P41" s="376" t="str">
        <f aca="false">VLOOKUP(N40,'imp-answers'!$A$2:$I$50,3,FALSE())</f>
        <v>Yes, sporadically</v>
      </c>
      <c r="Q41" s="376" t="n">
        <f aca="false">VLOOKUP(N40,'imp-answers'!$A$2:$I$50,7,FALSE())</f>
        <v>0.25</v>
      </c>
    </row>
    <row r="42" customFormat="false" ht="12.75" hidden="false" customHeight="false" outlineLevel="0" collapsed="false">
      <c r="H42" s="373"/>
      <c r="I42" s="382"/>
      <c r="M42" s="375"/>
      <c r="N42" s="375"/>
      <c r="O42" s="381"/>
      <c r="P42" s="376" t="str">
        <f aca="false">VLOOKUP(N40,'imp-answers'!$A$2:$I$50,4,FALSE())</f>
        <v>Yes, upon change of the application</v>
      </c>
      <c r="Q42" s="376" t="n">
        <f aca="false">VLOOKUP(N40,'imp-answers'!$A$2:$I$50,8,FALSE())</f>
        <v>0.5</v>
      </c>
    </row>
    <row r="43" customFormat="false" ht="12.75" hidden="false" customHeight="false" outlineLevel="0" collapsed="false">
      <c r="M43" s="375"/>
      <c r="N43" s="375"/>
      <c r="O43" s="380"/>
      <c r="P43" s="376" t="str">
        <f aca="false">VLOOKUP(N40,'imp-answers'!$A$2:$I$50,5,FALSE())</f>
        <v>Yes, at least annually</v>
      </c>
      <c r="Q43" s="376" t="n">
        <f aca="false">VLOOKUP(N40,'imp-answers'!$A$2:$I$50,9,FALSE())</f>
        <v>1</v>
      </c>
    </row>
    <row r="44" customFormat="false" ht="12.75" hidden="false" customHeight="false" outlineLevel="0" collapsed="false">
      <c r="M44" s="375"/>
      <c r="N44" s="375"/>
      <c r="O44" s="383"/>
    </row>
    <row r="46" customFormat="false" ht="12.75" hidden="false" customHeight="false" outlineLevel="0" collapsed="false">
      <c r="M46" s="375" t="str">
        <f aca="false">CHAR(65+N46)</f>
        <v>H</v>
      </c>
      <c r="N46" s="375" t="n">
        <v>7</v>
      </c>
      <c r="O46" s="374"/>
      <c r="P46" s="376" t="str">
        <f aca="false">VLOOKUP(N46,'imp-answers'!$A$2:$I$50,2,FALSE())</f>
        <v>No</v>
      </c>
      <c r="Q46" s="376" t="n">
        <f aca="false">VLOOKUP(N46,'imp-answers'!$A$2:$I$50,6,FALSE())</f>
        <v>0</v>
      </c>
    </row>
    <row r="47" customFormat="false" ht="12.75" hidden="false" customHeight="false" outlineLevel="0" collapsed="false">
      <c r="M47" s="375"/>
      <c r="N47" s="375"/>
      <c r="O47" s="379"/>
      <c r="P47" s="376" t="str">
        <f aca="false">VLOOKUP(N46,'imp-answers'!$A$2:$I$50,3,FALSE())</f>
        <v>Yes, some of the time</v>
      </c>
      <c r="Q47" s="376" t="n">
        <f aca="false">VLOOKUP(N46,'imp-answers'!$A$2:$I$50,7,FALSE())</f>
        <v>0.25</v>
      </c>
    </row>
    <row r="48" customFormat="false" ht="12.75" hidden="false" customHeight="false" outlineLevel="0" collapsed="false">
      <c r="M48" s="375"/>
      <c r="N48" s="375"/>
      <c r="O48" s="381"/>
      <c r="P48" s="376" t="str">
        <f aca="false">VLOOKUP(N46,'imp-answers'!$A$2:$I$50,4,FALSE())</f>
        <v>Yes, at least half of the time</v>
      </c>
      <c r="Q48" s="376" t="n">
        <f aca="false">VLOOKUP(N46,'imp-answers'!$A$2:$I$50,8,FALSE())</f>
        <v>0.5</v>
      </c>
    </row>
    <row r="49" customFormat="false" ht="12.75" hidden="false" customHeight="false" outlineLevel="0" collapsed="false">
      <c r="M49" s="375"/>
      <c r="N49" s="375"/>
      <c r="O49" s="380"/>
      <c r="P49" s="376" t="str">
        <f aca="false">VLOOKUP(N46,'imp-answers'!$A$2:$I$50,5,FALSE())</f>
        <v>Yes, most or all of the time</v>
      </c>
      <c r="Q49" s="376" t="n">
        <f aca="false">VLOOKUP(N46,'imp-answers'!$A$2:$I$50,9,FALSE())</f>
        <v>1</v>
      </c>
    </row>
    <row r="50" customFormat="false" ht="12.75" hidden="false" customHeight="false" outlineLevel="0" collapsed="false">
      <c r="M50" s="375"/>
      <c r="N50" s="375"/>
      <c r="O50" s="383"/>
    </row>
    <row r="52" customFormat="false" ht="12.75" hidden="false" customHeight="false" outlineLevel="0" collapsed="false">
      <c r="M52" s="375" t="str">
        <f aca="false">CHAR(65+N52)</f>
        <v>I</v>
      </c>
      <c r="N52" s="375" t="n">
        <v>8</v>
      </c>
      <c r="O52" s="374"/>
      <c r="P52" s="376" t="str">
        <f aca="false">VLOOKUP(N52,'imp-answers'!$A$2:$I$50,2,FALSE())</f>
        <v>No</v>
      </c>
      <c r="Q52" s="376" t="n">
        <f aca="false">VLOOKUP(N52,'imp-answers'!$A$2:$I$50,6,FALSE())</f>
        <v>0</v>
      </c>
    </row>
    <row r="53" customFormat="false" ht="12.75" hidden="false" customHeight="false" outlineLevel="0" collapsed="false">
      <c r="M53" s="375"/>
      <c r="N53" s="375"/>
      <c r="O53" s="379"/>
      <c r="P53" s="376" t="str">
        <f aca="false">VLOOKUP(N52,'imp-answers'!$A$2:$I$50,3,FALSE())</f>
        <v>Yes, for some of the training</v>
      </c>
      <c r="Q53" s="376" t="n">
        <f aca="false">VLOOKUP(N52,'imp-answers'!$A$2:$I$50,7,FALSE())</f>
        <v>0.25</v>
      </c>
    </row>
    <row r="54" customFormat="false" ht="12.75" hidden="false" customHeight="false" outlineLevel="0" collapsed="false">
      <c r="M54" s="375"/>
      <c r="N54" s="375"/>
      <c r="O54" s="381"/>
      <c r="P54" s="376" t="str">
        <f aca="false">VLOOKUP(N52,'imp-answers'!$A$2:$I$50,4,FALSE())</f>
        <v>Yes, for at least half of the training</v>
      </c>
      <c r="Q54" s="376" t="n">
        <f aca="false">VLOOKUP(N52,'imp-answers'!$A$2:$I$50,8,FALSE())</f>
        <v>0.5</v>
      </c>
    </row>
    <row r="55" customFormat="false" ht="12.75" hidden="false" customHeight="false" outlineLevel="0" collapsed="false">
      <c r="M55" s="375"/>
      <c r="N55" s="375"/>
      <c r="O55" s="380"/>
      <c r="P55" s="376" t="str">
        <f aca="false">VLOOKUP(N52,'imp-answers'!$A$2:$I$50,5,FALSE())</f>
        <v>Yes, for most or all of the training</v>
      </c>
      <c r="Q55" s="376" t="n">
        <f aca="false">VLOOKUP(N52,'imp-answers'!$A$2:$I$50,9,FALSE())</f>
        <v>1</v>
      </c>
    </row>
    <row r="56" customFormat="false" ht="12.75" hidden="false" customHeight="false" outlineLevel="0" collapsed="false">
      <c r="M56" s="375"/>
      <c r="N56" s="375"/>
      <c r="O56" s="383"/>
    </row>
    <row r="58" customFormat="false" ht="12.75" hidden="false" customHeight="false" outlineLevel="0" collapsed="false">
      <c r="M58" s="375" t="str">
        <f aca="false">CHAR(65+N58)</f>
        <v>J</v>
      </c>
      <c r="N58" s="375" t="n">
        <v>9</v>
      </c>
      <c r="O58" s="374"/>
      <c r="P58" s="376" t="str">
        <f aca="false">VLOOKUP(N58,'imp-answers'!$A$2:$I$50,2,FALSE())</f>
        <v>No</v>
      </c>
      <c r="Q58" s="376" t="n">
        <f aca="false">VLOOKUP(N58,'imp-answers'!$A$2:$I$50,6,FALSE())</f>
        <v>0</v>
      </c>
    </row>
    <row r="59" customFormat="false" ht="12.75" hidden="false" customHeight="false" outlineLevel="0" collapsed="false">
      <c r="M59" s="375"/>
      <c r="N59" s="375"/>
      <c r="O59" s="379"/>
      <c r="P59" s="376" t="str">
        <f aca="false">VLOOKUP(N58,'imp-answers'!$A$2:$I$50,3,FALSE())</f>
        <v>Yes, for some of the policies and standards</v>
      </c>
      <c r="Q59" s="376" t="n">
        <f aca="false">VLOOKUP(N58,'imp-answers'!$A$2:$I$50,7,FALSE())</f>
        <v>0.25</v>
      </c>
    </row>
    <row r="60" customFormat="false" ht="12.75" hidden="false" customHeight="false" outlineLevel="0" collapsed="false">
      <c r="M60" s="375"/>
      <c r="N60" s="375"/>
      <c r="O60" s="381"/>
      <c r="P60" s="376" t="str">
        <f aca="false">VLOOKUP(N58,'imp-answers'!$A$2:$I$50,4,FALSE())</f>
        <v>Yes, for at least half of the policies and standards</v>
      </c>
      <c r="Q60" s="376" t="n">
        <f aca="false">VLOOKUP(N58,'imp-answers'!$A$2:$I$50,8,FALSE())</f>
        <v>0.5</v>
      </c>
    </row>
    <row r="61" customFormat="false" ht="12.75" hidden="false" customHeight="false" outlineLevel="0" collapsed="false">
      <c r="M61" s="375"/>
      <c r="N61" s="375"/>
      <c r="O61" s="380"/>
      <c r="P61" s="376" t="str">
        <f aca="false">VLOOKUP(N58,'imp-answers'!$A$2:$I$50,5,FALSE())</f>
        <v>Yes, for most or all of the policies and standards</v>
      </c>
      <c r="Q61" s="376" t="n">
        <f aca="false">VLOOKUP(N58,'imp-answers'!$A$2:$I$50,9,FALSE())</f>
        <v>1</v>
      </c>
    </row>
    <row r="62" customFormat="false" ht="12.75" hidden="false" customHeight="false" outlineLevel="0" collapsed="false">
      <c r="M62" s="375"/>
      <c r="N62" s="375"/>
      <c r="O62" s="383"/>
    </row>
    <row r="64" customFormat="false" ht="12.75" hidden="false" customHeight="false" outlineLevel="0" collapsed="false">
      <c r="M64" s="375" t="str">
        <f aca="false">CHAR(65+N64)</f>
        <v>K</v>
      </c>
      <c r="N64" s="375" t="n">
        <v>10</v>
      </c>
      <c r="O64" s="374"/>
      <c r="P64" s="376" t="str">
        <f aca="false">VLOOKUP(N64,'imp-answers'!$A$2:$I$50,2,FALSE())</f>
        <v>No</v>
      </c>
      <c r="Q64" s="376" t="n">
        <f aca="false">VLOOKUP(N64,'imp-answers'!$A$2:$I$50,6,FALSE())</f>
        <v>0</v>
      </c>
    </row>
    <row r="65" customFormat="false" ht="12.75" hidden="false" customHeight="false" outlineLevel="0" collapsed="false">
      <c r="M65" s="375"/>
      <c r="N65" s="375"/>
      <c r="O65" s="379"/>
      <c r="P65" s="376" t="str">
        <f aca="false">VLOOKUP(N64,'imp-answers'!$A$2:$I$50,3,FALSE())</f>
        <v>Yes, for one metrics category</v>
      </c>
      <c r="Q65" s="376" t="n">
        <f aca="false">VLOOKUP(N64,'imp-answers'!$A$2:$I$50,7,FALSE())</f>
        <v>0.25</v>
      </c>
    </row>
    <row r="66" customFormat="false" ht="12.75" hidden="false" customHeight="false" outlineLevel="0" collapsed="false">
      <c r="M66" s="375"/>
      <c r="N66" s="375"/>
      <c r="O66" s="381"/>
      <c r="P66" s="376" t="str">
        <f aca="false">VLOOKUP(N64,'imp-answers'!$A$2:$I$50,4,FALSE())</f>
        <v>Yes, for two metrics categories</v>
      </c>
      <c r="Q66" s="376" t="n">
        <f aca="false">VLOOKUP(N64,'imp-answers'!$A$2:$I$50,8,FALSE())</f>
        <v>0.5</v>
      </c>
    </row>
    <row r="67" customFormat="false" ht="12.75" hidden="false" customHeight="false" outlineLevel="0" collapsed="false">
      <c r="M67" s="375"/>
      <c r="N67" s="375"/>
      <c r="O67" s="380"/>
      <c r="P67" s="376" t="str">
        <f aca="false">VLOOKUP(N64,'imp-answers'!$A$2:$I$50,5,FALSE())</f>
        <v>Yes, for all three metrics categories</v>
      </c>
      <c r="Q67" s="376" t="n">
        <f aca="false">VLOOKUP(N64,'imp-answers'!$A$2:$I$50,9,FALSE())</f>
        <v>1</v>
      </c>
    </row>
    <row r="68" customFormat="false" ht="12.75" hidden="false" customHeight="false" outlineLevel="0" collapsed="false">
      <c r="M68" s="375"/>
      <c r="N68" s="375"/>
      <c r="O68" s="383"/>
    </row>
    <row r="70" customFormat="false" ht="12.75" hidden="false" customHeight="false" outlineLevel="0" collapsed="false">
      <c r="M70" s="375" t="str">
        <f aca="false">CHAR(65+N70)</f>
        <v>L</v>
      </c>
      <c r="N70" s="375" t="n">
        <v>11</v>
      </c>
      <c r="O70" s="374"/>
      <c r="P70" s="376" t="str">
        <f aca="false">VLOOKUP(N70,'imp-answers'!$A$2:$I$50,2,FALSE())</f>
        <v>No</v>
      </c>
      <c r="Q70" s="376" t="n">
        <f aca="false">VLOOKUP(N70,'imp-answers'!$A$2:$I$50,6,FALSE())</f>
        <v>0</v>
      </c>
    </row>
    <row r="71" customFormat="false" ht="12.75" hidden="false" customHeight="false" outlineLevel="0" collapsed="false">
      <c r="M71" s="375"/>
      <c r="N71" s="375"/>
      <c r="O71" s="379"/>
      <c r="P71" s="376" t="str">
        <f aca="false">VLOOKUP(N70,'imp-answers'!$A$2:$I$50,3,FALSE())</f>
        <v>Yes, we started implementing it</v>
      </c>
      <c r="Q71" s="376" t="n">
        <f aca="false">VLOOKUP(N70,'imp-answers'!$A$2:$I$50,7,FALSE())</f>
        <v>0.25</v>
      </c>
    </row>
    <row r="72" customFormat="false" ht="12.75" hidden="false" customHeight="false" outlineLevel="0" collapsed="false">
      <c r="M72" s="375"/>
      <c r="N72" s="375"/>
      <c r="O72" s="381"/>
      <c r="P72" s="376" t="str">
        <f aca="false">VLOOKUP(N70,'imp-answers'!$A$2:$I$50,4,FALSE())</f>
        <v>Yes, for part of the organization</v>
      </c>
      <c r="Q72" s="376" t="n">
        <f aca="false">VLOOKUP(N70,'imp-answers'!$A$2:$I$50,8,FALSE())</f>
        <v>0.5</v>
      </c>
    </row>
    <row r="73" customFormat="false" ht="12.75" hidden="false" customHeight="false" outlineLevel="0" collapsed="false">
      <c r="M73" s="375"/>
      <c r="N73" s="375"/>
      <c r="O73" s="380"/>
      <c r="P73" s="376" t="str">
        <f aca="false">VLOOKUP(N70,'imp-answers'!$A$2:$I$50,5,FALSE())</f>
        <v>Yes, for the entire organization</v>
      </c>
      <c r="Q73" s="376" t="n">
        <f aca="false">VLOOKUP(N70,'imp-answers'!$A$2:$I$50,9,FALSE())</f>
        <v>1</v>
      </c>
    </row>
    <row r="74" customFormat="false" ht="12.75" hidden="false" customHeight="false" outlineLevel="0" collapsed="false">
      <c r="M74" s="375"/>
      <c r="N74" s="375"/>
      <c r="O74" s="383"/>
    </row>
    <row r="76" customFormat="false" ht="12.75" hidden="false" customHeight="false" outlineLevel="0" collapsed="false">
      <c r="M76" s="375" t="str">
        <f aca="false">CHAR(65+N76)</f>
        <v>M</v>
      </c>
      <c r="N76" s="375" t="n">
        <v>12</v>
      </c>
      <c r="O76" s="374"/>
      <c r="P76" s="376" t="str">
        <f aca="false">VLOOKUP(N76,'imp-answers'!$A$2:$I$50,2,FALSE())</f>
        <v>No</v>
      </c>
      <c r="Q76" s="376" t="n">
        <f aca="false">VLOOKUP(N76,'imp-answers'!$A$2:$I$50,6,FALSE())</f>
        <v>0</v>
      </c>
    </row>
    <row r="77" customFormat="false" ht="12.75" hidden="false" customHeight="false" outlineLevel="0" collapsed="false">
      <c r="M77" s="375"/>
      <c r="N77" s="375"/>
      <c r="O77" s="379"/>
      <c r="P77" s="376" t="str">
        <f aca="false">VLOOKUP(N76,'imp-answers'!$A$2:$I$50,3,FALSE())</f>
        <v>Yes, for some components</v>
      </c>
      <c r="Q77" s="376" t="n">
        <f aca="false">VLOOKUP(N76,'imp-answers'!$A$2:$I$50,7,FALSE())</f>
        <v>0.25</v>
      </c>
    </row>
    <row r="78" customFormat="false" ht="12.75" hidden="false" customHeight="false" outlineLevel="0" collapsed="false">
      <c r="M78" s="375"/>
      <c r="N78" s="375"/>
      <c r="O78" s="381"/>
      <c r="P78" s="376" t="str">
        <f aca="false">VLOOKUP(N76,'imp-answers'!$A$2:$I$50,4,FALSE())</f>
        <v>Yes, for at least half of the components</v>
      </c>
      <c r="Q78" s="376" t="n">
        <f aca="false">VLOOKUP(N76,'imp-answers'!$A$2:$I$50,8,FALSE())</f>
        <v>0.5</v>
      </c>
    </row>
    <row r="79" customFormat="false" ht="12.75" hidden="false" customHeight="false" outlineLevel="0" collapsed="false">
      <c r="M79" s="375"/>
      <c r="N79" s="375"/>
      <c r="O79" s="380"/>
      <c r="P79" s="376" t="str">
        <f aca="false">VLOOKUP(N76,'imp-answers'!$A$2:$I$50,5,FALSE())</f>
        <v>Yes, for most or all of the components</v>
      </c>
      <c r="Q79" s="376" t="n">
        <f aca="false">VLOOKUP(N76,'imp-answers'!$A$2:$I$50,9,FALSE())</f>
        <v>1</v>
      </c>
    </row>
    <row r="80" customFormat="false" ht="12.75" hidden="false" customHeight="false" outlineLevel="0" collapsed="false">
      <c r="M80" s="375"/>
      <c r="N80" s="375"/>
      <c r="O80" s="383"/>
    </row>
    <row r="82" customFormat="false" ht="12.75" hidden="false" customHeight="false" outlineLevel="0" collapsed="false">
      <c r="M82" s="375" t="str">
        <f aca="false">CHAR(65+N82)</f>
        <v>N</v>
      </c>
      <c r="N82" s="375" t="n">
        <v>13</v>
      </c>
      <c r="O82" s="374"/>
      <c r="P82" s="376" t="str">
        <f aca="false">VLOOKUP(N82,'imp-answers'!$A$2:$I$50,2,FALSE())</f>
        <v>No</v>
      </c>
      <c r="Q82" s="376" t="n">
        <f aca="false">VLOOKUP(N82,'imp-answers'!$A$2:$I$50,6,FALSE())</f>
        <v>0</v>
      </c>
    </row>
    <row r="83" customFormat="false" ht="12.75" hidden="false" customHeight="false" outlineLevel="0" collapsed="false">
      <c r="M83" s="375"/>
      <c r="N83" s="375"/>
      <c r="O83" s="379"/>
      <c r="P83" s="376" t="str">
        <f aca="false">VLOOKUP(N82,'imp-answers'!$A$2:$I$50,3,FALSE())</f>
        <v>Yes, but review is ad-hoc</v>
      </c>
      <c r="Q83" s="376" t="n">
        <f aca="false">VLOOKUP(N82,'imp-answers'!$A$2:$I$50,7,FALSE())</f>
        <v>0.25</v>
      </c>
    </row>
    <row r="84" customFormat="false" ht="12.75" hidden="false" customHeight="false" outlineLevel="0" collapsed="false">
      <c r="M84" s="375"/>
      <c r="N84" s="375"/>
      <c r="O84" s="381"/>
      <c r="P84" s="376" t="str">
        <f aca="false">VLOOKUP(N82,'imp-answers'!$A$2:$I$50,4,FALSE())</f>
        <v>Yes, we review it at regular times</v>
      </c>
      <c r="Q84" s="376" t="n">
        <f aca="false">VLOOKUP(N82,'imp-answers'!$A$2:$I$50,8,FALSE())</f>
        <v>0.5</v>
      </c>
    </row>
    <row r="85" customFormat="false" ht="12.75" hidden="false" customHeight="false" outlineLevel="0" collapsed="false">
      <c r="M85" s="375"/>
      <c r="N85" s="375"/>
      <c r="O85" s="380"/>
      <c r="P85" s="376" t="str">
        <f aca="false">VLOOKUP(N82,'imp-answers'!$A$2:$I$50,5,FALSE())</f>
        <v>Yes, we review it at least annually</v>
      </c>
      <c r="Q85" s="376" t="n">
        <f aca="false">VLOOKUP(N82,'imp-answers'!$A$2:$I$50,9,FALSE())</f>
        <v>1</v>
      </c>
    </row>
    <row r="86" customFormat="false" ht="12.75" hidden="false" customHeight="false" outlineLevel="0" collapsed="false">
      <c r="M86" s="375"/>
      <c r="N86" s="375"/>
      <c r="O86" s="383"/>
    </row>
    <row r="88" customFormat="false" ht="12.75" hidden="false" customHeight="false" outlineLevel="0" collapsed="false">
      <c r="M88" s="375" t="str">
        <f aca="false">CHAR(65+N88)</f>
        <v>O</v>
      </c>
      <c r="N88" s="375" t="n">
        <v>14</v>
      </c>
      <c r="O88" s="374"/>
      <c r="P88" s="376" t="str">
        <f aca="false">VLOOKUP(N88,'imp-answers'!$A$2:$I$50,2,FALSE())</f>
        <v>No</v>
      </c>
      <c r="Q88" s="376" t="n">
        <f aca="false">VLOOKUP(N88,'imp-answers'!$A$2:$I$50,6,FALSE())</f>
        <v>0</v>
      </c>
    </row>
    <row r="89" customFormat="false" ht="12.75" hidden="false" customHeight="false" outlineLevel="0" collapsed="false">
      <c r="M89" s="375"/>
      <c r="N89" s="375"/>
      <c r="O89" s="379"/>
      <c r="P89" s="376" t="str">
        <f aca="false">VLOOKUP(N88,'imp-answers'!$A$2:$I$50,3,FALSE())</f>
        <v>Yes, for some of our data</v>
      </c>
      <c r="Q89" s="376" t="n">
        <f aca="false">VLOOKUP(N88,'imp-answers'!$A$2:$I$50,7,FALSE())</f>
        <v>0.25</v>
      </c>
    </row>
    <row r="90" customFormat="false" ht="12.75" hidden="false" customHeight="false" outlineLevel="0" collapsed="false">
      <c r="M90" s="375"/>
      <c r="N90" s="375"/>
      <c r="O90" s="381"/>
      <c r="P90" s="376" t="str">
        <f aca="false">VLOOKUP(N88,'imp-answers'!$A$2:$I$50,4,FALSE())</f>
        <v>Yes, for at least half of our data</v>
      </c>
      <c r="Q90" s="376" t="n">
        <f aca="false">VLOOKUP(N88,'imp-answers'!$A$2:$I$50,8,FALSE())</f>
        <v>0.5</v>
      </c>
    </row>
    <row r="91" customFormat="false" ht="12.75" hidden="false" customHeight="false" outlineLevel="0" collapsed="false">
      <c r="M91" s="375"/>
      <c r="N91" s="375"/>
      <c r="O91" s="380"/>
      <c r="P91" s="376" t="str">
        <f aca="false">VLOOKUP(N88,'imp-answers'!$A$2:$I$50,5,FALSE())</f>
        <v>Yes, for most or all of our data</v>
      </c>
      <c r="Q91" s="376" t="n">
        <f aca="false">VLOOKUP(N88,'imp-answers'!$A$2:$I$50,9,FALSE())</f>
        <v>1</v>
      </c>
    </row>
    <row r="92" customFormat="false" ht="12.75" hidden="false" customHeight="false" outlineLevel="0" collapsed="false">
      <c r="M92" s="375"/>
      <c r="N92" s="375"/>
      <c r="O92" s="383"/>
    </row>
    <row r="94" customFormat="false" ht="12.75" hidden="false" customHeight="false" outlineLevel="0" collapsed="false">
      <c r="M94" s="375" t="str">
        <f aca="false">CHAR(65+N94)</f>
        <v>P</v>
      </c>
      <c r="N94" s="375" t="n">
        <v>15</v>
      </c>
      <c r="O94" s="374"/>
      <c r="P94" s="376" t="str">
        <f aca="false">VLOOKUP(N94,'imp-answers'!$A$2:$I$50,2,FALSE())</f>
        <v>No</v>
      </c>
      <c r="Q94" s="376" t="n">
        <f aca="false">VLOOKUP(N94,'imp-answers'!$A$2:$I$50,6,FALSE())</f>
        <v>0</v>
      </c>
    </row>
    <row r="95" customFormat="false" ht="12.75" hidden="false" customHeight="false" outlineLevel="0" collapsed="false">
      <c r="M95" s="375"/>
      <c r="N95" s="375"/>
      <c r="O95" s="379"/>
      <c r="P95" s="376" t="str">
        <f aca="false">VLOOKUP(N94,'imp-answers'!$A$2:$I$50,3,FALSE())</f>
        <v>Yes, we do it when requested</v>
      </c>
      <c r="Q95" s="376" t="n">
        <f aca="false">VLOOKUP(N94,'imp-answers'!$A$2:$I$50,7,FALSE())</f>
        <v>0.25</v>
      </c>
    </row>
    <row r="96" customFormat="false" ht="12.75" hidden="false" customHeight="false" outlineLevel="0" collapsed="false">
      <c r="M96" s="375"/>
      <c r="N96" s="375"/>
      <c r="O96" s="381"/>
      <c r="P96" s="376" t="str">
        <f aca="false">VLOOKUP(N94,'imp-answers'!$A$2:$I$50,4,FALSE())</f>
        <v>Yes, we do it every few years</v>
      </c>
      <c r="Q96" s="376" t="n">
        <f aca="false">VLOOKUP(N94,'imp-answers'!$A$2:$I$50,8,FALSE())</f>
        <v>0.5</v>
      </c>
    </row>
    <row r="97" customFormat="false" ht="12.75" hidden="false" customHeight="false" outlineLevel="0" collapsed="false">
      <c r="M97" s="375"/>
      <c r="N97" s="375"/>
      <c r="O97" s="380"/>
      <c r="P97" s="376" t="str">
        <f aca="false">VLOOKUP(N94,'imp-answers'!$A$2:$I$50,5,FALSE())</f>
        <v>Yes, we do it at least annually</v>
      </c>
      <c r="Q97" s="376" t="n">
        <f aca="false">VLOOKUP(N94,'imp-answers'!$A$2:$I$50,9,FALSE())</f>
        <v>1</v>
      </c>
    </row>
    <row r="98" customFormat="false" ht="12.75" hidden="false" customHeight="false" outlineLevel="0" collapsed="false">
      <c r="M98" s="375"/>
      <c r="N98" s="375"/>
      <c r="O98" s="383"/>
    </row>
    <row r="100" customFormat="false" ht="12.75" hidden="false" customHeight="false" outlineLevel="0" collapsed="false">
      <c r="M100" s="375" t="str">
        <f aca="false">CHAR(65+N100)</f>
        <v>Q</v>
      </c>
      <c r="N100" s="375" t="n">
        <v>16</v>
      </c>
      <c r="O100" s="374"/>
      <c r="P100" s="376" t="str">
        <f aca="false">VLOOKUP(N100,'imp-answers'!$A$2:$I$50,2,FALSE())</f>
        <v>No</v>
      </c>
      <c r="Q100" s="376" t="n">
        <f aca="false">VLOOKUP(N100,'imp-answers'!$A$2:$I$50,6,FALSE())</f>
        <v>0</v>
      </c>
    </row>
    <row r="101" customFormat="false" ht="12.75" hidden="false" customHeight="false" outlineLevel="0" collapsed="false">
      <c r="M101" s="375"/>
      <c r="N101" s="375"/>
      <c r="O101" s="379"/>
      <c r="P101" s="376" t="str">
        <f aca="false">VLOOKUP(N100,'imp-answers'!$A$2:$I$50,3,FALSE())</f>
        <v>Yes, for some incident types</v>
      </c>
      <c r="Q101" s="376" t="n">
        <f aca="false">VLOOKUP(N100,'imp-answers'!$A$2:$I$50,7,FALSE())</f>
        <v>0.25</v>
      </c>
    </row>
    <row r="102" customFormat="false" ht="12.75" hidden="false" customHeight="false" outlineLevel="0" collapsed="false">
      <c r="M102" s="375"/>
      <c r="N102" s="375"/>
      <c r="O102" s="381"/>
      <c r="P102" s="376" t="str">
        <f aca="false">VLOOKUP(N100,'imp-answers'!$A$2:$I$50,4,FALSE())</f>
        <v>Yes, for at least half of the incident types</v>
      </c>
      <c r="Q102" s="376" t="n">
        <f aca="false">VLOOKUP(N100,'imp-answers'!$A$2:$I$50,8,FALSE())</f>
        <v>0.5</v>
      </c>
    </row>
    <row r="103" customFormat="false" ht="12.75" hidden="false" customHeight="false" outlineLevel="0" collapsed="false">
      <c r="M103" s="375"/>
      <c r="N103" s="375"/>
      <c r="O103" s="380"/>
      <c r="P103" s="376" t="str">
        <f aca="false">VLOOKUP(N100,'imp-answers'!$A$2:$I$50,5,FALSE())</f>
        <v>Yes, for most or all of the incident types</v>
      </c>
      <c r="Q103" s="376" t="n">
        <f aca="false">VLOOKUP(N100,'imp-answers'!$A$2:$I$50,9,FALSE())</f>
        <v>1</v>
      </c>
    </row>
    <row r="104" customFormat="false" ht="12.75" hidden="false" customHeight="false" outlineLevel="0" collapsed="false">
      <c r="M104" s="375"/>
      <c r="N104" s="375"/>
      <c r="O104" s="383"/>
    </row>
    <row r="106" customFormat="false" ht="12.75" hidden="false" customHeight="false" outlineLevel="0" collapsed="false">
      <c r="M106" s="375" t="str">
        <f aca="false">CHAR(65+N106)</f>
        <v>R</v>
      </c>
      <c r="N106" s="375" t="n">
        <v>17</v>
      </c>
      <c r="O106" s="374"/>
      <c r="P106" s="376" t="str">
        <f aca="false">VLOOKUP(N106,'imp-answers'!$A$2:$I$50,2,FALSE())</f>
        <v>No</v>
      </c>
      <c r="Q106" s="376" t="n">
        <f aca="false">VLOOKUP(N106,'imp-answers'!$A$2:$I$50,6,FALSE())</f>
        <v>0</v>
      </c>
    </row>
    <row r="107" customFormat="false" ht="12.75" hidden="false" customHeight="false" outlineLevel="0" collapsed="false">
      <c r="M107" s="375"/>
      <c r="N107" s="375"/>
      <c r="O107" s="379"/>
      <c r="P107" s="376" t="str">
        <f aca="false">VLOOKUP(N106,'imp-answers'!$A$2:$I$50,3,FALSE())</f>
        <v>Yes, for some incidents</v>
      </c>
      <c r="Q107" s="376" t="n">
        <f aca="false">VLOOKUP(N106,'imp-answers'!$A$2:$I$50,7,FALSE())</f>
        <v>0.25</v>
      </c>
    </row>
    <row r="108" customFormat="false" ht="12.75" hidden="false" customHeight="false" outlineLevel="0" collapsed="false">
      <c r="M108" s="375"/>
      <c r="N108" s="375"/>
      <c r="O108" s="381"/>
      <c r="P108" s="376" t="str">
        <f aca="false">VLOOKUP(N106,'imp-answers'!$A$2:$I$50,4,FALSE())</f>
        <v>Yes, for at least half of the incidents</v>
      </c>
      <c r="Q108" s="376" t="n">
        <f aca="false">VLOOKUP(N106,'imp-answers'!$A$2:$I$50,8,FALSE())</f>
        <v>0.5</v>
      </c>
    </row>
    <row r="109" customFormat="false" ht="12.75" hidden="false" customHeight="false" outlineLevel="0" collapsed="false">
      <c r="M109" s="375"/>
      <c r="N109" s="375"/>
      <c r="O109" s="380"/>
      <c r="P109" s="376" t="str">
        <f aca="false">VLOOKUP(N106,'imp-answers'!$A$2:$I$50,5,FALSE())</f>
        <v>Yes, for most or all of the incidents</v>
      </c>
      <c r="Q109" s="376" t="n">
        <f aca="false">VLOOKUP(N106,'imp-answers'!$A$2:$I$50,9,FALSE())</f>
        <v>1</v>
      </c>
    </row>
    <row r="110" customFormat="false" ht="12.75" hidden="false" customHeight="false" outlineLevel="0" collapsed="false">
      <c r="M110" s="375"/>
      <c r="N110" s="375"/>
      <c r="O110" s="383"/>
    </row>
    <row r="112" customFormat="false" ht="12.75" hidden="false" customHeight="false" outlineLevel="0" collapsed="false">
      <c r="M112" s="375" t="str">
        <f aca="false">CHAR(65+N112)</f>
        <v>S</v>
      </c>
      <c r="N112" s="375" t="n">
        <v>18</v>
      </c>
      <c r="O112" s="374"/>
      <c r="P112" s="376" t="str">
        <f aca="false">VLOOKUP(N112,'imp-answers'!$A$2:$I$50,2,FALSE())</f>
        <v>No</v>
      </c>
      <c r="Q112" s="376" t="n">
        <f aca="false">VLOOKUP(N112,'imp-answers'!$A$2:$I$50,6,FALSE())</f>
        <v>0</v>
      </c>
    </row>
    <row r="113" customFormat="false" ht="12.75" hidden="false" customHeight="false" outlineLevel="0" collapsed="false">
      <c r="M113" s="375"/>
      <c r="N113" s="375"/>
      <c r="O113" s="379"/>
      <c r="P113" s="376" t="str">
        <f aca="false">VLOOKUP(N112,'imp-answers'!$A$2:$I$50,3,FALSE())</f>
        <v>Yes, for some of the assets</v>
      </c>
      <c r="Q113" s="376" t="n">
        <f aca="false">VLOOKUP(N112,'imp-answers'!$A$2:$I$50,7,FALSE())</f>
        <v>0.25</v>
      </c>
    </row>
    <row r="114" customFormat="false" ht="12.75" hidden="false" customHeight="false" outlineLevel="0" collapsed="false">
      <c r="M114" s="375"/>
      <c r="N114" s="375"/>
      <c r="O114" s="381"/>
      <c r="P114" s="376" t="str">
        <f aca="false">VLOOKUP(N112,'imp-answers'!$A$2:$I$50,4,FALSE())</f>
        <v>Yes, for at least half of the assets</v>
      </c>
      <c r="Q114" s="376" t="n">
        <f aca="false">VLOOKUP(N112,'imp-answers'!$A$2:$I$50,8,FALSE())</f>
        <v>0.5</v>
      </c>
    </row>
    <row r="115" customFormat="false" ht="12.75" hidden="false" customHeight="false" outlineLevel="0" collapsed="false">
      <c r="M115" s="375"/>
      <c r="N115" s="375"/>
      <c r="O115" s="380"/>
      <c r="P115" s="376" t="str">
        <f aca="false">VLOOKUP(N112,'imp-answers'!$A$2:$I$50,5,FALSE())</f>
        <v>Yes, for most or all of the assets</v>
      </c>
      <c r="Q115" s="376" t="n">
        <f aca="false">VLOOKUP(N112,'imp-answers'!$A$2:$I$50,9,FALSE())</f>
        <v>1</v>
      </c>
    </row>
    <row r="116" customFormat="false" ht="12.75" hidden="false" customHeight="false" outlineLevel="0" collapsed="false">
      <c r="M116" s="375"/>
      <c r="N116" s="375"/>
      <c r="O116" s="383"/>
    </row>
    <row r="118" customFormat="false" ht="12.75" hidden="false" customHeight="false" outlineLevel="0" collapsed="false">
      <c r="M118" s="375" t="str">
        <f aca="false">CHAR(65+N118)</f>
        <v>T</v>
      </c>
      <c r="N118" s="375" t="n">
        <v>19</v>
      </c>
      <c r="O118" s="374"/>
      <c r="P118" s="376" t="str">
        <f aca="false">VLOOKUP(N118,'imp-answers'!$A$2:$I$50,2,FALSE())</f>
        <v>No</v>
      </c>
      <c r="Q118" s="376" t="n">
        <f aca="false">VLOOKUP(N118,'imp-answers'!$A$2:$I$50,6,FALSE())</f>
        <v>0</v>
      </c>
    </row>
    <row r="119" customFormat="false" ht="12.75" hidden="false" customHeight="false" outlineLevel="0" collapsed="false">
      <c r="M119" s="375"/>
      <c r="N119" s="375"/>
      <c r="O119" s="379"/>
      <c r="P119" s="376" t="str">
        <f aca="false">VLOOKUP(N118,'imp-answers'!$A$2:$I$50,3,FALSE())</f>
        <v>Yes, but we improve it ad-hoc</v>
      </c>
      <c r="Q119" s="376" t="n">
        <f aca="false">VLOOKUP(N118,'imp-answers'!$A$2:$I$50,7,FALSE())</f>
        <v>0.25</v>
      </c>
    </row>
    <row r="120" customFormat="false" ht="12.75" hidden="false" customHeight="false" outlineLevel="0" collapsed="false">
      <c r="M120" s="375"/>
      <c r="N120" s="375"/>
      <c r="O120" s="381"/>
      <c r="P120" s="376" t="str">
        <f aca="false">VLOOKUP(N118,'imp-answers'!$A$2:$I$50,4,FALSE())</f>
        <v>Yes, we we improve it at regular times</v>
      </c>
      <c r="Q120" s="376" t="n">
        <f aca="false">VLOOKUP(N118,'imp-answers'!$A$2:$I$50,8,FALSE())</f>
        <v>0.5</v>
      </c>
    </row>
    <row r="121" customFormat="false" ht="12.75" hidden="false" customHeight="false" outlineLevel="0" collapsed="false">
      <c r="M121" s="375"/>
      <c r="N121" s="375"/>
      <c r="O121" s="380"/>
      <c r="P121" s="376" t="str">
        <f aca="false">VLOOKUP(N118,'imp-answers'!$A$2:$I$50,5,FALSE())</f>
        <v>Yes, we improve it at least annually</v>
      </c>
      <c r="Q121" s="376" t="n">
        <f aca="false">VLOOKUP(N118,'imp-answers'!$A$2:$I$50,9,FALSE())</f>
        <v>1</v>
      </c>
    </row>
    <row r="122" customFormat="false" ht="12.75" hidden="false" customHeight="false" outlineLevel="0" collapsed="false">
      <c r="M122" s="375"/>
      <c r="N122" s="375"/>
      <c r="O122" s="383"/>
    </row>
    <row r="124" customFormat="false" ht="12.75" hidden="false" customHeight="false" outlineLevel="0" collapsed="false">
      <c r="M124" s="375" t="str">
        <f aca="false">CHAR(65+N124)</f>
        <v>U</v>
      </c>
      <c r="N124" s="375" t="n">
        <v>20</v>
      </c>
      <c r="O124" s="374"/>
      <c r="P124" s="376" t="str">
        <f aca="false">VLOOKUP(N124,'imp-answers'!$A$2:$I$50,2,FALSE())</f>
        <v>No</v>
      </c>
      <c r="Q124" s="376" t="n">
        <f aca="false">VLOOKUP(N124,'imp-answers'!$A$2:$I$50,6,FALSE())</f>
        <v>0</v>
      </c>
    </row>
    <row r="125" customFormat="false" ht="12.75" hidden="false" customHeight="false" outlineLevel="0" collapsed="false">
      <c r="M125" s="375"/>
      <c r="N125" s="375"/>
      <c r="O125" s="379"/>
      <c r="P125" s="376" t="str">
        <f aca="false">VLOOKUP(N124,'imp-answers'!$A$2:$I$50,3,FALSE())</f>
        <v>Yes, for some of the technology domains</v>
      </c>
      <c r="Q125" s="376" t="n">
        <f aca="false">VLOOKUP(N124,'imp-answers'!$A$2:$I$50,7,FALSE())</f>
        <v>0.25</v>
      </c>
    </row>
    <row r="126" customFormat="false" ht="12.75" hidden="false" customHeight="false" outlineLevel="0" collapsed="false">
      <c r="M126" s="375"/>
      <c r="N126" s="375"/>
      <c r="O126" s="381"/>
      <c r="P126" s="376" t="str">
        <f aca="false">VLOOKUP(N124,'imp-answers'!$A$2:$I$50,4,FALSE())</f>
        <v>Yes, for at least half of the technology domains</v>
      </c>
      <c r="Q126" s="376" t="n">
        <f aca="false">VLOOKUP(N124,'imp-answers'!$A$2:$I$50,8,FALSE())</f>
        <v>0.5</v>
      </c>
    </row>
    <row r="127" customFormat="false" ht="12.75" hidden="false" customHeight="false" outlineLevel="0" collapsed="false">
      <c r="M127" s="375"/>
      <c r="N127" s="375"/>
      <c r="O127" s="380"/>
      <c r="P127" s="376" t="str">
        <f aca="false">VLOOKUP(N124,'imp-answers'!$A$2:$I$50,5,FALSE())</f>
        <v>Yes, for most or all of the technology domains</v>
      </c>
      <c r="Q127" s="376" t="n">
        <f aca="false">VLOOKUP(N124,'imp-answers'!$A$2:$I$50,9,FALSE())</f>
        <v>1</v>
      </c>
    </row>
    <row r="128" customFormat="false" ht="12.75" hidden="false" customHeight="false" outlineLevel="0" collapsed="false">
      <c r="M128" s="375"/>
      <c r="N128" s="375"/>
      <c r="O128" s="383"/>
    </row>
    <row r="130" customFormat="false" ht="12.75" hidden="false" customHeight="false" outlineLevel="0" collapsed="false">
      <c r="M130" s="375" t="str">
        <f aca="false">CHAR(65+N130)</f>
        <v>V</v>
      </c>
      <c r="N130" s="375" t="n">
        <v>21</v>
      </c>
      <c r="O130" s="374"/>
      <c r="P130" s="376" t="str">
        <f aca="false">VLOOKUP(N130,'imp-answers'!$A$2:$I$50,2,FALSE())</f>
        <v>No</v>
      </c>
      <c r="Q130" s="376" t="n">
        <f aca="false">VLOOKUP(N130,'imp-answers'!$A$2:$I$50,6,FALSE())</f>
        <v>0</v>
      </c>
    </row>
    <row r="131" customFormat="false" ht="12.75" hidden="false" customHeight="false" outlineLevel="0" collapsed="false">
      <c r="M131" s="375"/>
      <c r="N131" s="375"/>
      <c r="O131" s="379"/>
      <c r="P131" s="376" t="str">
        <f aca="false">VLOOKUP(N130,'imp-answers'!$A$2:$I$50,3,FALSE())</f>
        <v>Yes, we review it annually</v>
      </c>
      <c r="Q131" s="376" t="n">
        <f aca="false">VLOOKUP(N130,'imp-answers'!$A$2:$I$50,7,FALSE())</f>
        <v>0.25</v>
      </c>
    </row>
    <row r="132" customFormat="false" ht="12.75" hidden="false" customHeight="false" outlineLevel="0" collapsed="false">
      <c r="M132" s="375"/>
      <c r="N132" s="375"/>
      <c r="O132" s="381"/>
      <c r="P132" s="376" t="str">
        <f aca="false">VLOOKUP(N130,'imp-answers'!$A$2:$I$50,4,FALSE())</f>
        <v>Yes, we consult the plan before making significant decisions</v>
      </c>
      <c r="Q132" s="376" t="n">
        <f aca="false">VLOOKUP(N130,'imp-answers'!$A$2:$I$50,8,FALSE())</f>
        <v>0.5</v>
      </c>
    </row>
    <row r="133" customFormat="false" ht="12.75" hidden="false" customHeight="false" outlineLevel="0" collapsed="false">
      <c r="M133" s="375"/>
      <c r="N133" s="375"/>
      <c r="O133" s="380"/>
      <c r="P133" s="376" t="str">
        <f aca="false">VLOOKUP(N130,'imp-answers'!$A$2:$I$50,5,FALSE())</f>
        <v>Yes, we consult the plan often, and it is aligned with our application security strategy</v>
      </c>
      <c r="Q133" s="376" t="n">
        <f aca="false">VLOOKUP(N130,'imp-answers'!$A$2:$I$50,9,FALSE())</f>
        <v>1</v>
      </c>
    </row>
    <row r="134" customFormat="false" ht="12.75" hidden="false" customHeight="false" outlineLevel="0" collapsed="false">
      <c r="M134" s="375"/>
      <c r="N134" s="375"/>
      <c r="O134" s="383"/>
    </row>
    <row r="136" customFormat="false" ht="12.75" hidden="false" customHeight="false" outlineLevel="0" collapsed="false">
      <c r="M136" s="375" t="str">
        <f aca="false">CHAR(65+N136)</f>
        <v>W</v>
      </c>
      <c r="N136" s="375" t="n">
        <v>22</v>
      </c>
      <c r="O136" s="374"/>
      <c r="P136" s="376" t="str">
        <f aca="false">VLOOKUP(N136,'imp-answers'!$A$2:$I$50,2,FALSE())</f>
        <v>No</v>
      </c>
      <c r="Q136" s="376" t="n">
        <f aca="false">VLOOKUP(N136,'imp-answers'!$A$2:$I$50,6,FALSE())</f>
        <v>0</v>
      </c>
    </row>
    <row r="137" customFormat="false" ht="12.75" hidden="false" customHeight="false" outlineLevel="0" collapsed="false">
      <c r="M137" s="375"/>
      <c r="N137" s="375"/>
      <c r="O137" s="379"/>
      <c r="P137" s="376" t="str">
        <f aca="false">VLOOKUP(N136,'imp-answers'!$A$2:$I$50,3,FALSE())</f>
        <v>Yes, for some teams</v>
      </c>
      <c r="Q137" s="376" t="n">
        <f aca="false">VLOOKUP(N136,'imp-answers'!$A$2:$I$50,7,FALSE())</f>
        <v>0.25</v>
      </c>
    </row>
    <row r="138" customFormat="false" ht="12.75" hidden="false" customHeight="false" outlineLevel="0" collapsed="false">
      <c r="M138" s="375"/>
      <c r="N138" s="375"/>
      <c r="O138" s="381"/>
      <c r="P138" s="376" t="str">
        <f aca="false">VLOOKUP(N136,'imp-answers'!$A$2:$I$50,4,FALSE())</f>
        <v>Yes, for at least half of the teams</v>
      </c>
      <c r="Q138" s="376" t="n">
        <f aca="false">VLOOKUP(N136,'imp-answers'!$A$2:$I$50,8,FALSE())</f>
        <v>0.5</v>
      </c>
    </row>
    <row r="139" customFormat="false" ht="12.75" hidden="false" customHeight="false" outlineLevel="0" collapsed="false">
      <c r="M139" s="375"/>
      <c r="N139" s="375"/>
      <c r="O139" s="380"/>
      <c r="P139" s="376" t="str">
        <f aca="false">VLOOKUP(N136,'imp-answers'!$A$2:$I$50,5,FALSE())</f>
        <v>Yes, for most or all of the teams</v>
      </c>
      <c r="Q139" s="376" t="n">
        <f aca="false">VLOOKUP(N136,'imp-answers'!$A$2:$I$50,9,FALSE())</f>
        <v>1</v>
      </c>
    </row>
    <row r="140" customFormat="false" ht="12.75" hidden="false" customHeight="false" outlineLevel="0" collapsed="false">
      <c r="M140" s="375"/>
      <c r="N140" s="375"/>
      <c r="O140" s="383"/>
    </row>
    <row r="142" customFormat="false" ht="12.75" hidden="false" customHeight="false" outlineLevel="0" collapsed="false">
      <c r="M142" s="375" t="str">
        <f aca="false">CHAR(65+N142)</f>
        <v>X</v>
      </c>
      <c r="N142" s="375" t="n">
        <v>23</v>
      </c>
      <c r="O142" s="374"/>
      <c r="P142" s="376" t="str">
        <f aca="false">VLOOKUP(N142,'imp-answers'!$A$2:$I$50,2,FALSE())</f>
        <v>No</v>
      </c>
      <c r="Q142" s="376" t="n">
        <f aca="false">VLOOKUP(N142,'imp-answers'!$A$2:$I$50,6,FALSE())</f>
        <v>0</v>
      </c>
    </row>
    <row r="143" customFormat="false" ht="12.75" hidden="false" customHeight="false" outlineLevel="0" collapsed="false">
      <c r="M143" s="375"/>
      <c r="N143" s="375"/>
      <c r="O143" s="379"/>
      <c r="P143" s="376" t="str">
        <f aca="false">VLOOKUP(N142,'imp-answers'!$A$2:$I$50,3,FALSE())</f>
        <v>Yes, some of it</v>
      </c>
      <c r="Q143" s="376" t="n">
        <f aca="false">VLOOKUP(N142,'imp-answers'!$A$2:$I$50,7,FALSE())</f>
        <v>0.25</v>
      </c>
    </row>
    <row r="144" customFormat="false" ht="12.75" hidden="false" customHeight="false" outlineLevel="0" collapsed="false">
      <c r="M144" s="375"/>
      <c r="N144" s="375"/>
      <c r="O144" s="381"/>
      <c r="P144" s="376" t="str">
        <f aca="false">VLOOKUP(N142,'imp-answers'!$A$2:$I$50,4,FALSE())</f>
        <v>Yes, at least half of it</v>
      </c>
      <c r="Q144" s="376" t="n">
        <f aca="false">VLOOKUP(N142,'imp-answers'!$A$2:$I$50,8,FALSE())</f>
        <v>0.5</v>
      </c>
    </row>
    <row r="145" customFormat="false" ht="12.75" hidden="false" customHeight="false" outlineLevel="0" collapsed="false">
      <c r="M145" s="375"/>
      <c r="N145" s="375"/>
      <c r="O145" s="380"/>
      <c r="P145" s="376" t="str">
        <f aca="false">VLOOKUP(N142,'imp-answers'!$A$2:$I$50,5,FALSE())</f>
        <v>Yes, most or all of it</v>
      </c>
      <c r="Q145" s="376" t="n">
        <f aca="false">VLOOKUP(N142,'imp-answers'!$A$2:$I$50,9,FALSE())</f>
        <v>1</v>
      </c>
    </row>
    <row r="146" customFormat="false" ht="12.75" hidden="false" customHeight="false" outlineLevel="0" collapsed="false">
      <c r="M146" s="375"/>
      <c r="N146" s="375"/>
      <c r="O146" s="383"/>
    </row>
    <row r="148" customFormat="false" ht="12.75" hidden="false" customHeight="false" outlineLevel="0" collapsed="false">
      <c r="M148" s="375" t="str">
        <f aca="false">CHAR(65+N148)</f>
        <v>Y</v>
      </c>
      <c r="N148" s="375" t="n">
        <v>24</v>
      </c>
      <c r="O148" s="374"/>
      <c r="P148" s="376" t="str">
        <f aca="false">VLOOKUP(N148,'imp-answers'!$A$2:$I$50,2,FALSE())</f>
        <v>No</v>
      </c>
      <c r="Q148" s="376" t="n">
        <f aca="false">VLOOKUP(N148,'imp-answers'!$A$2:$I$50,6,FALSE())</f>
        <v>0</v>
      </c>
    </row>
    <row r="149" customFormat="false" ht="12.75" hidden="false" customHeight="false" outlineLevel="0" collapsed="false">
      <c r="M149" s="375"/>
      <c r="N149" s="375"/>
      <c r="O149" s="379"/>
      <c r="P149" s="376" t="str">
        <f aca="false">VLOOKUP(N148,'imp-answers'!$A$2:$I$50,3,FALSE())</f>
        <v>Yes, it covers general risks</v>
      </c>
      <c r="Q149" s="376" t="n">
        <f aca="false">VLOOKUP(N148,'imp-answers'!$A$2:$I$50,7,FALSE())</f>
        <v>0.25</v>
      </c>
    </row>
    <row r="150" customFormat="false" ht="12.75" hidden="false" customHeight="false" outlineLevel="0" collapsed="false">
      <c r="M150" s="375"/>
      <c r="N150" s="375"/>
      <c r="O150" s="381"/>
      <c r="P150" s="376" t="str">
        <f aca="false">VLOOKUP(N148,'imp-answers'!$A$2:$I$50,4,FALSE())</f>
        <v>Yes, it covers organization-specific risks</v>
      </c>
      <c r="Q150" s="376" t="n">
        <f aca="false">VLOOKUP(N148,'imp-answers'!$A$2:$I$50,8,FALSE())</f>
        <v>0.5</v>
      </c>
    </row>
    <row r="151" customFormat="false" ht="12.75" hidden="false" customHeight="false" outlineLevel="0" collapsed="false">
      <c r="M151" s="375"/>
      <c r="N151" s="375"/>
      <c r="O151" s="380"/>
      <c r="P151" s="376" t="str">
        <f aca="false">VLOOKUP(N148,'imp-answers'!$A$2:$I$50,5,FALSE())</f>
        <v>Yes, it covers risks and opportunities</v>
      </c>
      <c r="Q151" s="376" t="n">
        <f aca="false">VLOOKUP(N148,'imp-answers'!$A$2:$I$50,9,FALSE())</f>
        <v>1</v>
      </c>
    </row>
    <row r="152" customFormat="false" ht="12.75" hidden="false" customHeight="false" outlineLevel="0" collapsed="false">
      <c r="M152" s="375"/>
      <c r="N152" s="375"/>
      <c r="O152" s="383"/>
    </row>
  </sheetData>
  <mergeCells count="60">
    <mergeCell ref="A1:K1"/>
    <mergeCell ref="C3:E3"/>
    <mergeCell ref="H4:H7"/>
    <mergeCell ref="M4:M8"/>
    <mergeCell ref="N4:N8"/>
    <mergeCell ref="H9:H12"/>
    <mergeCell ref="M10:M14"/>
    <mergeCell ref="N10:N14"/>
    <mergeCell ref="H14:H17"/>
    <mergeCell ref="M16:M20"/>
    <mergeCell ref="N16:N20"/>
    <mergeCell ref="H19:H22"/>
    <mergeCell ref="M22:M26"/>
    <mergeCell ref="N22:N26"/>
    <mergeCell ref="H24:H27"/>
    <mergeCell ref="M28:M32"/>
    <mergeCell ref="N28:N32"/>
    <mergeCell ref="H29:H32"/>
    <mergeCell ref="H34:H37"/>
    <mergeCell ref="M34:M38"/>
    <mergeCell ref="N34:N38"/>
    <mergeCell ref="H39:H42"/>
    <mergeCell ref="M40:M44"/>
    <mergeCell ref="N40:N44"/>
    <mergeCell ref="M46:M50"/>
    <mergeCell ref="N46:N50"/>
    <mergeCell ref="M52:M56"/>
    <mergeCell ref="N52:N56"/>
    <mergeCell ref="M58:M62"/>
    <mergeCell ref="N58:N62"/>
    <mergeCell ref="M64:M68"/>
    <mergeCell ref="N64:N68"/>
    <mergeCell ref="M70:M74"/>
    <mergeCell ref="N70:N74"/>
    <mergeCell ref="M76:M80"/>
    <mergeCell ref="N76:N80"/>
    <mergeCell ref="M82:M86"/>
    <mergeCell ref="N82:N86"/>
    <mergeCell ref="M88:M92"/>
    <mergeCell ref="N88:N92"/>
    <mergeCell ref="M94:M98"/>
    <mergeCell ref="N94:N98"/>
    <mergeCell ref="M100:M104"/>
    <mergeCell ref="N100:N104"/>
    <mergeCell ref="M106:M110"/>
    <mergeCell ref="N106:N110"/>
    <mergeCell ref="M112:M116"/>
    <mergeCell ref="N112:N116"/>
    <mergeCell ref="M118:M122"/>
    <mergeCell ref="N118:N122"/>
    <mergeCell ref="M124:M128"/>
    <mergeCell ref="N124:N128"/>
    <mergeCell ref="M130:M134"/>
    <mergeCell ref="N130:N134"/>
    <mergeCell ref="M136:M140"/>
    <mergeCell ref="N136:N140"/>
    <mergeCell ref="M142:M146"/>
    <mergeCell ref="N142:N146"/>
    <mergeCell ref="M148:M152"/>
    <mergeCell ref="N148:N15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26" activeCellId="0" sqref="F26"/>
    </sheetView>
  </sheetViews>
  <sheetFormatPr defaultColWidth="11.5078125" defaultRowHeight="12.75" zeroHeight="false" outlineLevelRow="0" outlineLevelCol="0"/>
  <cols>
    <col collapsed="false" customWidth="true" hidden="false" outlineLevel="0" max="4" min="4" style="0" width="19.67"/>
    <col collapsed="false" customWidth="true" hidden="false" outlineLevel="0" max="6" min="6" style="0" width="90.67"/>
    <col collapsed="false" customWidth="true" hidden="false" outlineLevel="0" max="7" min="7" style="0" width="64.33"/>
  </cols>
  <sheetData>
    <row r="1" customFormat="false" ht="12.75" hidden="false" customHeight="false" outlineLevel="0" collapsed="false">
      <c r="A1" s="12" t="s">
        <v>239</v>
      </c>
      <c r="B1" s="12" t="s">
        <v>240</v>
      </c>
      <c r="C1" s="12" t="s">
        <v>176</v>
      </c>
      <c r="D1" s="12" t="s">
        <v>241</v>
      </c>
      <c r="E1" s="12" t="s">
        <v>154</v>
      </c>
      <c r="F1" s="12" t="s">
        <v>242</v>
      </c>
      <c r="G1" s="12" t="s">
        <v>243</v>
      </c>
      <c r="H1" s="12" t="s">
        <v>244</v>
      </c>
    </row>
    <row r="2" customFormat="false" ht="12.75" hidden="false" customHeight="false" outlineLevel="0" collapsed="false">
      <c r="A2" s="12" t="s">
        <v>141</v>
      </c>
      <c r="B2" s="12" t="s">
        <v>130</v>
      </c>
      <c r="C2" s="12" t="s">
        <v>138</v>
      </c>
      <c r="D2" s="12" t="s">
        <v>245</v>
      </c>
      <c r="E2" s="12" t="n">
        <v>3</v>
      </c>
      <c r="F2" s="12" t="s">
        <v>246</v>
      </c>
      <c r="G2" s="12" t="s">
        <v>247</v>
      </c>
      <c r="H2" s="12" t="n">
        <v>12</v>
      </c>
    </row>
    <row r="3" customFormat="false" ht="12.75" hidden="false" customHeight="false" outlineLevel="0" collapsed="false">
      <c r="A3" s="12" t="s">
        <v>151</v>
      </c>
      <c r="B3" s="12" t="s">
        <v>130</v>
      </c>
      <c r="C3" s="12" t="s">
        <v>145</v>
      </c>
      <c r="D3" s="12" t="s">
        <v>248</v>
      </c>
      <c r="E3" s="12" t="n">
        <v>3</v>
      </c>
      <c r="F3" s="12" t="s">
        <v>249</v>
      </c>
      <c r="G3" s="12" t="s">
        <v>250</v>
      </c>
      <c r="H3" s="12" t="n">
        <v>18</v>
      </c>
    </row>
    <row r="4" customFormat="false" ht="12.75" hidden="false" customHeight="false" outlineLevel="0" collapsed="false">
      <c r="A4" s="12" t="s">
        <v>126</v>
      </c>
      <c r="B4" s="12" t="s">
        <v>108</v>
      </c>
      <c r="C4" s="12" t="s">
        <v>123</v>
      </c>
      <c r="D4" s="12" t="s">
        <v>251</v>
      </c>
      <c r="E4" s="12" t="n">
        <v>3</v>
      </c>
      <c r="F4" s="12" t="s">
        <v>252</v>
      </c>
      <c r="G4" s="12" t="s">
        <v>253</v>
      </c>
      <c r="H4" s="12" t="n">
        <v>23</v>
      </c>
    </row>
    <row r="5" customFormat="false" ht="12.75" hidden="false" customHeight="false" outlineLevel="0" collapsed="false">
      <c r="A5" s="12" t="s">
        <v>78</v>
      </c>
      <c r="B5" s="12" t="s">
        <v>64</v>
      </c>
      <c r="C5" s="12" t="s">
        <v>72</v>
      </c>
      <c r="D5" s="12" t="s">
        <v>254</v>
      </c>
      <c r="E5" s="12" t="n">
        <v>3</v>
      </c>
      <c r="F5" s="12" t="s">
        <v>255</v>
      </c>
      <c r="G5" s="12" t="s">
        <v>256</v>
      </c>
      <c r="H5" s="12" t="n">
        <v>7</v>
      </c>
    </row>
    <row r="6" customFormat="false" ht="12.75" hidden="false" customHeight="false" outlineLevel="0" collapsed="false">
      <c r="A6" s="12" t="s">
        <v>119</v>
      </c>
      <c r="B6" s="12" t="s">
        <v>108</v>
      </c>
      <c r="C6" s="12" t="s">
        <v>257</v>
      </c>
      <c r="D6" s="12" t="s">
        <v>258</v>
      </c>
      <c r="E6" s="12" t="n">
        <v>3</v>
      </c>
      <c r="F6" s="12" t="s">
        <v>259</v>
      </c>
      <c r="G6" s="12" t="s">
        <v>260</v>
      </c>
      <c r="H6" s="12" t="n">
        <v>5</v>
      </c>
    </row>
    <row r="7" customFormat="false" ht="12.75" hidden="false" customHeight="false" outlineLevel="0" collapsed="false">
      <c r="A7" s="12" t="s">
        <v>96</v>
      </c>
      <c r="B7" s="12" t="s">
        <v>86</v>
      </c>
      <c r="C7" s="12" t="s">
        <v>94</v>
      </c>
      <c r="D7" s="12" t="s">
        <v>261</v>
      </c>
      <c r="E7" s="12" t="n">
        <v>2</v>
      </c>
      <c r="F7" s="12" t="s">
        <v>262</v>
      </c>
      <c r="G7" s="12" t="s">
        <v>263</v>
      </c>
      <c r="H7" s="12" t="n">
        <v>5</v>
      </c>
    </row>
    <row r="8" customFormat="false" ht="12.75" hidden="false" customHeight="false" outlineLevel="0" collapsed="false">
      <c r="A8" s="12" t="s">
        <v>120</v>
      </c>
      <c r="B8" s="12" t="s">
        <v>108</v>
      </c>
      <c r="C8" s="12" t="s">
        <v>257</v>
      </c>
      <c r="D8" s="12" t="s">
        <v>264</v>
      </c>
      <c r="E8" s="12" t="n">
        <v>1</v>
      </c>
      <c r="F8" s="12" t="s">
        <v>265</v>
      </c>
      <c r="G8" s="12" t="s">
        <v>266</v>
      </c>
      <c r="H8" s="12" t="n">
        <v>5</v>
      </c>
    </row>
    <row r="9" customFormat="false" ht="12.75" hidden="false" customHeight="false" outlineLevel="0" collapsed="false">
      <c r="A9" s="12" t="s">
        <v>73</v>
      </c>
      <c r="B9" s="12" t="s">
        <v>64</v>
      </c>
      <c r="C9" s="12" t="s">
        <v>72</v>
      </c>
      <c r="D9" s="12" t="s">
        <v>267</v>
      </c>
      <c r="E9" s="12" t="n">
        <v>1</v>
      </c>
      <c r="F9" s="12" t="s">
        <v>268</v>
      </c>
      <c r="G9" s="12" t="s">
        <v>269</v>
      </c>
      <c r="H9" s="12" t="n">
        <v>5</v>
      </c>
    </row>
    <row r="10" customFormat="false" ht="12.75" hidden="false" customHeight="false" outlineLevel="0" collapsed="false">
      <c r="A10" s="12" t="s">
        <v>127</v>
      </c>
      <c r="B10" s="12" t="s">
        <v>108</v>
      </c>
      <c r="C10" s="12" t="s">
        <v>123</v>
      </c>
      <c r="D10" s="12" t="s">
        <v>270</v>
      </c>
      <c r="E10" s="12" t="n">
        <v>1</v>
      </c>
      <c r="F10" s="12" t="s">
        <v>271</v>
      </c>
      <c r="G10" s="12" t="s">
        <v>272</v>
      </c>
      <c r="H10" s="12" t="n">
        <v>12</v>
      </c>
    </row>
    <row r="11" customFormat="false" ht="12.75" hidden="false" customHeight="false" outlineLevel="0" collapsed="false">
      <c r="A11" s="12" t="s">
        <v>146</v>
      </c>
      <c r="B11" s="12" t="s">
        <v>130</v>
      </c>
      <c r="C11" s="12" t="s">
        <v>145</v>
      </c>
      <c r="D11" s="12" t="s">
        <v>273</v>
      </c>
      <c r="E11" s="12" t="n">
        <v>1</v>
      </c>
      <c r="F11" s="12" t="s">
        <v>274</v>
      </c>
      <c r="G11" s="12" t="s">
        <v>275</v>
      </c>
      <c r="H11" s="12" t="n">
        <v>5</v>
      </c>
    </row>
    <row r="12" customFormat="false" ht="12.75" hidden="false" customHeight="false" outlineLevel="0" collapsed="false">
      <c r="A12" s="12" t="s">
        <v>114</v>
      </c>
      <c r="B12" s="12" t="s">
        <v>108</v>
      </c>
      <c r="C12" s="12" t="s">
        <v>109</v>
      </c>
      <c r="D12" s="12" t="s">
        <v>276</v>
      </c>
      <c r="E12" s="12" t="n">
        <v>2</v>
      </c>
      <c r="F12" s="12" t="s">
        <v>277</v>
      </c>
      <c r="G12" s="12" t="s">
        <v>278</v>
      </c>
      <c r="H12" s="12" t="n">
        <v>5</v>
      </c>
    </row>
    <row r="13" customFormat="false" ht="12.75" hidden="false" customHeight="false" outlineLevel="0" collapsed="false">
      <c r="A13" s="12" t="s">
        <v>142</v>
      </c>
      <c r="B13" s="12" t="s">
        <v>130</v>
      </c>
      <c r="C13" s="12" t="s">
        <v>138</v>
      </c>
      <c r="D13" s="12" t="s">
        <v>279</v>
      </c>
      <c r="E13" s="12" t="n">
        <v>1</v>
      </c>
      <c r="F13" s="12" t="s">
        <v>280</v>
      </c>
      <c r="G13" s="12" t="s">
        <v>281</v>
      </c>
      <c r="H13" s="12" t="n">
        <v>12</v>
      </c>
    </row>
    <row r="14" customFormat="false" ht="12.75" hidden="false" customHeight="false" outlineLevel="0" collapsed="false">
      <c r="A14" s="12" t="s">
        <v>144</v>
      </c>
      <c r="B14" s="12" t="s">
        <v>130</v>
      </c>
      <c r="C14" s="12" t="s">
        <v>138</v>
      </c>
      <c r="D14" s="12" t="s">
        <v>279</v>
      </c>
      <c r="E14" s="12" t="n">
        <v>3</v>
      </c>
      <c r="F14" s="12" t="s">
        <v>282</v>
      </c>
      <c r="G14" s="12" t="s">
        <v>283</v>
      </c>
      <c r="H14" s="12" t="n">
        <v>12</v>
      </c>
    </row>
    <row r="15" customFormat="false" ht="12.75" hidden="false" customHeight="false" outlineLevel="0" collapsed="false">
      <c r="A15" s="12" t="s">
        <v>148</v>
      </c>
      <c r="B15" s="12" t="s">
        <v>130</v>
      </c>
      <c r="C15" s="12" t="s">
        <v>145</v>
      </c>
      <c r="D15" s="12" t="s">
        <v>273</v>
      </c>
      <c r="E15" s="12" t="n">
        <v>3</v>
      </c>
      <c r="F15" s="12" t="s">
        <v>284</v>
      </c>
      <c r="G15" s="12" t="s">
        <v>285</v>
      </c>
      <c r="H15" s="12" t="n">
        <v>15</v>
      </c>
    </row>
    <row r="16" customFormat="false" ht="12.75" hidden="false" customHeight="false" outlineLevel="0" collapsed="false">
      <c r="A16" s="12" t="s">
        <v>122</v>
      </c>
      <c r="B16" s="12" t="s">
        <v>108</v>
      </c>
      <c r="C16" s="12" t="s">
        <v>257</v>
      </c>
      <c r="D16" s="12" t="s">
        <v>264</v>
      </c>
      <c r="E16" s="12" t="n">
        <v>3</v>
      </c>
      <c r="F16" s="12" t="s">
        <v>286</v>
      </c>
      <c r="G16" s="12" t="s">
        <v>287</v>
      </c>
      <c r="H16" s="12" t="n">
        <v>7</v>
      </c>
    </row>
    <row r="17" customFormat="false" ht="12.75" hidden="false" customHeight="false" outlineLevel="0" collapsed="false">
      <c r="A17" s="12" t="s">
        <v>75</v>
      </c>
      <c r="B17" s="12" t="s">
        <v>64</v>
      </c>
      <c r="C17" s="12" t="s">
        <v>72</v>
      </c>
      <c r="D17" s="12" t="s">
        <v>267</v>
      </c>
      <c r="E17" s="12" t="n">
        <v>3</v>
      </c>
      <c r="F17" s="12" t="s">
        <v>288</v>
      </c>
      <c r="G17" s="12" t="s">
        <v>289</v>
      </c>
      <c r="H17" s="12" t="n">
        <v>5</v>
      </c>
    </row>
    <row r="18" customFormat="false" ht="12.75" hidden="false" customHeight="false" outlineLevel="0" collapsed="false">
      <c r="A18" s="12" t="s">
        <v>129</v>
      </c>
      <c r="B18" s="12" t="s">
        <v>108</v>
      </c>
      <c r="C18" s="12" t="s">
        <v>123</v>
      </c>
      <c r="D18" s="12" t="s">
        <v>270</v>
      </c>
      <c r="E18" s="12" t="n">
        <v>3</v>
      </c>
      <c r="F18" s="12" t="s">
        <v>290</v>
      </c>
      <c r="G18" s="12" t="s">
        <v>291</v>
      </c>
      <c r="H18" s="12" t="n">
        <v>19</v>
      </c>
    </row>
    <row r="19" customFormat="false" ht="12.75" hidden="false" customHeight="false" outlineLevel="0" collapsed="false">
      <c r="A19" s="12" t="s">
        <v>99</v>
      </c>
      <c r="B19" s="12" t="s">
        <v>86</v>
      </c>
      <c r="C19" s="12" t="s">
        <v>94</v>
      </c>
      <c r="D19" s="12" t="s">
        <v>292</v>
      </c>
      <c r="E19" s="12" t="n">
        <v>2</v>
      </c>
      <c r="F19" s="12" t="s">
        <v>293</v>
      </c>
      <c r="G19" s="12" t="s">
        <v>294</v>
      </c>
      <c r="H19" s="12" t="n">
        <v>5</v>
      </c>
    </row>
    <row r="20" customFormat="false" ht="12.75" hidden="false" customHeight="false" outlineLevel="0" collapsed="false">
      <c r="A20" s="12" t="s">
        <v>124</v>
      </c>
      <c r="B20" s="12" t="s">
        <v>108</v>
      </c>
      <c r="C20" s="12" t="s">
        <v>123</v>
      </c>
      <c r="D20" s="12" t="s">
        <v>251</v>
      </c>
      <c r="E20" s="12" t="n">
        <v>1</v>
      </c>
      <c r="F20" s="12" t="s">
        <v>295</v>
      </c>
      <c r="G20" s="12" t="s">
        <v>296</v>
      </c>
      <c r="H20" s="12" t="n">
        <v>2</v>
      </c>
    </row>
    <row r="21" customFormat="false" ht="12.75" hidden="false" customHeight="false" outlineLevel="0" collapsed="false">
      <c r="A21" s="12" t="s">
        <v>76</v>
      </c>
      <c r="B21" s="12" t="s">
        <v>64</v>
      </c>
      <c r="C21" s="12" t="s">
        <v>72</v>
      </c>
      <c r="D21" s="12" t="s">
        <v>254</v>
      </c>
      <c r="E21" s="12" t="n">
        <v>1</v>
      </c>
      <c r="F21" s="12" t="s">
        <v>297</v>
      </c>
      <c r="G21" s="12" t="s">
        <v>298</v>
      </c>
      <c r="H21" s="12" t="n">
        <v>7</v>
      </c>
    </row>
    <row r="22" customFormat="false" ht="12.75" hidden="false" customHeight="false" outlineLevel="0" collapsed="false">
      <c r="A22" s="12" t="s">
        <v>117</v>
      </c>
      <c r="B22" s="12" t="s">
        <v>108</v>
      </c>
      <c r="C22" s="12" t="s">
        <v>257</v>
      </c>
      <c r="D22" s="12" t="s">
        <v>258</v>
      </c>
      <c r="E22" s="12" t="n">
        <v>1</v>
      </c>
      <c r="F22" s="12" t="s">
        <v>299</v>
      </c>
      <c r="G22" s="12" t="s">
        <v>300</v>
      </c>
      <c r="H22" s="12" t="n">
        <v>2</v>
      </c>
    </row>
    <row r="23" customFormat="false" ht="12.75" hidden="false" customHeight="false" outlineLevel="0" collapsed="false">
      <c r="A23" s="12" t="s">
        <v>149</v>
      </c>
      <c r="B23" s="12" t="s">
        <v>130</v>
      </c>
      <c r="C23" s="12" t="s">
        <v>145</v>
      </c>
      <c r="D23" s="12" t="s">
        <v>248</v>
      </c>
      <c r="E23" s="12" t="n">
        <v>1</v>
      </c>
      <c r="F23" s="12" t="s">
        <v>301</v>
      </c>
      <c r="G23" s="12" t="s">
        <v>302</v>
      </c>
      <c r="H23" s="12" t="n">
        <v>5</v>
      </c>
    </row>
    <row r="24" customFormat="false" ht="12.75" hidden="false" customHeight="false" outlineLevel="0" collapsed="false">
      <c r="A24" s="12" t="s">
        <v>111</v>
      </c>
      <c r="B24" s="12" t="s">
        <v>108</v>
      </c>
      <c r="C24" s="12" t="s">
        <v>109</v>
      </c>
      <c r="D24" s="12" t="s">
        <v>303</v>
      </c>
      <c r="E24" s="12" t="n">
        <v>2</v>
      </c>
      <c r="F24" s="12" t="s">
        <v>304</v>
      </c>
      <c r="G24" s="12" t="s">
        <v>305</v>
      </c>
      <c r="H24" s="12" t="n">
        <v>5</v>
      </c>
    </row>
    <row r="25" customFormat="false" ht="12.75" hidden="false" customHeight="false" outlineLevel="0" collapsed="false">
      <c r="A25" s="12" t="s">
        <v>139</v>
      </c>
      <c r="B25" s="12" t="s">
        <v>130</v>
      </c>
      <c r="C25" s="12" t="s">
        <v>138</v>
      </c>
      <c r="D25" s="12" t="s">
        <v>245</v>
      </c>
      <c r="E25" s="12" t="n">
        <v>1</v>
      </c>
      <c r="F25" s="12" t="s">
        <v>306</v>
      </c>
      <c r="G25" s="12" t="s">
        <v>307</v>
      </c>
      <c r="H25" s="12" t="n">
        <v>12</v>
      </c>
    </row>
    <row r="26" customFormat="false" ht="12.75" hidden="false" customHeight="false" outlineLevel="0" collapsed="false">
      <c r="A26" s="12" t="s">
        <v>133</v>
      </c>
      <c r="B26" s="12" t="s">
        <v>130</v>
      </c>
      <c r="C26" s="12" t="s">
        <v>131</v>
      </c>
      <c r="D26" s="12" t="s">
        <v>308</v>
      </c>
      <c r="E26" s="12" t="n">
        <v>2</v>
      </c>
      <c r="F26" s="12" t="s">
        <v>309</v>
      </c>
      <c r="G26" s="12" t="s">
        <v>310</v>
      </c>
      <c r="H26" s="12" t="n">
        <v>5</v>
      </c>
    </row>
    <row r="27" customFormat="false" ht="12.75" hidden="false" customHeight="false" outlineLevel="0" collapsed="false">
      <c r="A27" s="12" t="s">
        <v>62</v>
      </c>
      <c r="B27" s="12" t="s">
        <v>37</v>
      </c>
      <c r="C27" s="12" t="s">
        <v>57</v>
      </c>
      <c r="D27" s="12" t="s">
        <v>311</v>
      </c>
      <c r="E27" s="12" t="n">
        <v>2</v>
      </c>
      <c r="F27" s="12" t="s">
        <v>312</v>
      </c>
      <c r="G27" s="12" t="s">
        <v>313</v>
      </c>
      <c r="H27" s="12" t="n">
        <v>11</v>
      </c>
    </row>
    <row r="28" customFormat="false" ht="12.75" hidden="false" customHeight="false" outlineLevel="0" collapsed="false">
      <c r="A28" s="12" t="s">
        <v>136</v>
      </c>
      <c r="B28" s="12" t="s">
        <v>130</v>
      </c>
      <c r="C28" s="12" t="s">
        <v>131</v>
      </c>
      <c r="D28" s="12" t="s">
        <v>314</v>
      </c>
      <c r="E28" s="12" t="n">
        <v>2</v>
      </c>
      <c r="F28" s="12" t="s">
        <v>315</v>
      </c>
      <c r="G28" s="12" t="s">
        <v>316</v>
      </c>
      <c r="H28" s="12" t="n">
        <v>16</v>
      </c>
    </row>
    <row r="29" customFormat="false" ht="12.75" hidden="false" customHeight="false" outlineLevel="0" collapsed="false">
      <c r="A29" s="12" t="s">
        <v>59</v>
      </c>
      <c r="B29" s="12" t="s">
        <v>37</v>
      </c>
      <c r="C29" s="12" t="s">
        <v>57</v>
      </c>
      <c r="D29" s="12" t="s">
        <v>317</v>
      </c>
      <c r="E29" s="12" t="n">
        <v>2</v>
      </c>
      <c r="F29" s="12" t="s">
        <v>318</v>
      </c>
      <c r="G29" s="12" t="s">
        <v>319</v>
      </c>
      <c r="H29" s="12" t="n">
        <v>8</v>
      </c>
    </row>
    <row r="30" customFormat="false" ht="12.75" hidden="false" customHeight="false" outlineLevel="0" collapsed="false">
      <c r="A30" s="12" t="s">
        <v>100</v>
      </c>
      <c r="B30" s="12" t="s">
        <v>86</v>
      </c>
      <c r="C30" s="12" t="s">
        <v>94</v>
      </c>
      <c r="D30" s="12" t="s">
        <v>292</v>
      </c>
      <c r="E30" s="12" t="n">
        <v>3</v>
      </c>
      <c r="F30" s="12" t="s">
        <v>320</v>
      </c>
      <c r="G30" s="12" t="s">
        <v>321</v>
      </c>
      <c r="H30" s="12" t="n">
        <v>5</v>
      </c>
    </row>
    <row r="31" customFormat="false" ht="12.75" hidden="false" customHeight="false" outlineLevel="0" collapsed="false">
      <c r="A31" s="12" t="s">
        <v>113</v>
      </c>
      <c r="B31" s="12" t="s">
        <v>108</v>
      </c>
      <c r="C31" s="12" t="s">
        <v>109</v>
      </c>
      <c r="D31" s="12" t="s">
        <v>276</v>
      </c>
      <c r="E31" s="12" t="n">
        <v>1</v>
      </c>
      <c r="F31" s="12" t="s">
        <v>322</v>
      </c>
      <c r="G31" s="12" t="s">
        <v>323</v>
      </c>
      <c r="H31" s="12" t="n">
        <v>5</v>
      </c>
    </row>
    <row r="32" customFormat="false" ht="12.75" hidden="false" customHeight="false" outlineLevel="0" collapsed="false">
      <c r="A32" s="12" t="s">
        <v>147</v>
      </c>
      <c r="B32" s="12" t="s">
        <v>130</v>
      </c>
      <c r="C32" s="12" t="s">
        <v>145</v>
      </c>
      <c r="D32" s="12" t="s">
        <v>273</v>
      </c>
      <c r="E32" s="12" t="n">
        <v>2</v>
      </c>
      <c r="F32" s="12" t="s">
        <v>324</v>
      </c>
      <c r="G32" s="12" t="s">
        <v>325</v>
      </c>
      <c r="H32" s="12" t="n">
        <v>14</v>
      </c>
    </row>
    <row r="33" customFormat="false" ht="12.75" hidden="false" customHeight="false" outlineLevel="0" collapsed="false">
      <c r="A33" s="12" t="s">
        <v>74</v>
      </c>
      <c r="B33" s="12" t="s">
        <v>64</v>
      </c>
      <c r="C33" s="12" t="s">
        <v>72</v>
      </c>
      <c r="D33" s="12" t="s">
        <v>267</v>
      </c>
      <c r="E33" s="12" t="n">
        <v>2</v>
      </c>
      <c r="F33" s="12" t="s">
        <v>326</v>
      </c>
      <c r="G33" s="12" t="s">
        <v>327</v>
      </c>
      <c r="H33" s="12" t="n">
        <v>7</v>
      </c>
    </row>
    <row r="34" customFormat="false" ht="12.75" hidden="false" customHeight="false" outlineLevel="0" collapsed="false">
      <c r="A34" s="12" t="s">
        <v>121</v>
      </c>
      <c r="B34" s="12" t="s">
        <v>108</v>
      </c>
      <c r="C34" s="12" t="s">
        <v>257</v>
      </c>
      <c r="D34" s="12" t="s">
        <v>264</v>
      </c>
      <c r="E34" s="12" t="n">
        <v>2</v>
      </c>
      <c r="F34" s="12" t="s">
        <v>328</v>
      </c>
      <c r="G34" s="12" t="s">
        <v>329</v>
      </c>
      <c r="H34" s="12" t="n">
        <v>7</v>
      </c>
    </row>
    <row r="35" customFormat="false" ht="12.75" hidden="false" customHeight="false" outlineLevel="0" collapsed="false">
      <c r="A35" s="12" t="s">
        <v>128</v>
      </c>
      <c r="B35" s="12" t="s">
        <v>108</v>
      </c>
      <c r="C35" s="12" t="s">
        <v>123</v>
      </c>
      <c r="D35" s="12" t="s">
        <v>270</v>
      </c>
      <c r="E35" s="12" t="n">
        <v>2</v>
      </c>
      <c r="F35" s="12" t="s">
        <v>330</v>
      </c>
      <c r="G35" s="12" t="s">
        <v>331</v>
      </c>
      <c r="H35" s="12" t="n">
        <v>5</v>
      </c>
    </row>
    <row r="36" customFormat="false" ht="12.75" hidden="false" customHeight="false" outlineLevel="0" collapsed="false">
      <c r="A36" s="12" t="s">
        <v>143</v>
      </c>
      <c r="B36" s="12" t="s">
        <v>130</v>
      </c>
      <c r="C36" s="12" t="s">
        <v>138</v>
      </c>
      <c r="D36" s="12" t="s">
        <v>279</v>
      </c>
      <c r="E36" s="12" t="n">
        <v>2</v>
      </c>
      <c r="F36" s="12" t="s">
        <v>332</v>
      </c>
      <c r="G36" s="12" t="s">
        <v>333</v>
      </c>
      <c r="H36" s="12" t="n">
        <v>12</v>
      </c>
    </row>
    <row r="37" customFormat="false" ht="12.75" hidden="false" customHeight="false" outlineLevel="0" collapsed="false">
      <c r="A37" s="12" t="s">
        <v>112</v>
      </c>
      <c r="B37" s="12" t="s">
        <v>108</v>
      </c>
      <c r="C37" s="12" t="s">
        <v>109</v>
      </c>
      <c r="D37" s="12" t="s">
        <v>303</v>
      </c>
      <c r="E37" s="12" t="n">
        <v>3</v>
      </c>
      <c r="F37" s="12" t="s">
        <v>334</v>
      </c>
      <c r="G37" s="12" t="s">
        <v>335</v>
      </c>
      <c r="H37" s="12" t="n">
        <v>5</v>
      </c>
    </row>
    <row r="38" customFormat="false" ht="12.75" hidden="false" customHeight="false" outlineLevel="0" collapsed="false">
      <c r="A38" s="12" t="s">
        <v>95</v>
      </c>
      <c r="B38" s="12" t="s">
        <v>86</v>
      </c>
      <c r="C38" s="12" t="s">
        <v>94</v>
      </c>
      <c r="D38" s="12" t="s">
        <v>261</v>
      </c>
      <c r="E38" s="12" t="n">
        <v>1</v>
      </c>
      <c r="F38" s="12" t="s">
        <v>336</v>
      </c>
      <c r="G38" s="12" t="s">
        <v>337</v>
      </c>
      <c r="H38" s="12" t="n">
        <v>5</v>
      </c>
    </row>
    <row r="39" customFormat="false" ht="12.75" hidden="false" customHeight="false" outlineLevel="0" collapsed="false">
      <c r="A39" s="12" t="s">
        <v>97</v>
      </c>
      <c r="B39" s="12" t="s">
        <v>86</v>
      </c>
      <c r="C39" s="12" t="s">
        <v>94</v>
      </c>
      <c r="D39" s="12" t="s">
        <v>261</v>
      </c>
      <c r="E39" s="12" t="n">
        <v>3</v>
      </c>
      <c r="F39" s="12" t="s">
        <v>338</v>
      </c>
      <c r="G39" s="12" t="s">
        <v>339</v>
      </c>
      <c r="H39" s="12" t="n">
        <v>5</v>
      </c>
    </row>
    <row r="40" customFormat="false" ht="12.75" hidden="false" customHeight="false" outlineLevel="0" collapsed="false">
      <c r="A40" s="12" t="s">
        <v>110</v>
      </c>
      <c r="B40" s="12" t="s">
        <v>108</v>
      </c>
      <c r="C40" s="12" t="s">
        <v>109</v>
      </c>
      <c r="D40" s="12" t="s">
        <v>303</v>
      </c>
      <c r="E40" s="12" t="n">
        <v>1</v>
      </c>
      <c r="F40" s="12" t="s">
        <v>340</v>
      </c>
      <c r="G40" s="12" t="s">
        <v>341</v>
      </c>
      <c r="H40" s="12" t="n">
        <v>5</v>
      </c>
    </row>
    <row r="41" customFormat="false" ht="12.75" hidden="false" customHeight="false" outlineLevel="0" collapsed="false">
      <c r="A41" s="12" t="s">
        <v>150</v>
      </c>
      <c r="B41" s="12" t="s">
        <v>130</v>
      </c>
      <c r="C41" s="12" t="s">
        <v>145</v>
      </c>
      <c r="D41" s="12" t="s">
        <v>248</v>
      </c>
      <c r="E41" s="12" t="n">
        <v>2</v>
      </c>
      <c r="F41" s="12" t="s">
        <v>342</v>
      </c>
      <c r="G41" s="12" t="s">
        <v>343</v>
      </c>
      <c r="H41" s="12" t="n">
        <v>7</v>
      </c>
    </row>
    <row r="42" customFormat="false" ht="12.75" hidden="false" customHeight="false" outlineLevel="0" collapsed="false">
      <c r="A42" s="12" t="s">
        <v>125</v>
      </c>
      <c r="B42" s="12" t="s">
        <v>108</v>
      </c>
      <c r="C42" s="12" t="s">
        <v>123</v>
      </c>
      <c r="D42" s="12" t="s">
        <v>251</v>
      </c>
      <c r="E42" s="12" t="n">
        <v>2</v>
      </c>
      <c r="F42" s="12" t="s">
        <v>344</v>
      </c>
      <c r="G42" s="12" t="s">
        <v>345</v>
      </c>
      <c r="H42" s="12" t="n">
        <v>2</v>
      </c>
    </row>
    <row r="43" customFormat="false" ht="12.75" hidden="false" customHeight="false" outlineLevel="0" collapsed="false">
      <c r="A43" s="12" t="s">
        <v>118</v>
      </c>
      <c r="B43" s="12" t="s">
        <v>108</v>
      </c>
      <c r="C43" s="12" t="s">
        <v>257</v>
      </c>
      <c r="D43" s="12" t="s">
        <v>258</v>
      </c>
      <c r="E43" s="12" t="n">
        <v>2</v>
      </c>
      <c r="F43" s="12" t="s">
        <v>346</v>
      </c>
      <c r="G43" s="12" t="s">
        <v>347</v>
      </c>
      <c r="H43" s="12" t="n">
        <v>2</v>
      </c>
    </row>
    <row r="44" customFormat="false" ht="12.75" hidden="false" customHeight="false" outlineLevel="0" collapsed="false">
      <c r="A44" s="12" t="s">
        <v>77</v>
      </c>
      <c r="B44" s="12" t="s">
        <v>64</v>
      </c>
      <c r="C44" s="12" t="s">
        <v>72</v>
      </c>
      <c r="D44" s="12" t="s">
        <v>254</v>
      </c>
      <c r="E44" s="12" t="n">
        <v>2</v>
      </c>
      <c r="F44" s="12" t="s">
        <v>348</v>
      </c>
      <c r="G44" s="12" t="s">
        <v>349</v>
      </c>
      <c r="H44" s="12" t="n">
        <v>7</v>
      </c>
    </row>
    <row r="45" customFormat="false" ht="12.75" hidden="false" customHeight="false" outlineLevel="0" collapsed="false">
      <c r="A45" s="12" t="s">
        <v>140</v>
      </c>
      <c r="B45" s="12" t="s">
        <v>130</v>
      </c>
      <c r="C45" s="12" t="s">
        <v>138</v>
      </c>
      <c r="D45" s="12" t="s">
        <v>245</v>
      </c>
      <c r="E45" s="12" t="n">
        <v>2</v>
      </c>
      <c r="F45" s="12" t="s">
        <v>350</v>
      </c>
      <c r="G45" s="12" t="s">
        <v>351</v>
      </c>
      <c r="H45" s="12" t="n">
        <v>12</v>
      </c>
    </row>
    <row r="46" customFormat="false" ht="12.75" hidden="false" customHeight="false" outlineLevel="0" collapsed="false">
      <c r="A46" s="12" t="s">
        <v>115</v>
      </c>
      <c r="B46" s="12" t="s">
        <v>108</v>
      </c>
      <c r="C46" s="12" t="s">
        <v>109</v>
      </c>
      <c r="D46" s="12" t="s">
        <v>276</v>
      </c>
      <c r="E46" s="12" t="n">
        <v>3</v>
      </c>
      <c r="F46" s="12" t="s">
        <v>352</v>
      </c>
      <c r="G46" s="12" t="s">
        <v>353</v>
      </c>
      <c r="H46" s="12" t="n">
        <v>5</v>
      </c>
    </row>
    <row r="47" customFormat="false" ht="12.75" hidden="false" customHeight="false" outlineLevel="0" collapsed="false">
      <c r="A47" s="12" t="s">
        <v>98</v>
      </c>
      <c r="B47" s="12" t="s">
        <v>86</v>
      </c>
      <c r="C47" s="12" t="s">
        <v>94</v>
      </c>
      <c r="D47" s="12" t="s">
        <v>292</v>
      </c>
      <c r="E47" s="12" t="n">
        <v>1</v>
      </c>
      <c r="F47" s="12" t="s">
        <v>354</v>
      </c>
      <c r="G47" s="12" t="s">
        <v>355</v>
      </c>
      <c r="H47" s="12" t="n">
        <v>5</v>
      </c>
    </row>
    <row r="48" customFormat="false" ht="12.75" hidden="false" customHeight="false" outlineLevel="0" collapsed="false">
      <c r="A48" s="12" t="s">
        <v>60</v>
      </c>
      <c r="B48" s="12" t="s">
        <v>37</v>
      </c>
      <c r="C48" s="12" t="s">
        <v>57</v>
      </c>
      <c r="D48" s="12" t="s">
        <v>317</v>
      </c>
      <c r="E48" s="12" t="n">
        <v>3</v>
      </c>
      <c r="F48" s="12" t="s">
        <v>356</v>
      </c>
      <c r="G48" s="12" t="s">
        <v>357</v>
      </c>
      <c r="H48" s="12" t="n">
        <v>8</v>
      </c>
    </row>
    <row r="49" customFormat="false" ht="12.75" hidden="false" customHeight="false" outlineLevel="0" collapsed="false">
      <c r="A49" s="12" t="s">
        <v>137</v>
      </c>
      <c r="B49" s="12" t="s">
        <v>130</v>
      </c>
      <c r="C49" s="12" t="s">
        <v>131</v>
      </c>
      <c r="D49" s="12" t="s">
        <v>314</v>
      </c>
      <c r="E49" s="12" t="n">
        <v>3</v>
      </c>
      <c r="F49" s="12" t="s">
        <v>358</v>
      </c>
      <c r="G49" s="12" t="s">
        <v>359</v>
      </c>
      <c r="H49" s="12" t="n">
        <v>7</v>
      </c>
    </row>
    <row r="50" customFormat="false" ht="12.75" hidden="false" customHeight="false" outlineLevel="0" collapsed="false">
      <c r="A50" s="12" t="s">
        <v>132</v>
      </c>
      <c r="B50" s="12" t="s">
        <v>130</v>
      </c>
      <c r="C50" s="12" t="s">
        <v>131</v>
      </c>
      <c r="D50" s="12" t="s">
        <v>308</v>
      </c>
      <c r="E50" s="12" t="n">
        <v>1</v>
      </c>
      <c r="F50" s="12" t="s">
        <v>360</v>
      </c>
      <c r="G50" s="12" t="s">
        <v>361</v>
      </c>
      <c r="H50" s="12" t="n">
        <v>5</v>
      </c>
    </row>
    <row r="51" customFormat="false" ht="12.75" hidden="false" customHeight="false" outlineLevel="0" collapsed="false">
      <c r="A51" s="12" t="s">
        <v>61</v>
      </c>
      <c r="B51" s="12" t="s">
        <v>37</v>
      </c>
      <c r="C51" s="12" t="s">
        <v>57</v>
      </c>
      <c r="D51" s="12" t="s">
        <v>311</v>
      </c>
      <c r="E51" s="12" t="n">
        <v>1</v>
      </c>
      <c r="F51" s="12" t="s">
        <v>362</v>
      </c>
      <c r="G51" s="12" t="s">
        <v>363</v>
      </c>
      <c r="H51" s="12" t="n">
        <v>22</v>
      </c>
    </row>
    <row r="52" customFormat="false" ht="12.75" hidden="false" customHeight="false" outlineLevel="0" collapsed="false">
      <c r="A52" s="12" t="s">
        <v>63</v>
      </c>
      <c r="B52" s="12" t="s">
        <v>37</v>
      </c>
      <c r="C52" s="12" t="s">
        <v>57</v>
      </c>
      <c r="D52" s="12" t="s">
        <v>311</v>
      </c>
      <c r="E52" s="12" t="n">
        <v>3</v>
      </c>
      <c r="F52" s="12" t="s">
        <v>364</v>
      </c>
      <c r="G52" s="12" t="s">
        <v>365</v>
      </c>
      <c r="H52" s="12" t="n">
        <v>11</v>
      </c>
    </row>
    <row r="53" customFormat="false" ht="12.75" hidden="false" customHeight="false" outlineLevel="0" collapsed="false">
      <c r="A53" s="12" t="s">
        <v>134</v>
      </c>
      <c r="B53" s="12" t="s">
        <v>130</v>
      </c>
      <c r="C53" s="12" t="s">
        <v>131</v>
      </c>
      <c r="D53" s="12" t="s">
        <v>308</v>
      </c>
      <c r="E53" s="12" t="n">
        <v>3</v>
      </c>
      <c r="F53" s="12" t="s">
        <v>366</v>
      </c>
      <c r="G53" s="12" t="s">
        <v>367</v>
      </c>
      <c r="H53" s="12" t="n">
        <v>5</v>
      </c>
    </row>
    <row r="54" customFormat="false" ht="12.75" hidden="false" customHeight="false" outlineLevel="0" collapsed="false">
      <c r="A54" s="12" t="s">
        <v>135</v>
      </c>
      <c r="B54" s="12" t="s">
        <v>130</v>
      </c>
      <c r="C54" s="12" t="s">
        <v>131</v>
      </c>
      <c r="D54" s="12" t="s">
        <v>314</v>
      </c>
      <c r="E54" s="12" t="n">
        <v>1</v>
      </c>
      <c r="F54" s="12" t="s">
        <v>368</v>
      </c>
      <c r="G54" s="12" t="s">
        <v>369</v>
      </c>
      <c r="H54" s="12" t="n">
        <v>17</v>
      </c>
    </row>
    <row r="55" customFormat="false" ht="12.75" hidden="false" customHeight="false" outlineLevel="0" collapsed="false">
      <c r="A55" s="12" t="s">
        <v>58</v>
      </c>
      <c r="B55" s="12" t="s">
        <v>37</v>
      </c>
      <c r="C55" s="12" t="s">
        <v>57</v>
      </c>
      <c r="D55" s="12" t="s">
        <v>317</v>
      </c>
      <c r="E55" s="12" t="n">
        <v>1</v>
      </c>
      <c r="F55" s="12" t="s">
        <v>370</v>
      </c>
      <c r="G55" s="12" t="s">
        <v>371</v>
      </c>
      <c r="H55" s="12" t="n">
        <v>2</v>
      </c>
    </row>
    <row r="56" customFormat="false" ht="12.75" hidden="false" customHeight="false" outlineLevel="0" collapsed="false">
      <c r="A56" s="12" t="s">
        <v>53</v>
      </c>
      <c r="B56" s="12" t="s">
        <v>37</v>
      </c>
      <c r="C56" s="12" t="s">
        <v>50</v>
      </c>
      <c r="D56" s="12" t="s">
        <v>372</v>
      </c>
      <c r="E56" s="12" t="n">
        <v>3</v>
      </c>
      <c r="F56" s="12" t="s">
        <v>373</v>
      </c>
      <c r="G56" s="12" t="s">
        <v>374</v>
      </c>
      <c r="H56" s="12" t="n">
        <v>4</v>
      </c>
    </row>
    <row r="57" customFormat="false" ht="12.75" hidden="false" customHeight="false" outlineLevel="0" collapsed="false">
      <c r="A57" s="12" t="s">
        <v>67</v>
      </c>
      <c r="B57" s="12" t="s">
        <v>64</v>
      </c>
      <c r="C57" s="12" t="s">
        <v>65</v>
      </c>
      <c r="D57" s="12" t="s">
        <v>375</v>
      </c>
      <c r="E57" s="12" t="n">
        <v>2</v>
      </c>
      <c r="F57" s="12" t="s">
        <v>376</v>
      </c>
      <c r="G57" s="12" t="s">
        <v>377</v>
      </c>
      <c r="H57" s="12" t="n">
        <v>5</v>
      </c>
    </row>
    <row r="58" customFormat="false" ht="12.75" hidden="false" customHeight="false" outlineLevel="0" collapsed="false">
      <c r="A58" s="12" t="s">
        <v>54</v>
      </c>
      <c r="B58" s="12" t="s">
        <v>37</v>
      </c>
      <c r="C58" s="12" t="s">
        <v>50</v>
      </c>
      <c r="D58" s="12" t="s">
        <v>378</v>
      </c>
      <c r="E58" s="12" t="n">
        <v>1</v>
      </c>
      <c r="F58" s="12" t="s">
        <v>379</v>
      </c>
      <c r="G58" s="12" t="s">
        <v>380</v>
      </c>
      <c r="H58" s="12" t="n">
        <v>5</v>
      </c>
    </row>
    <row r="59" customFormat="false" ht="12.75" hidden="false" customHeight="false" outlineLevel="0" collapsed="false">
      <c r="A59" s="12" t="s">
        <v>103</v>
      </c>
      <c r="B59" s="12" t="s">
        <v>86</v>
      </c>
      <c r="C59" s="12" t="s">
        <v>101</v>
      </c>
      <c r="D59" s="12" t="s">
        <v>381</v>
      </c>
      <c r="E59" s="12" t="n">
        <v>2</v>
      </c>
      <c r="F59" s="12" t="s">
        <v>382</v>
      </c>
      <c r="G59" s="12" t="s">
        <v>383</v>
      </c>
      <c r="H59" s="12" t="n">
        <v>5</v>
      </c>
    </row>
    <row r="60" customFormat="false" ht="12.75" hidden="false" customHeight="false" outlineLevel="0" collapsed="false">
      <c r="A60" s="12" t="s">
        <v>56</v>
      </c>
      <c r="B60" s="12" t="s">
        <v>37</v>
      </c>
      <c r="C60" s="12" t="s">
        <v>50</v>
      </c>
      <c r="D60" s="12" t="s">
        <v>378</v>
      </c>
      <c r="E60" s="12" t="n">
        <v>3</v>
      </c>
      <c r="F60" s="12" t="s">
        <v>384</v>
      </c>
      <c r="G60" s="12" t="s">
        <v>385</v>
      </c>
      <c r="H60" s="12" t="n">
        <v>4</v>
      </c>
    </row>
    <row r="61" customFormat="false" ht="12.75" hidden="false" customHeight="false" outlineLevel="0" collapsed="false">
      <c r="A61" s="12" t="s">
        <v>70</v>
      </c>
      <c r="B61" s="12" t="s">
        <v>64</v>
      </c>
      <c r="C61" s="12" t="s">
        <v>65</v>
      </c>
      <c r="D61" s="12" t="s">
        <v>386</v>
      </c>
      <c r="E61" s="12" t="n">
        <v>2</v>
      </c>
      <c r="F61" s="12" t="s">
        <v>387</v>
      </c>
      <c r="G61" s="12" t="s">
        <v>388</v>
      </c>
      <c r="H61" s="12" t="n">
        <v>5</v>
      </c>
    </row>
    <row r="62" customFormat="false" ht="12.75" hidden="false" customHeight="false" outlineLevel="0" collapsed="false">
      <c r="A62" s="12" t="s">
        <v>51</v>
      </c>
      <c r="B62" s="12" t="s">
        <v>37</v>
      </c>
      <c r="C62" s="12" t="s">
        <v>50</v>
      </c>
      <c r="D62" s="12" t="s">
        <v>372</v>
      </c>
      <c r="E62" s="12" t="n">
        <v>1</v>
      </c>
      <c r="F62" s="12" t="s">
        <v>389</v>
      </c>
      <c r="G62" s="12" t="s">
        <v>390</v>
      </c>
      <c r="H62" s="12" t="n">
        <v>5</v>
      </c>
    </row>
    <row r="63" customFormat="false" ht="12.75" hidden="false" customHeight="false" outlineLevel="0" collapsed="false">
      <c r="A63" s="12" t="s">
        <v>106</v>
      </c>
      <c r="B63" s="12" t="s">
        <v>86</v>
      </c>
      <c r="C63" s="12" t="s">
        <v>101</v>
      </c>
      <c r="D63" s="12" t="s">
        <v>391</v>
      </c>
      <c r="E63" s="12" t="n">
        <v>2</v>
      </c>
      <c r="F63" s="12" t="s">
        <v>392</v>
      </c>
      <c r="G63" s="12" t="s">
        <v>393</v>
      </c>
      <c r="H63" s="12" t="n">
        <v>5</v>
      </c>
    </row>
    <row r="64" customFormat="false" ht="12.75" hidden="false" customHeight="false" outlineLevel="0" collapsed="false">
      <c r="A64" s="12" t="s">
        <v>44</v>
      </c>
      <c r="B64" s="12" t="s">
        <v>37</v>
      </c>
      <c r="C64" s="12" t="s">
        <v>40</v>
      </c>
      <c r="D64" s="12" t="s">
        <v>394</v>
      </c>
      <c r="E64" s="12" t="n">
        <v>1</v>
      </c>
      <c r="F64" s="12" t="s">
        <v>395</v>
      </c>
      <c r="G64" s="12" t="s">
        <v>396</v>
      </c>
      <c r="H64" s="12" t="n">
        <v>24</v>
      </c>
    </row>
    <row r="65" customFormat="false" ht="12.75" hidden="false" customHeight="false" outlineLevel="0" collapsed="false">
      <c r="A65" s="12" t="s">
        <v>80</v>
      </c>
      <c r="B65" s="12" t="s">
        <v>64</v>
      </c>
      <c r="C65" s="12" t="s">
        <v>397</v>
      </c>
      <c r="D65" s="12" t="s">
        <v>398</v>
      </c>
      <c r="E65" s="12" t="n">
        <v>1</v>
      </c>
      <c r="F65" s="12" t="s">
        <v>399</v>
      </c>
      <c r="G65" s="12" t="s">
        <v>400</v>
      </c>
      <c r="H65" s="12" t="n">
        <v>5</v>
      </c>
    </row>
    <row r="66" customFormat="false" ht="12.75" hidden="false" customHeight="false" outlineLevel="0" collapsed="false">
      <c r="A66" s="12" t="s">
        <v>89</v>
      </c>
      <c r="B66" s="12" t="s">
        <v>86</v>
      </c>
      <c r="C66" s="12" t="s">
        <v>87</v>
      </c>
      <c r="D66" s="12" t="s">
        <v>401</v>
      </c>
      <c r="E66" s="12" t="n">
        <v>2</v>
      </c>
      <c r="F66" s="12" t="s">
        <v>402</v>
      </c>
      <c r="G66" s="12" t="s">
        <v>403</v>
      </c>
      <c r="H66" s="12" t="n">
        <v>5</v>
      </c>
    </row>
    <row r="67" customFormat="false" ht="12.75" hidden="false" customHeight="false" outlineLevel="0" collapsed="false">
      <c r="A67" s="12" t="s">
        <v>85</v>
      </c>
      <c r="B67" s="12" t="s">
        <v>64</v>
      </c>
      <c r="C67" s="12" t="s">
        <v>397</v>
      </c>
      <c r="D67" s="12" t="s">
        <v>404</v>
      </c>
      <c r="E67" s="12" t="n">
        <v>3</v>
      </c>
      <c r="F67" s="12" t="s">
        <v>405</v>
      </c>
      <c r="G67" s="12" t="s">
        <v>406</v>
      </c>
      <c r="H67" s="12" t="n">
        <v>5</v>
      </c>
    </row>
    <row r="68" customFormat="false" ht="12.75" hidden="false" customHeight="false" outlineLevel="0" collapsed="false">
      <c r="A68" s="12" t="s">
        <v>49</v>
      </c>
      <c r="B68" s="12" t="s">
        <v>37</v>
      </c>
      <c r="C68" s="12" t="s">
        <v>40</v>
      </c>
      <c r="D68" s="12" t="s">
        <v>407</v>
      </c>
      <c r="E68" s="12" t="n">
        <v>3</v>
      </c>
      <c r="F68" s="12" t="s">
        <v>408</v>
      </c>
      <c r="G68" s="12" t="s">
        <v>409</v>
      </c>
      <c r="H68" s="12" t="n">
        <v>13</v>
      </c>
    </row>
    <row r="69" customFormat="false" ht="12.75" hidden="false" customHeight="false" outlineLevel="0" collapsed="false">
      <c r="A69" s="12" t="s">
        <v>47</v>
      </c>
      <c r="B69" s="12" t="s">
        <v>37</v>
      </c>
      <c r="C69" s="12" t="s">
        <v>40</v>
      </c>
      <c r="D69" s="12" t="s">
        <v>407</v>
      </c>
      <c r="E69" s="12" t="n">
        <v>1</v>
      </c>
      <c r="F69" s="12" t="s">
        <v>410</v>
      </c>
      <c r="G69" s="12" t="s">
        <v>411</v>
      </c>
      <c r="H69" s="12" t="n">
        <v>10</v>
      </c>
    </row>
    <row r="70" customFormat="false" ht="12.75" hidden="false" customHeight="false" outlineLevel="0" collapsed="false">
      <c r="A70" s="12" t="s">
        <v>83</v>
      </c>
      <c r="B70" s="12" t="s">
        <v>64</v>
      </c>
      <c r="C70" s="12" t="s">
        <v>397</v>
      </c>
      <c r="D70" s="12" t="s">
        <v>404</v>
      </c>
      <c r="E70" s="12" t="n">
        <v>1</v>
      </c>
      <c r="F70" s="12" t="s">
        <v>412</v>
      </c>
      <c r="G70" s="12" t="s">
        <v>413</v>
      </c>
      <c r="H70" s="12" t="n">
        <v>5</v>
      </c>
    </row>
    <row r="71" customFormat="false" ht="12.75" hidden="false" customHeight="false" outlineLevel="0" collapsed="false">
      <c r="A71" s="12" t="s">
        <v>92</v>
      </c>
      <c r="B71" s="12" t="s">
        <v>86</v>
      </c>
      <c r="C71" s="12" t="s">
        <v>87</v>
      </c>
      <c r="D71" s="12" t="s">
        <v>414</v>
      </c>
      <c r="E71" s="12" t="n">
        <v>2</v>
      </c>
      <c r="F71" s="12" t="s">
        <v>415</v>
      </c>
      <c r="G71" s="12" t="s">
        <v>416</v>
      </c>
      <c r="H71" s="12" t="n">
        <v>5</v>
      </c>
    </row>
    <row r="72" customFormat="false" ht="12.75" hidden="false" customHeight="false" outlineLevel="0" collapsed="false">
      <c r="A72" s="12" t="s">
        <v>82</v>
      </c>
      <c r="B72" s="12" t="s">
        <v>64</v>
      </c>
      <c r="C72" s="12" t="s">
        <v>397</v>
      </c>
      <c r="D72" s="12" t="s">
        <v>398</v>
      </c>
      <c r="E72" s="12" t="n">
        <v>3</v>
      </c>
      <c r="F72" s="12" t="s">
        <v>417</v>
      </c>
      <c r="G72" s="12" t="s">
        <v>418</v>
      </c>
      <c r="H72" s="12" t="n">
        <v>5</v>
      </c>
    </row>
    <row r="73" customFormat="false" ht="12.75" hidden="false" customHeight="false" outlineLevel="0" collapsed="false">
      <c r="A73" s="12" t="s">
        <v>46</v>
      </c>
      <c r="B73" s="12" t="s">
        <v>37</v>
      </c>
      <c r="C73" s="12" t="s">
        <v>40</v>
      </c>
      <c r="D73" s="12" t="s">
        <v>394</v>
      </c>
      <c r="E73" s="12" t="n">
        <v>3</v>
      </c>
      <c r="F73" s="12" t="s">
        <v>419</v>
      </c>
      <c r="G73" s="12" t="s">
        <v>420</v>
      </c>
      <c r="H73" s="12" t="n">
        <v>13</v>
      </c>
    </row>
    <row r="74" customFormat="false" ht="12.75" hidden="false" customHeight="false" outlineLevel="0" collapsed="false">
      <c r="A74" s="12" t="s">
        <v>55</v>
      </c>
      <c r="B74" s="12" t="s">
        <v>37</v>
      </c>
      <c r="C74" s="12" t="s">
        <v>50</v>
      </c>
      <c r="D74" s="12" t="s">
        <v>378</v>
      </c>
      <c r="E74" s="12" t="n">
        <v>2</v>
      </c>
      <c r="F74" s="12" t="s">
        <v>421</v>
      </c>
      <c r="G74" s="12" t="s">
        <v>422</v>
      </c>
      <c r="H74" s="12" t="n">
        <v>3</v>
      </c>
    </row>
    <row r="75" customFormat="false" ht="12.75" hidden="false" customHeight="false" outlineLevel="0" collapsed="false">
      <c r="A75" s="12" t="s">
        <v>66</v>
      </c>
      <c r="B75" s="12" t="s">
        <v>64</v>
      </c>
      <c r="C75" s="12" t="s">
        <v>65</v>
      </c>
      <c r="D75" s="12" t="s">
        <v>375</v>
      </c>
      <c r="E75" s="12" t="n">
        <v>1</v>
      </c>
      <c r="F75" s="12" t="s">
        <v>423</v>
      </c>
      <c r="G75" s="12" t="s">
        <v>424</v>
      </c>
      <c r="H75" s="12" t="n">
        <v>2</v>
      </c>
    </row>
    <row r="76" customFormat="false" ht="12.75" hidden="false" customHeight="false" outlineLevel="0" collapsed="false">
      <c r="A76" s="12" t="s">
        <v>102</v>
      </c>
      <c r="B76" s="12" t="s">
        <v>86</v>
      </c>
      <c r="C76" s="12" t="s">
        <v>101</v>
      </c>
      <c r="D76" s="12" t="s">
        <v>381</v>
      </c>
      <c r="E76" s="12" t="n">
        <v>1</v>
      </c>
      <c r="F76" s="12" t="s">
        <v>425</v>
      </c>
      <c r="G76" s="12" t="s">
        <v>426</v>
      </c>
      <c r="H76" s="12" t="n">
        <v>5</v>
      </c>
    </row>
    <row r="77" customFormat="false" ht="12.75" hidden="false" customHeight="false" outlineLevel="0" collapsed="false">
      <c r="A77" s="12" t="s">
        <v>107</v>
      </c>
      <c r="B77" s="12" t="s">
        <v>86</v>
      </c>
      <c r="C77" s="12" t="s">
        <v>101</v>
      </c>
      <c r="D77" s="12" t="s">
        <v>391</v>
      </c>
      <c r="E77" s="12" t="n">
        <v>3</v>
      </c>
      <c r="F77" s="12" t="s">
        <v>427</v>
      </c>
      <c r="G77" s="12" t="s">
        <v>428</v>
      </c>
      <c r="H77" s="12" t="n">
        <v>5</v>
      </c>
    </row>
    <row r="78" customFormat="false" ht="12.75" hidden="false" customHeight="false" outlineLevel="0" collapsed="false">
      <c r="A78" s="12" t="s">
        <v>71</v>
      </c>
      <c r="B78" s="12" t="s">
        <v>64</v>
      </c>
      <c r="C78" s="12" t="s">
        <v>65</v>
      </c>
      <c r="D78" s="12" t="s">
        <v>386</v>
      </c>
      <c r="E78" s="12" t="n">
        <v>3</v>
      </c>
      <c r="F78" s="12" t="s">
        <v>429</v>
      </c>
      <c r="G78" s="12" t="s">
        <v>430</v>
      </c>
      <c r="H78" s="12" t="n">
        <v>13</v>
      </c>
    </row>
    <row r="79" customFormat="false" ht="12.75" hidden="false" customHeight="false" outlineLevel="0" collapsed="false">
      <c r="A79" s="12" t="s">
        <v>52</v>
      </c>
      <c r="B79" s="12" t="s">
        <v>37</v>
      </c>
      <c r="C79" s="12" t="s">
        <v>50</v>
      </c>
      <c r="D79" s="12" t="s">
        <v>372</v>
      </c>
      <c r="E79" s="12" t="n">
        <v>2</v>
      </c>
      <c r="F79" s="12" t="s">
        <v>431</v>
      </c>
      <c r="G79" s="12" t="s">
        <v>432</v>
      </c>
      <c r="H79" s="12" t="n">
        <v>0</v>
      </c>
    </row>
    <row r="80" customFormat="false" ht="12.75" hidden="false" customHeight="false" outlineLevel="0" collapsed="false">
      <c r="A80" s="12" t="s">
        <v>69</v>
      </c>
      <c r="B80" s="12" t="s">
        <v>64</v>
      </c>
      <c r="C80" s="12" t="s">
        <v>65</v>
      </c>
      <c r="D80" s="12" t="s">
        <v>386</v>
      </c>
      <c r="E80" s="12" t="n">
        <v>1</v>
      </c>
      <c r="F80" s="12" t="s">
        <v>433</v>
      </c>
      <c r="G80" s="12" t="s">
        <v>434</v>
      </c>
      <c r="H80" s="12" t="n">
        <v>2</v>
      </c>
    </row>
    <row r="81" customFormat="false" ht="12.75" hidden="false" customHeight="false" outlineLevel="0" collapsed="false">
      <c r="A81" s="12" t="s">
        <v>105</v>
      </c>
      <c r="B81" s="12" t="s">
        <v>86</v>
      </c>
      <c r="C81" s="12" t="s">
        <v>101</v>
      </c>
      <c r="D81" s="12" t="s">
        <v>391</v>
      </c>
      <c r="E81" s="12" t="n">
        <v>1</v>
      </c>
      <c r="F81" s="12" t="s">
        <v>435</v>
      </c>
      <c r="G81" s="12" t="s">
        <v>436</v>
      </c>
      <c r="H81" s="12" t="n">
        <v>5</v>
      </c>
    </row>
    <row r="82" customFormat="false" ht="12.75" hidden="false" customHeight="false" outlineLevel="0" collapsed="false">
      <c r="A82" s="12" t="s">
        <v>104</v>
      </c>
      <c r="B82" s="12" t="s">
        <v>86</v>
      </c>
      <c r="C82" s="12" t="s">
        <v>101</v>
      </c>
      <c r="D82" s="12" t="s">
        <v>381</v>
      </c>
      <c r="E82" s="12" t="n">
        <v>3</v>
      </c>
      <c r="F82" s="12" t="s">
        <v>437</v>
      </c>
      <c r="G82" s="12" t="s">
        <v>438</v>
      </c>
      <c r="H82" s="12" t="n">
        <v>5</v>
      </c>
    </row>
    <row r="83" customFormat="false" ht="12.75" hidden="false" customHeight="false" outlineLevel="0" collapsed="false">
      <c r="A83" s="12" t="s">
        <v>68</v>
      </c>
      <c r="B83" s="12" t="s">
        <v>64</v>
      </c>
      <c r="C83" s="12" t="s">
        <v>65</v>
      </c>
      <c r="D83" s="12" t="s">
        <v>375</v>
      </c>
      <c r="E83" s="12" t="n">
        <v>3</v>
      </c>
      <c r="F83" s="12" t="s">
        <v>439</v>
      </c>
      <c r="G83" s="12" t="s">
        <v>440</v>
      </c>
      <c r="H83" s="12" t="n">
        <v>6</v>
      </c>
    </row>
    <row r="84" customFormat="false" ht="12.75" hidden="false" customHeight="false" outlineLevel="0" collapsed="false">
      <c r="A84" s="12" t="s">
        <v>88</v>
      </c>
      <c r="B84" s="12" t="s">
        <v>86</v>
      </c>
      <c r="C84" s="12" t="s">
        <v>87</v>
      </c>
      <c r="D84" s="12" t="s">
        <v>401</v>
      </c>
      <c r="E84" s="12" t="n">
        <v>1</v>
      </c>
      <c r="F84" s="12" t="s">
        <v>441</v>
      </c>
      <c r="G84" s="12" t="s">
        <v>442</v>
      </c>
      <c r="H84" s="12" t="n">
        <v>5</v>
      </c>
    </row>
    <row r="85" customFormat="false" ht="12.75" hidden="false" customHeight="false" outlineLevel="0" collapsed="false">
      <c r="A85" s="12" t="s">
        <v>81</v>
      </c>
      <c r="B85" s="12" t="s">
        <v>64</v>
      </c>
      <c r="C85" s="12" t="s">
        <v>397</v>
      </c>
      <c r="D85" s="12" t="s">
        <v>398</v>
      </c>
      <c r="E85" s="12" t="n">
        <v>2</v>
      </c>
      <c r="F85" s="12" t="s">
        <v>443</v>
      </c>
      <c r="G85" s="12" t="s">
        <v>444</v>
      </c>
      <c r="H85" s="12" t="n">
        <v>5</v>
      </c>
    </row>
    <row r="86" customFormat="false" ht="12.75" hidden="false" customHeight="false" outlineLevel="0" collapsed="false">
      <c r="A86" s="12" t="s">
        <v>45</v>
      </c>
      <c r="B86" s="12" t="s">
        <v>37</v>
      </c>
      <c r="C86" s="12" t="s">
        <v>40</v>
      </c>
      <c r="D86" s="12" t="s">
        <v>394</v>
      </c>
      <c r="E86" s="12" t="n">
        <v>2</v>
      </c>
      <c r="F86" s="12" t="s">
        <v>445</v>
      </c>
      <c r="G86" s="12" t="s">
        <v>446</v>
      </c>
      <c r="H86" s="12" t="n">
        <v>21</v>
      </c>
    </row>
    <row r="87" customFormat="false" ht="12.75" hidden="false" customHeight="false" outlineLevel="0" collapsed="false">
      <c r="A87" s="12" t="s">
        <v>93</v>
      </c>
      <c r="B87" s="12" t="s">
        <v>86</v>
      </c>
      <c r="C87" s="12" t="s">
        <v>87</v>
      </c>
      <c r="D87" s="12" t="s">
        <v>414</v>
      </c>
      <c r="E87" s="12" t="n">
        <v>3</v>
      </c>
      <c r="F87" s="12" t="s">
        <v>447</v>
      </c>
      <c r="G87" s="12" t="s">
        <v>448</v>
      </c>
      <c r="H87" s="12" t="n">
        <v>5</v>
      </c>
    </row>
    <row r="88" customFormat="false" ht="12.75" hidden="false" customHeight="false" outlineLevel="0" collapsed="false">
      <c r="A88" s="12" t="s">
        <v>91</v>
      </c>
      <c r="B88" s="12" t="s">
        <v>86</v>
      </c>
      <c r="C88" s="12" t="s">
        <v>87</v>
      </c>
      <c r="D88" s="12" t="s">
        <v>414</v>
      </c>
      <c r="E88" s="12" t="n">
        <v>1</v>
      </c>
      <c r="F88" s="12" t="s">
        <v>449</v>
      </c>
      <c r="G88" s="12" t="s">
        <v>450</v>
      </c>
      <c r="H88" s="12" t="n">
        <v>5</v>
      </c>
    </row>
    <row r="89" customFormat="false" ht="12.75" hidden="false" customHeight="false" outlineLevel="0" collapsed="false">
      <c r="A89" s="12" t="s">
        <v>84</v>
      </c>
      <c r="B89" s="12" t="s">
        <v>64</v>
      </c>
      <c r="C89" s="12" t="s">
        <v>397</v>
      </c>
      <c r="D89" s="12" t="s">
        <v>404</v>
      </c>
      <c r="E89" s="12" t="n">
        <v>2</v>
      </c>
      <c r="F89" s="12" t="s">
        <v>451</v>
      </c>
      <c r="G89" s="12" t="s">
        <v>452</v>
      </c>
      <c r="H89" s="12" t="n">
        <v>20</v>
      </c>
    </row>
    <row r="90" customFormat="false" ht="12.75" hidden="false" customHeight="false" outlineLevel="0" collapsed="false">
      <c r="A90" s="12" t="s">
        <v>48</v>
      </c>
      <c r="B90" s="12" t="s">
        <v>37</v>
      </c>
      <c r="C90" s="12" t="s">
        <v>40</v>
      </c>
      <c r="D90" s="12" t="s">
        <v>407</v>
      </c>
      <c r="E90" s="12" t="n">
        <v>2</v>
      </c>
      <c r="F90" s="12" t="s">
        <v>453</v>
      </c>
      <c r="G90" s="12" t="s">
        <v>454</v>
      </c>
      <c r="H90" s="12" t="n">
        <v>1</v>
      </c>
    </row>
    <row r="91" customFormat="false" ht="12.75" hidden="false" customHeight="false" outlineLevel="0" collapsed="false">
      <c r="A91" s="12" t="s">
        <v>90</v>
      </c>
      <c r="B91" s="12" t="s">
        <v>86</v>
      </c>
      <c r="C91" s="12" t="s">
        <v>87</v>
      </c>
      <c r="D91" s="12" t="s">
        <v>401</v>
      </c>
      <c r="E91" s="12" t="n">
        <v>3</v>
      </c>
      <c r="F91" s="12" t="s">
        <v>455</v>
      </c>
      <c r="G91" s="12" t="s">
        <v>456</v>
      </c>
      <c r="H91" s="12" t="n">
        <v>5</v>
      </c>
    </row>
  </sheetData>
  <autoFilter ref="A1:H91"/>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2" activeCellId="0" sqref="A2"/>
    </sheetView>
  </sheetViews>
  <sheetFormatPr defaultColWidth="11.5078125" defaultRowHeight="12.75" zeroHeight="false" outlineLevelRow="0" outlineLevelCol="0"/>
  <cols>
    <col collapsed="false" customWidth="true" hidden="false" outlineLevel="0" max="3" min="3" style="0" width="33.51"/>
    <col collapsed="false" customWidth="true" hidden="false" outlineLevel="0" max="4" min="4" style="0" width="27.5"/>
    <col collapsed="false" customWidth="true" hidden="false" outlineLevel="0" max="5" min="5" style="0" width="29.66"/>
  </cols>
  <sheetData>
    <row r="1" customFormat="false" ht="12.75" hidden="false" customHeight="false" outlineLevel="0" collapsed="false">
      <c r="A1" s="12" t="s">
        <v>457</v>
      </c>
      <c r="B1" s="12" t="s">
        <v>194</v>
      </c>
      <c r="C1" s="12" t="s">
        <v>202</v>
      </c>
      <c r="D1" s="12" t="s">
        <v>209</v>
      </c>
      <c r="E1" s="12" t="s">
        <v>217</v>
      </c>
      <c r="F1" s="12" t="s">
        <v>458</v>
      </c>
      <c r="G1" s="12" t="s">
        <v>459</v>
      </c>
      <c r="H1" s="12" t="s">
        <v>460</v>
      </c>
      <c r="I1" s="12" t="s">
        <v>461</v>
      </c>
    </row>
    <row r="2" customFormat="false" ht="12.75" hidden="false" customHeight="false" outlineLevel="0" collapsed="false">
      <c r="A2" s="12" t="n">
        <v>0</v>
      </c>
      <c r="B2" s="12" t="s">
        <v>195</v>
      </c>
      <c r="C2" s="12" t="s">
        <v>462</v>
      </c>
      <c r="D2" s="12" t="s">
        <v>463</v>
      </c>
      <c r="E2" s="12" t="s">
        <v>464</v>
      </c>
      <c r="F2" s="12" t="n">
        <v>0</v>
      </c>
      <c r="G2" s="12" t="n">
        <v>0.25</v>
      </c>
      <c r="H2" s="12" t="n">
        <v>0.5</v>
      </c>
      <c r="I2" s="12" t="n">
        <v>1</v>
      </c>
    </row>
    <row r="3" customFormat="false" ht="12.75" hidden="false" customHeight="false" outlineLevel="0" collapsed="false">
      <c r="A3" s="12" t="n">
        <v>1</v>
      </c>
      <c r="B3" s="12" t="s">
        <v>195</v>
      </c>
      <c r="C3" s="12" t="s">
        <v>465</v>
      </c>
      <c r="D3" s="12" t="s">
        <v>466</v>
      </c>
      <c r="E3" s="12" t="s">
        <v>467</v>
      </c>
      <c r="F3" s="12" t="n">
        <v>0</v>
      </c>
      <c r="G3" s="12" t="n">
        <v>0.25</v>
      </c>
      <c r="H3" s="12" t="n">
        <v>0.5</v>
      </c>
      <c r="I3" s="12" t="n">
        <v>1</v>
      </c>
    </row>
    <row r="4" customFormat="false" ht="12.75" hidden="false" customHeight="false" outlineLevel="0" collapsed="false">
      <c r="A4" s="12" t="n">
        <v>2</v>
      </c>
      <c r="B4" s="12" t="s">
        <v>195</v>
      </c>
      <c r="C4" s="12" t="s">
        <v>468</v>
      </c>
      <c r="D4" s="12" t="s">
        <v>469</v>
      </c>
      <c r="E4" s="12" t="s">
        <v>470</v>
      </c>
      <c r="F4" s="12" t="n">
        <v>0</v>
      </c>
      <c r="G4" s="12" t="n">
        <v>0.25</v>
      </c>
      <c r="H4" s="12" t="n">
        <v>0.5</v>
      </c>
      <c r="I4" s="12" t="n">
        <v>1</v>
      </c>
    </row>
    <row r="5" customFormat="false" ht="12.75" hidden="false" customHeight="false" outlineLevel="0" collapsed="false">
      <c r="A5" s="12" t="n">
        <v>3</v>
      </c>
      <c r="B5" s="12" t="s">
        <v>195</v>
      </c>
      <c r="C5" s="12" t="s">
        <v>471</v>
      </c>
      <c r="D5" s="12" t="s">
        <v>472</v>
      </c>
      <c r="E5" s="12" t="s">
        <v>473</v>
      </c>
      <c r="F5" s="12" t="n">
        <v>0</v>
      </c>
      <c r="G5" s="12" t="n">
        <v>0.25</v>
      </c>
      <c r="H5" s="12" t="n">
        <v>0.5</v>
      </c>
      <c r="I5" s="12" t="n">
        <v>1</v>
      </c>
    </row>
    <row r="6" customFormat="false" ht="12.75" hidden="false" customHeight="false" outlineLevel="0" collapsed="false">
      <c r="A6" s="12" t="n">
        <v>4</v>
      </c>
      <c r="B6" s="12" t="s">
        <v>195</v>
      </c>
      <c r="C6" s="12" t="s">
        <v>474</v>
      </c>
      <c r="D6" s="12" t="s">
        <v>475</v>
      </c>
      <c r="E6" s="12" t="s">
        <v>476</v>
      </c>
      <c r="F6" s="12" t="n">
        <v>0</v>
      </c>
      <c r="G6" s="12" t="n">
        <v>0.25</v>
      </c>
      <c r="H6" s="12" t="n">
        <v>0.5</v>
      </c>
      <c r="I6" s="12" t="n">
        <v>1</v>
      </c>
    </row>
    <row r="7" customFormat="false" ht="12.75" hidden="false" customHeight="false" outlineLevel="0" collapsed="false">
      <c r="A7" s="12" t="n">
        <v>5</v>
      </c>
      <c r="B7" s="12" t="s">
        <v>195</v>
      </c>
      <c r="C7" s="12" t="s">
        <v>477</v>
      </c>
      <c r="D7" s="12" t="s">
        <v>478</v>
      </c>
      <c r="E7" s="12" t="s">
        <v>479</v>
      </c>
      <c r="F7" s="12" t="n">
        <v>0</v>
      </c>
      <c r="G7" s="12" t="n">
        <v>0.25</v>
      </c>
      <c r="H7" s="12" t="n">
        <v>0.5</v>
      </c>
      <c r="I7" s="12" t="n">
        <v>1</v>
      </c>
    </row>
    <row r="8" customFormat="false" ht="12.75" hidden="false" customHeight="false" outlineLevel="0" collapsed="false">
      <c r="A8" s="12" t="n">
        <v>6</v>
      </c>
      <c r="B8" s="12" t="s">
        <v>195</v>
      </c>
      <c r="C8" s="12" t="s">
        <v>480</v>
      </c>
      <c r="D8" s="12" t="s">
        <v>481</v>
      </c>
      <c r="E8" s="12" t="s">
        <v>482</v>
      </c>
      <c r="F8" s="12" t="n">
        <v>0</v>
      </c>
      <c r="G8" s="12" t="n">
        <v>0.25</v>
      </c>
      <c r="H8" s="12" t="n">
        <v>0.5</v>
      </c>
      <c r="I8" s="12" t="n">
        <v>1</v>
      </c>
    </row>
    <row r="9" customFormat="false" ht="12.75" hidden="false" customHeight="false" outlineLevel="0" collapsed="false">
      <c r="A9" s="12" t="n">
        <v>7</v>
      </c>
      <c r="B9" s="12" t="s">
        <v>195</v>
      </c>
      <c r="C9" s="12" t="s">
        <v>483</v>
      </c>
      <c r="D9" s="12" t="s">
        <v>484</v>
      </c>
      <c r="E9" s="12" t="s">
        <v>485</v>
      </c>
      <c r="F9" s="12" t="n">
        <v>0</v>
      </c>
      <c r="G9" s="12" t="n">
        <v>0.25</v>
      </c>
      <c r="H9" s="12" t="n">
        <v>0.5</v>
      </c>
      <c r="I9" s="12" t="n">
        <v>1</v>
      </c>
    </row>
    <row r="10" customFormat="false" ht="12.75" hidden="false" customHeight="false" outlineLevel="0" collapsed="false">
      <c r="A10" s="12" t="n">
        <v>8</v>
      </c>
      <c r="B10" s="12" t="s">
        <v>195</v>
      </c>
      <c r="C10" s="12" t="s">
        <v>486</v>
      </c>
      <c r="D10" s="12" t="s">
        <v>487</v>
      </c>
      <c r="E10" s="12" t="s">
        <v>488</v>
      </c>
      <c r="F10" s="12" t="n">
        <v>0</v>
      </c>
      <c r="G10" s="12" t="n">
        <v>0.25</v>
      </c>
      <c r="H10" s="12" t="n">
        <v>0.5</v>
      </c>
      <c r="I10" s="12" t="n">
        <v>1</v>
      </c>
    </row>
    <row r="11" customFormat="false" ht="12.75" hidden="false" customHeight="false" outlineLevel="0" collapsed="false">
      <c r="A11" s="12" t="n">
        <v>9</v>
      </c>
      <c r="B11" s="12" t="s">
        <v>195</v>
      </c>
      <c r="C11" s="12" t="s">
        <v>489</v>
      </c>
      <c r="D11" s="12" t="s">
        <v>490</v>
      </c>
      <c r="E11" s="12" t="s">
        <v>491</v>
      </c>
      <c r="F11" s="12" t="n">
        <v>0</v>
      </c>
      <c r="G11" s="12" t="n">
        <v>0.25</v>
      </c>
      <c r="H11" s="12" t="n">
        <v>0.5</v>
      </c>
      <c r="I11" s="12" t="n">
        <v>1</v>
      </c>
    </row>
    <row r="12" customFormat="false" ht="12.75" hidden="false" customHeight="false" outlineLevel="0" collapsed="false">
      <c r="A12" s="12" t="n">
        <v>10</v>
      </c>
      <c r="B12" s="12" t="s">
        <v>195</v>
      </c>
      <c r="C12" s="12" t="s">
        <v>492</v>
      </c>
      <c r="D12" s="12" t="s">
        <v>493</v>
      </c>
      <c r="E12" s="12" t="s">
        <v>494</v>
      </c>
      <c r="F12" s="12" t="n">
        <v>0</v>
      </c>
      <c r="G12" s="12" t="n">
        <v>0.25</v>
      </c>
      <c r="H12" s="12" t="n">
        <v>0.5</v>
      </c>
      <c r="I12" s="12" t="n">
        <v>1</v>
      </c>
    </row>
    <row r="13" customFormat="false" ht="12.75" hidden="false" customHeight="false" outlineLevel="0" collapsed="false">
      <c r="A13" s="12" t="n">
        <v>11</v>
      </c>
      <c r="B13" s="12" t="s">
        <v>195</v>
      </c>
      <c r="C13" s="12" t="s">
        <v>495</v>
      </c>
      <c r="D13" s="12" t="s">
        <v>496</v>
      </c>
      <c r="E13" s="12" t="s">
        <v>497</v>
      </c>
      <c r="F13" s="12" t="n">
        <v>0</v>
      </c>
      <c r="G13" s="12" t="n">
        <v>0.25</v>
      </c>
      <c r="H13" s="12" t="n">
        <v>0.5</v>
      </c>
      <c r="I13" s="12" t="n">
        <v>1</v>
      </c>
    </row>
    <row r="14" customFormat="false" ht="12.75" hidden="false" customHeight="false" outlineLevel="0" collapsed="false">
      <c r="A14" s="12" t="n">
        <v>12</v>
      </c>
      <c r="B14" s="12" t="s">
        <v>195</v>
      </c>
      <c r="C14" s="12" t="s">
        <v>498</v>
      </c>
      <c r="D14" s="12" t="s">
        <v>499</v>
      </c>
      <c r="E14" s="12" t="s">
        <v>500</v>
      </c>
      <c r="F14" s="12" t="n">
        <v>0</v>
      </c>
      <c r="G14" s="12" t="n">
        <v>0.25</v>
      </c>
      <c r="H14" s="12" t="n">
        <v>0.5</v>
      </c>
      <c r="I14" s="12" t="n">
        <v>1</v>
      </c>
    </row>
    <row r="15" customFormat="false" ht="12.75" hidden="false" customHeight="false" outlineLevel="0" collapsed="false">
      <c r="A15" s="12" t="n">
        <v>13</v>
      </c>
      <c r="B15" s="12" t="s">
        <v>195</v>
      </c>
      <c r="C15" s="12" t="s">
        <v>501</v>
      </c>
      <c r="D15" s="12" t="s">
        <v>502</v>
      </c>
      <c r="E15" s="12" t="s">
        <v>169</v>
      </c>
      <c r="F15" s="12" t="n">
        <v>0</v>
      </c>
      <c r="G15" s="12" t="n">
        <v>0.25</v>
      </c>
      <c r="H15" s="12" t="n">
        <v>0.5</v>
      </c>
      <c r="I15" s="12" t="n">
        <v>1</v>
      </c>
    </row>
    <row r="16" customFormat="false" ht="12.75" hidden="false" customHeight="false" outlineLevel="0" collapsed="false">
      <c r="A16" s="12" t="n">
        <v>14</v>
      </c>
      <c r="B16" s="12" t="s">
        <v>195</v>
      </c>
      <c r="C16" s="12" t="s">
        <v>503</v>
      </c>
      <c r="D16" s="12" t="s">
        <v>504</v>
      </c>
      <c r="E16" s="12" t="s">
        <v>505</v>
      </c>
      <c r="F16" s="12" t="n">
        <v>0</v>
      </c>
      <c r="G16" s="12" t="n">
        <v>0.25</v>
      </c>
      <c r="H16" s="12" t="n">
        <v>0.5</v>
      </c>
      <c r="I16" s="12" t="n">
        <v>1</v>
      </c>
    </row>
    <row r="17" customFormat="false" ht="12.75" hidden="false" customHeight="false" outlineLevel="0" collapsed="false">
      <c r="A17" s="12" t="n">
        <v>15</v>
      </c>
      <c r="B17" s="12" t="s">
        <v>195</v>
      </c>
      <c r="C17" s="12" t="s">
        <v>506</v>
      </c>
      <c r="D17" s="12" t="s">
        <v>220</v>
      </c>
      <c r="E17" s="12" t="s">
        <v>221</v>
      </c>
      <c r="F17" s="12" t="n">
        <v>0</v>
      </c>
      <c r="G17" s="12" t="n">
        <v>0.25</v>
      </c>
      <c r="H17" s="12" t="n">
        <v>0.5</v>
      </c>
      <c r="I17" s="12" t="n">
        <v>1</v>
      </c>
    </row>
    <row r="18" customFormat="false" ht="12.75" hidden="false" customHeight="false" outlineLevel="0" collapsed="false">
      <c r="A18" s="12" t="n">
        <v>16</v>
      </c>
      <c r="B18" s="12" t="s">
        <v>195</v>
      </c>
      <c r="C18" s="12" t="s">
        <v>507</v>
      </c>
      <c r="D18" s="12" t="s">
        <v>508</v>
      </c>
      <c r="E18" s="12" t="s">
        <v>509</v>
      </c>
      <c r="F18" s="12" t="n">
        <v>0</v>
      </c>
      <c r="G18" s="12" t="n">
        <v>0.25</v>
      </c>
      <c r="H18" s="12" t="n">
        <v>0.5</v>
      </c>
      <c r="I18" s="12" t="n">
        <v>1</v>
      </c>
    </row>
    <row r="19" customFormat="false" ht="12.75" hidden="false" customHeight="false" outlineLevel="0" collapsed="false">
      <c r="A19" s="12" t="n">
        <v>17</v>
      </c>
      <c r="B19" s="12" t="s">
        <v>195</v>
      </c>
      <c r="C19" s="12" t="s">
        <v>510</v>
      </c>
      <c r="D19" s="12" t="s">
        <v>511</v>
      </c>
      <c r="E19" s="12" t="s">
        <v>512</v>
      </c>
      <c r="F19" s="12" t="n">
        <v>0</v>
      </c>
      <c r="G19" s="12" t="n">
        <v>0.25</v>
      </c>
      <c r="H19" s="12" t="n">
        <v>0.5</v>
      </c>
      <c r="I19" s="12" t="n">
        <v>1</v>
      </c>
    </row>
    <row r="20" customFormat="false" ht="12.75" hidden="false" customHeight="false" outlineLevel="0" collapsed="false">
      <c r="A20" s="12" t="n">
        <v>18</v>
      </c>
      <c r="B20" s="12" t="s">
        <v>195</v>
      </c>
      <c r="C20" s="12" t="s">
        <v>513</v>
      </c>
      <c r="D20" s="12" t="s">
        <v>514</v>
      </c>
      <c r="E20" s="12" t="s">
        <v>515</v>
      </c>
      <c r="F20" s="12" t="n">
        <v>0</v>
      </c>
      <c r="G20" s="12" t="n">
        <v>0.25</v>
      </c>
      <c r="H20" s="12" t="n">
        <v>0.5</v>
      </c>
      <c r="I20" s="12" t="n">
        <v>1</v>
      </c>
    </row>
    <row r="21" customFormat="false" ht="12.75" hidden="false" customHeight="false" outlineLevel="0" collapsed="false">
      <c r="A21" s="12" t="n">
        <v>19</v>
      </c>
      <c r="B21" s="12" t="s">
        <v>195</v>
      </c>
      <c r="C21" s="12" t="s">
        <v>516</v>
      </c>
      <c r="D21" s="12" t="s">
        <v>517</v>
      </c>
      <c r="E21" s="12" t="s">
        <v>518</v>
      </c>
      <c r="F21" s="12" t="n">
        <v>0</v>
      </c>
      <c r="G21" s="12" t="n">
        <v>0.25</v>
      </c>
      <c r="H21" s="12" t="n">
        <v>0.5</v>
      </c>
      <c r="I21" s="12" t="n">
        <v>1</v>
      </c>
    </row>
    <row r="22" customFormat="false" ht="12.75" hidden="false" customHeight="false" outlineLevel="0" collapsed="false">
      <c r="A22" s="12" t="n">
        <v>20</v>
      </c>
      <c r="B22" s="12" t="s">
        <v>195</v>
      </c>
      <c r="C22" s="12" t="s">
        <v>519</v>
      </c>
      <c r="D22" s="12" t="s">
        <v>520</v>
      </c>
      <c r="E22" s="12" t="s">
        <v>521</v>
      </c>
      <c r="F22" s="12" t="n">
        <v>0</v>
      </c>
      <c r="G22" s="12" t="n">
        <v>0.25</v>
      </c>
      <c r="H22" s="12" t="n">
        <v>0.5</v>
      </c>
      <c r="I22" s="12" t="n">
        <v>1</v>
      </c>
    </row>
    <row r="23" customFormat="false" ht="12.75" hidden="false" customHeight="false" outlineLevel="0" collapsed="false">
      <c r="A23" s="12" t="n">
        <v>21</v>
      </c>
      <c r="B23" s="12" t="s">
        <v>195</v>
      </c>
      <c r="C23" s="12" t="s">
        <v>522</v>
      </c>
      <c r="D23" s="12" t="s">
        <v>168</v>
      </c>
      <c r="E23" s="12" t="s">
        <v>523</v>
      </c>
      <c r="F23" s="12" t="n">
        <v>0</v>
      </c>
      <c r="G23" s="12" t="n">
        <v>0.25</v>
      </c>
      <c r="H23" s="12" t="n">
        <v>0.5</v>
      </c>
      <c r="I23" s="12" t="n">
        <v>1</v>
      </c>
    </row>
    <row r="24" customFormat="false" ht="12.75" hidden="false" customHeight="false" outlineLevel="0" collapsed="false">
      <c r="A24" s="12" t="n">
        <v>22</v>
      </c>
      <c r="B24" s="12" t="s">
        <v>195</v>
      </c>
      <c r="C24" s="12" t="s">
        <v>524</v>
      </c>
      <c r="D24" s="12" t="s">
        <v>525</v>
      </c>
      <c r="E24" s="12" t="s">
        <v>526</v>
      </c>
      <c r="F24" s="12" t="n">
        <v>0</v>
      </c>
      <c r="G24" s="12" t="n">
        <v>0.25</v>
      </c>
      <c r="H24" s="12" t="n">
        <v>0.5</v>
      </c>
      <c r="I24" s="12" t="n">
        <v>1</v>
      </c>
    </row>
    <row r="25" customFormat="false" ht="12.75" hidden="false" customHeight="false" outlineLevel="0" collapsed="false">
      <c r="A25" s="12" t="n">
        <v>23</v>
      </c>
      <c r="B25" s="12" t="s">
        <v>195</v>
      </c>
      <c r="C25" s="12" t="s">
        <v>527</v>
      </c>
      <c r="D25" s="12" t="s">
        <v>528</v>
      </c>
      <c r="E25" s="12" t="s">
        <v>529</v>
      </c>
      <c r="F25" s="12" t="n">
        <v>0</v>
      </c>
      <c r="G25" s="12" t="n">
        <v>0.25</v>
      </c>
      <c r="H25" s="12" t="n">
        <v>0.5</v>
      </c>
      <c r="I25" s="12" t="n">
        <v>1</v>
      </c>
    </row>
    <row r="26" customFormat="false" ht="12.75" hidden="false" customHeight="false" outlineLevel="0" collapsed="false">
      <c r="A26" s="12" t="n">
        <v>24</v>
      </c>
      <c r="B26" s="12" t="s">
        <v>195</v>
      </c>
      <c r="C26" s="12" t="s">
        <v>167</v>
      </c>
      <c r="D26" s="12" t="s">
        <v>530</v>
      </c>
      <c r="E26" s="12" t="s">
        <v>531</v>
      </c>
      <c r="F26" s="12" t="n">
        <v>0</v>
      </c>
      <c r="G26" s="12" t="n">
        <v>0.25</v>
      </c>
      <c r="H26" s="12" t="n">
        <v>0.5</v>
      </c>
      <c r="I26" s="12" t="n">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8.83203125" defaultRowHeight="12.75" zeroHeight="false" outlineLevelRow="0" outlineLevelCol="0"/>
  <cols>
    <col collapsed="false" customWidth="true" hidden="false" outlineLevel="0" max="1" min="1" style="385" width="170.33"/>
    <col collapsed="false" customWidth="false" hidden="false" outlineLevel="0" max="16384" min="2" style="385" width="8.83"/>
  </cols>
  <sheetData>
    <row r="1" customFormat="false" ht="24.75" hidden="false" customHeight="false" outlineLevel="0" collapsed="false">
      <c r="A1" s="386" t="s">
        <v>532</v>
      </c>
    </row>
  </sheetData>
  <sheetProtection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LibreOffice/24.2.5.2$MacOSX_X86_64 LibreOffice_project/bffef4ea93e59bebbeaf7f431bb02b1a39ee8a59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2009-06-08T07:01:59Z</dcterms:created>
  <dc:creator>The SAMM project team</dc:creator>
  <dc:description/>
  <dc:language>en-US</dc:language>
  <cp:lastModifiedBy/>
  <dcterms:modified xsi:type="dcterms:W3CDTF">2024-12-31T10:30:06Z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