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castano\Downloads\"/>
    </mc:Choice>
  </mc:AlternateContent>
  <xr:revisionPtr revIDLastSave="0" documentId="13_ncr:1_{DB33EAD2-E026-4F62-B054-187F92ED791B}" xr6:coauthVersionLast="47" xr6:coauthVersionMax="47" xr10:uidLastSave="{00000000-0000-0000-0000-000000000000}"/>
  <bookViews>
    <workbookView xWindow="-120" yWindow="-120" windowWidth="21840" windowHeight="13140" firstSheet="7" activeTab="7" xr2:uid="{00000000-000D-0000-FFFF-FFFF00000000}"/>
  </bookViews>
  <sheets>
    <sheet name="DP 2017 (2)" sheetId="2" state="hidden" r:id="rId1"/>
    <sheet name="DP 2017" sheetId="1" state="hidden" r:id="rId2"/>
    <sheet name="HT" sheetId="3" state="hidden" r:id="rId3"/>
    <sheet name="DERECHOS PECUNIARIOS 2019" sheetId="4" state="hidden" r:id="rId4"/>
    <sheet name="DERECHOS PECUNIARIOS 2020" sheetId="5" state="hidden" r:id="rId5"/>
    <sheet name="DERECHOS PECUNIARIOS 2021" sheetId="6" state="hidden" r:id="rId6"/>
    <sheet name="DERECHOS PECUNIARIOS 2022" sheetId="7" state="hidden" r:id="rId7"/>
    <sheet name="DERECHOS PECUNIARIOS 2023" sheetId="9" r:id="rId8"/>
    <sheet name="Hoja1" sheetId="10" r:id="rId9"/>
    <sheet name="DERECHOS PECUNIARIOS 2022 (2)" sheetId="8" state="hidden" r:id="rId10"/>
  </sheets>
  <definedNames>
    <definedName name="_xlnm.Print_Area" localSheetId="3">'DERECHOS PECUNIARIOS 2019'!$A$1:$K$58</definedName>
    <definedName name="_xlnm.Print_Area" localSheetId="4">'DERECHOS PECUNIARIOS 2020'!$A$1:$K$60</definedName>
    <definedName name="_xlnm.Print_Area" localSheetId="5">'DERECHOS PECUNIARIOS 2021'!$A$1:$K$73</definedName>
    <definedName name="_xlnm.Print_Area" localSheetId="6">'DERECHOS PECUNIARIOS 2022'!$A$1:$L$89</definedName>
    <definedName name="_xlnm.Print_Area" localSheetId="9">'DERECHOS PECUNIARIOS 2022 (2)'!$A$1:$L$85</definedName>
    <definedName name="_xlnm.Print_Area" localSheetId="7">'DERECHOS PECUNIARIOS 2023'!$A$1:$L$88</definedName>
    <definedName name="_xlnm.Print_Area" localSheetId="2">HT!$A$1:$K$58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9" l="1"/>
  <c r="L6" i="9"/>
  <c r="J47" i="9"/>
  <c r="J18" i="9" l="1"/>
  <c r="J86" i="9"/>
  <c r="J87" i="9"/>
  <c r="J88" i="9"/>
  <c r="K88" i="9" l="1"/>
  <c r="L88" i="9" s="1"/>
  <c r="K87" i="9"/>
  <c r="L87" i="9" s="1"/>
  <c r="K47" i="9"/>
  <c r="L47" i="9" s="1"/>
  <c r="J6" i="7"/>
  <c r="J6" i="9"/>
  <c r="K6" i="9" s="1"/>
  <c r="J85" i="9"/>
  <c r="K85" i="9" s="1"/>
  <c r="L85" i="9" s="1"/>
  <c r="J84" i="9"/>
  <c r="K84" i="9" s="1"/>
  <c r="L84" i="9" s="1"/>
  <c r="J83" i="9"/>
  <c r="K83" i="9" s="1"/>
  <c r="L83" i="9" s="1"/>
  <c r="J82" i="9"/>
  <c r="K82" i="9" s="1"/>
  <c r="L82" i="9" s="1"/>
  <c r="J81" i="9"/>
  <c r="K81" i="9" s="1"/>
  <c r="L81" i="9" s="1"/>
  <c r="J80" i="9"/>
  <c r="K80" i="9" s="1"/>
  <c r="L80" i="9" s="1"/>
  <c r="J79" i="9"/>
  <c r="K79" i="9" s="1"/>
  <c r="L79" i="9" s="1"/>
  <c r="J78" i="9"/>
  <c r="K78" i="9" s="1"/>
  <c r="L78" i="9" s="1"/>
  <c r="J77" i="9"/>
  <c r="K77" i="9" s="1"/>
  <c r="L77" i="9" s="1"/>
  <c r="J76" i="9"/>
  <c r="K76" i="9" s="1"/>
  <c r="L76" i="9" s="1"/>
  <c r="J75" i="9"/>
  <c r="K75" i="9" s="1"/>
  <c r="L75" i="9" s="1"/>
  <c r="J74" i="9"/>
  <c r="K74" i="9" s="1"/>
  <c r="L74" i="9" s="1"/>
  <c r="J73" i="9"/>
  <c r="K73" i="9" s="1"/>
  <c r="L73" i="9" s="1"/>
  <c r="J72" i="9"/>
  <c r="K72" i="9" s="1"/>
  <c r="L72" i="9" s="1"/>
  <c r="J71" i="9"/>
  <c r="K71" i="9" s="1"/>
  <c r="L71" i="9" s="1"/>
  <c r="J70" i="9"/>
  <c r="K70" i="9" s="1"/>
  <c r="L70" i="9" s="1"/>
  <c r="J69" i="9"/>
  <c r="K69" i="9" s="1"/>
  <c r="L69" i="9" s="1"/>
  <c r="J68" i="9"/>
  <c r="K68" i="9" s="1"/>
  <c r="L68" i="9" s="1"/>
  <c r="J67" i="9"/>
  <c r="K67" i="9" s="1"/>
  <c r="L67" i="9" s="1"/>
  <c r="J66" i="9"/>
  <c r="K66" i="9" s="1"/>
  <c r="L66" i="9" s="1"/>
  <c r="J65" i="9"/>
  <c r="K65" i="9" s="1"/>
  <c r="L65" i="9" s="1"/>
  <c r="J64" i="9"/>
  <c r="K64" i="9" s="1"/>
  <c r="L64" i="9" s="1"/>
  <c r="J63" i="9"/>
  <c r="K63" i="9" s="1"/>
  <c r="L63" i="9" s="1"/>
  <c r="J62" i="9"/>
  <c r="K62" i="9" s="1"/>
  <c r="L62" i="9" s="1"/>
  <c r="J61" i="9"/>
  <c r="K61" i="9" s="1"/>
  <c r="L61" i="9" s="1"/>
  <c r="J60" i="9"/>
  <c r="K60" i="9" s="1"/>
  <c r="L60" i="9" s="1"/>
  <c r="J59" i="9"/>
  <c r="K59" i="9" s="1"/>
  <c r="L59" i="9" s="1"/>
  <c r="J58" i="9"/>
  <c r="K58" i="9" s="1"/>
  <c r="L58" i="9" s="1"/>
  <c r="J57" i="9"/>
  <c r="K57" i="9" s="1"/>
  <c r="L57" i="9" s="1"/>
  <c r="J56" i="9"/>
  <c r="K56" i="9" s="1"/>
  <c r="L56" i="9" s="1"/>
  <c r="J55" i="9"/>
  <c r="K55" i="9" s="1"/>
  <c r="L55" i="9" s="1"/>
  <c r="J54" i="9"/>
  <c r="K54" i="9" s="1"/>
  <c r="L54" i="9" s="1"/>
  <c r="J53" i="9"/>
  <c r="K53" i="9" s="1"/>
  <c r="L53" i="9" s="1"/>
  <c r="J52" i="9"/>
  <c r="K52" i="9" s="1"/>
  <c r="L52" i="9" s="1"/>
  <c r="J48" i="9"/>
  <c r="K48" i="9" s="1"/>
  <c r="L48" i="9" s="1"/>
  <c r="J42" i="9"/>
  <c r="K42" i="9" s="1"/>
  <c r="L42" i="9" s="1"/>
  <c r="J41" i="9"/>
  <c r="K41" i="9" s="1"/>
  <c r="L41" i="9" s="1"/>
  <c r="J40" i="9"/>
  <c r="K40" i="9" s="1"/>
  <c r="L40" i="9" s="1"/>
  <c r="J39" i="9"/>
  <c r="K39" i="9" s="1"/>
  <c r="L39" i="9" s="1"/>
  <c r="J38" i="9"/>
  <c r="K38" i="9" s="1"/>
  <c r="L38" i="9" s="1"/>
  <c r="J33" i="9"/>
  <c r="K33" i="9" s="1"/>
  <c r="L33" i="9" s="1"/>
  <c r="N32" i="9"/>
  <c r="O32" i="9" s="1"/>
  <c r="J32" i="9"/>
  <c r="K32" i="9" s="1"/>
  <c r="L32" i="9" s="1"/>
  <c r="J31" i="9"/>
  <c r="K31" i="9" s="1"/>
  <c r="L31" i="9" s="1"/>
  <c r="J30" i="9"/>
  <c r="J29" i="9"/>
  <c r="J28" i="9"/>
  <c r="K28" i="9" s="1"/>
  <c r="J27" i="9"/>
  <c r="K27" i="9" s="1"/>
  <c r="L27" i="9" s="1"/>
  <c r="J26" i="9"/>
  <c r="K26" i="9" s="1"/>
  <c r="L26" i="9" s="1"/>
  <c r="J25" i="9"/>
  <c r="K25" i="9" s="1"/>
  <c r="L25" i="9" s="1"/>
  <c r="J24" i="9"/>
  <c r="J23" i="9"/>
  <c r="K23" i="9" s="1"/>
  <c r="L23" i="9" s="1"/>
  <c r="K18" i="9"/>
  <c r="L18" i="9" s="1"/>
  <c r="J17" i="9"/>
  <c r="K17" i="9" s="1"/>
  <c r="L17" i="9" s="1"/>
  <c r="J16" i="9"/>
  <c r="K16" i="9" s="1"/>
  <c r="L16" i="9" s="1"/>
  <c r="J11" i="9"/>
  <c r="K11" i="9" s="1"/>
  <c r="L11" i="9" s="1"/>
  <c r="J10" i="9"/>
  <c r="K10" i="9" s="1"/>
  <c r="L10" i="9" s="1"/>
  <c r="J9" i="9"/>
  <c r="K9" i="9" s="1"/>
  <c r="L9" i="9" s="1"/>
  <c r="A9" i="9"/>
  <c r="A10" i="9" s="1"/>
  <c r="A11" i="9" s="1"/>
  <c r="J8" i="9"/>
  <c r="K8" i="9" s="1"/>
  <c r="L8" i="9" s="1"/>
  <c r="J7" i="9"/>
  <c r="K7" i="9" s="1"/>
  <c r="L7" i="9" s="1"/>
  <c r="K29" i="9" l="1"/>
  <c r="L29" i="9" s="1"/>
  <c r="P29" i="9" s="1"/>
  <c r="Q29" i="9" s="1"/>
  <c r="P27" i="9"/>
  <c r="Q27" i="9" s="1"/>
  <c r="K24" i="9"/>
  <c r="L24" i="9" s="1"/>
  <c r="P24" i="9" s="1"/>
  <c r="Q24" i="9" s="1"/>
  <c r="K30" i="9"/>
  <c r="L30" i="9" s="1"/>
  <c r="P30" i="9" s="1"/>
  <c r="Q30" i="9" s="1"/>
  <c r="P23" i="9"/>
  <c r="Q23" i="9" s="1"/>
  <c r="N20" i="9" s="1"/>
  <c r="N21" i="9" s="1"/>
  <c r="P32" i="9"/>
  <c r="Q32" i="9" s="1"/>
  <c r="AU1" i="8"/>
  <c r="AQ29" i="8" s="1"/>
  <c r="AT1" i="8"/>
  <c r="AQ9" i="8" s="1"/>
  <c r="J84" i="8"/>
  <c r="K84" i="8" s="1"/>
  <c r="L84" i="8" s="1"/>
  <c r="J83" i="8"/>
  <c r="K83" i="8" s="1"/>
  <c r="L83" i="8" s="1"/>
  <c r="L82" i="8"/>
  <c r="J82" i="8"/>
  <c r="J81" i="8"/>
  <c r="K81" i="8" s="1"/>
  <c r="L81" i="8" s="1"/>
  <c r="J80" i="8"/>
  <c r="K80" i="8" s="1"/>
  <c r="L80" i="8" s="1"/>
  <c r="J79" i="8"/>
  <c r="K79" i="8" s="1"/>
  <c r="L79" i="8" s="1"/>
  <c r="J78" i="8"/>
  <c r="K78" i="8" s="1"/>
  <c r="L78" i="8" s="1"/>
  <c r="J77" i="8"/>
  <c r="K77" i="8" s="1"/>
  <c r="L77" i="8" s="1"/>
  <c r="J76" i="8"/>
  <c r="K76" i="8" s="1"/>
  <c r="L76" i="8" s="1"/>
  <c r="J75" i="8"/>
  <c r="K75" i="8" s="1"/>
  <c r="L75" i="8" s="1"/>
  <c r="L74" i="8"/>
  <c r="J74" i="8"/>
  <c r="J73" i="8"/>
  <c r="K73" i="8" s="1"/>
  <c r="L73" i="8" s="1"/>
  <c r="J72" i="8"/>
  <c r="K72" i="8" s="1"/>
  <c r="L72" i="8" s="1"/>
  <c r="J71" i="8"/>
  <c r="K71" i="8" s="1"/>
  <c r="L71" i="8" s="1"/>
  <c r="L70" i="8"/>
  <c r="J70" i="8"/>
  <c r="J69" i="8"/>
  <c r="K69" i="8" s="1"/>
  <c r="L69" i="8" s="1"/>
  <c r="J68" i="8"/>
  <c r="K68" i="8" s="1"/>
  <c r="L68" i="8" s="1"/>
  <c r="J67" i="8"/>
  <c r="K67" i="8" s="1"/>
  <c r="L67" i="8" s="1"/>
  <c r="J66" i="8"/>
  <c r="K66" i="8" s="1"/>
  <c r="L66" i="8" s="1"/>
  <c r="J65" i="8"/>
  <c r="K65" i="8" s="1"/>
  <c r="L65" i="8" s="1"/>
  <c r="J64" i="8"/>
  <c r="K64" i="8" s="1"/>
  <c r="L64" i="8" s="1"/>
  <c r="J63" i="8"/>
  <c r="K63" i="8" s="1"/>
  <c r="L63" i="8" s="1"/>
  <c r="L62" i="8"/>
  <c r="J62" i="8"/>
  <c r="J61" i="8"/>
  <c r="K61" i="8" s="1"/>
  <c r="L61" i="8" s="1"/>
  <c r="J60" i="8"/>
  <c r="K60" i="8" s="1"/>
  <c r="L60" i="8" s="1"/>
  <c r="J59" i="8"/>
  <c r="K59" i="8" s="1"/>
  <c r="L59" i="8" s="1"/>
  <c r="J58" i="8"/>
  <c r="K58" i="8" s="1"/>
  <c r="L58" i="8" s="1"/>
  <c r="J57" i="8"/>
  <c r="K57" i="8" s="1"/>
  <c r="L57" i="8" s="1"/>
  <c r="J56" i="8"/>
  <c r="K56" i="8" s="1"/>
  <c r="L56" i="8" s="1"/>
  <c r="L55" i="8"/>
  <c r="J55" i="8"/>
  <c r="J54" i="8"/>
  <c r="K54" i="8" s="1"/>
  <c r="L54" i="8" s="1"/>
  <c r="J53" i="8"/>
  <c r="K53" i="8" s="1"/>
  <c r="L53" i="8" s="1"/>
  <c r="J52" i="8"/>
  <c r="K52" i="8" s="1"/>
  <c r="L52" i="8" s="1"/>
  <c r="J51" i="8"/>
  <c r="K51" i="8" s="1"/>
  <c r="L51" i="8" s="1"/>
  <c r="J47" i="8"/>
  <c r="K47" i="8" s="1"/>
  <c r="L47" i="8" s="1"/>
  <c r="J46" i="8"/>
  <c r="K46" i="8" s="1"/>
  <c r="L46" i="8" s="1"/>
  <c r="J41" i="8"/>
  <c r="K41" i="8" s="1"/>
  <c r="L41" i="8" s="1"/>
  <c r="J40" i="8"/>
  <c r="K40" i="8" s="1"/>
  <c r="L40" i="8" s="1"/>
  <c r="J39" i="8"/>
  <c r="K39" i="8" s="1"/>
  <c r="L39" i="8" s="1"/>
  <c r="J38" i="8"/>
  <c r="K38" i="8" s="1"/>
  <c r="L38" i="8" s="1"/>
  <c r="J33" i="8"/>
  <c r="K33" i="8" s="1"/>
  <c r="L33" i="8" s="1"/>
  <c r="N32" i="8"/>
  <c r="O32" i="8" s="1"/>
  <c r="J32" i="8"/>
  <c r="K32" i="8" s="1"/>
  <c r="L32" i="8" s="1"/>
  <c r="J31" i="8"/>
  <c r="K31" i="8" s="1"/>
  <c r="L31" i="8" s="1"/>
  <c r="J30" i="8"/>
  <c r="K30" i="8" s="1"/>
  <c r="L30" i="8" s="1"/>
  <c r="P30" i="8" s="1"/>
  <c r="Q30" i="8" s="1"/>
  <c r="J29" i="8"/>
  <c r="K29" i="8" s="1"/>
  <c r="L29" i="8" s="1"/>
  <c r="P29" i="8" s="1"/>
  <c r="Q29" i="8" s="1"/>
  <c r="J28" i="8"/>
  <c r="K28" i="8" s="1"/>
  <c r="L28" i="8" s="1"/>
  <c r="J27" i="8"/>
  <c r="K27" i="8" s="1"/>
  <c r="L27" i="8" s="1"/>
  <c r="P27" i="8" s="1"/>
  <c r="Q27" i="8" s="1"/>
  <c r="J26" i="8"/>
  <c r="K26" i="8" s="1"/>
  <c r="L26" i="8" s="1"/>
  <c r="J25" i="8"/>
  <c r="K25" i="8" s="1"/>
  <c r="L25" i="8" s="1"/>
  <c r="J24" i="8"/>
  <c r="K24" i="8" s="1"/>
  <c r="L24" i="8" s="1"/>
  <c r="P24" i="8" s="1"/>
  <c r="Q24" i="8" s="1"/>
  <c r="J23" i="8"/>
  <c r="K23" i="8" s="1"/>
  <c r="L23" i="8" s="1"/>
  <c r="J18" i="8"/>
  <c r="K18" i="8" s="1"/>
  <c r="L18" i="8" s="1"/>
  <c r="J17" i="8"/>
  <c r="K17" i="8" s="1"/>
  <c r="L17" i="8" s="1"/>
  <c r="J16" i="8"/>
  <c r="K16" i="8" s="1"/>
  <c r="L16" i="8" s="1"/>
  <c r="J11" i="8"/>
  <c r="K11" i="8" s="1"/>
  <c r="L11" i="8" s="1"/>
  <c r="J10" i="8"/>
  <c r="K10" i="8" s="1"/>
  <c r="L10" i="8" s="1"/>
  <c r="J9" i="8"/>
  <c r="K9" i="8" s="1"/>
  <c r="L9" i="8" s="1"/>
  <c r="A9" i="8"/>
  <c r="A10" i="8" s="1"/>
  <c r="A11" i="8" s="1"/>
  <c r="J8" i="8"/>
  <c r="K8" i="8" s="1"/>
  <c r="L8" i="8" s="1"/>
  <c r="J7" i="8"/>
  <c r="K7" i="8" s="1"/>
  <c r="L7" i="8" s="1"/>
  <c r="J6" i="8"/>
  <c r="K6" i="8" s="1"/>
  <c r="L6" i="8" s="1"/>
  <c r="AQ24" i="8" l="1"/>
  <c r="AR24" i="8" s="1"/>
  <c r="AS24" i="8" s="1"/>
  <c r="AQ46" i="8"/>
  <c r="AR46" i="8" s="1"/>
  <c r="AS46" i="8" s="1"/>
  <c r="AQ27" i="8"/>
  <c r="AR27" i="8" s="1"/>
  <c r="AS27" i="8" s="1"/>
  <c r="AR29" i="8"/>
  <c r="AS29" i="8" s="1"/>
  <c r="AQ30" i="8"/>
  <c r="AR30" i="8" s="1"/>
  <c r="AS30" i="8" s="1"/>
  <c r="AQ17" i="8"/>
  <c r="AR17" i="8" s="1"/>
  <c r="AS17" i="8" s="1"/>
  <c r="AQ33" i="8"/>
  <c r="AR33" i="8" s="1"/>
  <c r="AS33" i="8" s="1"/>
  <c r="AQ7" i="8"/>
  <c r="AR7" i="8" s="1"/>
  <c r="AS7" i="8" s="1"/>
  <c r="AQ6" i="8"/>
  <c r="AR6" i="8" s="1"/>
  <c r="AS6" i="8" s="1"/>
  <c r="AQ28" i="8"/>
  <c r="AR28" i="8" s="1"/>
  <c r="AS28" i="8" s="1"/>
  <c r="AQ31" i="8"/>
  <c r="AR31" i="8" s="1"/>
  <c r="AS31" i="8" s="1"/>
  <c r="AQ11" i="8"/>
  <c r="AR11" i="8" s="1"/>
  <c r="AS11" i="8" s="1"/>
  <c r="AQ16" i="8"/>
  <c r="AR16" i="8" s="1"/>
  <c r="AS16" i="8" s="1"/>
  <c r="AQ25" i="8"/>
  <c r="AR25" i="8" s="1"/>
  <c r="AS25" i="8" s="1"/>
  <c r="AQ32" i="8"/>
  <c r="AR32" i="8" s="1"/>
  <c r="AS32" i="8" s="1"/>
  <c r="AR9" i="8"/>
  <c r="AS9" i="8" s="1"/>
  <c r="AQ8" i="8"/>
  <c r="AR8" i="8" s="1"/>
  <c r="AS8" i="8" s="1"/>
  <c r="AQ18" i="8"/>
  <c r="AR18" i="8" s="1"/>
  <c r="AS18" i="8" s="1"/>
  <c r="AQ23" i="8"/>
  <c r="AR23" i="8" s="1"/>
  <c r="AS23" i="8" s="1"/>
  <c r="AQ26" i="8"/>
  <c r="AR26" i="8" s="1"/>
  <c r="AS26" i="8" s="1"/>
  <c r="AQ10" i="8"/>
  <c r="AR10" i="8" s="1"/>
  <c r="AS10" i="8" s="1"/>
  <c r="P32" i="8"/>
  <c r="Q32" i="8" s="1"/>
  <c r="P23" i="8"/>
  <c r="Q23" i="8" s="1"/>
  <c r="N20" i="8" s="1"/>
  <c r="N21" i="8" s="1"/>
  <c r="L84" i="7"/>
  <c r="J84" i="7"/>
  <c r="L76" i="7"/>
  <c r="J76" i="7"/>
  <c r="L72" i="7"/>
  <c r="J72" i="7"/>
  <c r="L64" i="7"/>
  <c r="J64" i="7"/>
  <c r="L57" i="7"/>
  <c r="J57" i="7"/>
  <c r="J49" i="7"/>
  <c r="K49" i="7" s="1"/>
  <c r="L49" i="7" s="1"/>
  <c r="J48" i="7"/>
  <c r="K48" i="7" s="1"/>
  <c r="L48" i="7" s="1"/>
  <c r="J55" i="7" l="1"/>
  <c r="K55" i="7" s="1"/>
  <c r="J56" i="7"/>
  <c r="K56" i="7" s="1"/>
  <c r="J58" i="7"/>
  <c r="K58" i="7" s="1"/>
  <c r="J59" i="7"/>
  <c r="K59" i="7" s="1"/>
  <c r="J60" i="7"/>
  <c r="K60" i="7" s="1"/>
  <c r="J61" i="7"/>
  <c r="K61" i="7" s="1"/>
  <c r="J62" i="7"/>
  <c r="K62" i="7" s="1"/>
  <c r="J63" i="7"/>
  <c r="K63" i="7" s="1"/>
  <c r="J65" i="7"/>
  <c r="K65" i="7" s="1"/>
  <c r="J66" i="7"/>
  <c r="K66" i="7" s="1"/>
  <c r="J67" i="7"/>
  <c r="K67" i="7" s="1"/>
  <c r="J68" i="7"/>
  <c r="K68" i="7" s="1"/>
  <c r="J69" i="7"/>
  <c r="K69" i="7" s="1"/>
  <c r="J70" i="7"/>
  <c r="K70" i="7" s="1"/>
  <c r="J71" i="7"/>
  <c r="K71" i="7" s="1"/>
  <c r="J73" i="7"/>
  <c r="K73" i="7" s="1"/>
  <c r="J74" i="7"/>
  <c r="K74" i="7" s="1"/>
  <c r="J75" i="7"/>
  <c r="K75" i="7" s="1"/>
  <c r="J77" i="7"/>
  <c r="K77" i="7" s="1"/>
  <c r="J78" i="7"/>
  <c r="K78" i="7" s="1"/>
  <c r="J79" i="7"/>
  <c r="K79" i="7" s="1"/>
  <c r="J80" i="7"/>
  <c r="K80" i="7" s="1"/>
  <c r="J81" i="7"/>
  <c r="K81" i="7" s="1"/>
  <c r="J82" i="7"/>
  <c r="K82" i="7" s="1"/>
  <c r="J83" i="7"/>
  <c r="K83" i="7" s="1"/>
  <c r="J85" i="7"/>
  <c r="K85" i="7" s="1"/>
  <c r="J86" i="7"/>
  <c r="K86" i="7" s="1"/>
  <c r="J26" i="7"/>
  <c r="K26" i="7" s="1"/>
  <c r="J27" i="7"/>
  <c r="K27" i="7" s="1"/>
  <c r="J28" i="7"/>
  <c r="K28" i="7" s="1"/>
  <c r="J29" i="7"/>
  <c r="K29" i="7" s="1"/>
  <c r="J30" i="7"/>
  <c r="K30" i="7" s="1"/>
  <c r="J31" i="7"/>
  <c r="K31" i="7" s="1"/>
  <c r="J32" i="7"/>
  <c r="K32" i="7" s="1"/>
  <c r="J33" i="7"/>
  <c r="K33" i="7" s="1"/>
  <c r="L33" i="7" s="1"/>
  <c r="J34" i="7"/>
  <c r="K34" i="7" s="1"/>
  <c r="J42" i="7"/>
  <c r="K42" i="7" s="1"/>
  <c r="L42" i="7" s="1"/>
  <c r="K6" i="7" l="1"/>
  <c r="L6" i="7" s="1"/>
  <c r="L55" i="7"/>
  <c r="L56" i="7"/>
  <c r="L58" i="7"/>
  <c r="L59" i="7"/>
  <c r="L60" i="7"/>
  <c r="L61" i="7"/>
  <c r="L62" i="7"/>
  <c r="L63" i="7"/>
  <c r="L65" i="7"/>
  <c r="L66" i="7"/>
  <c r="L67" i="7"/>
  <c r="L68" i="7"/>
  <c r="L69" i="7"/>
  <c r="L70" i="7"/>
  <c r="L71" i="7"/>
  <c r="L73" i="7"/>
  <c r="L74" i="7"/>
  <c r="L75" i="7"/>
  <c r="L77" i="7"/>
  <c r="L78" i="7"/>
  <c r="L79" i="7"/>
  <c r="L80" i="7"/>
  <c r="L81" i="7"/>
  <c r="L82" i="7"/>
  <c r="L83" i="7"/>
  <c r="L85" i="7"/>
  <c r="L86" i="7"/>
  <c r="L26" i="7"/>
  <c r="L27" i="7"/>
  <c r="L28" i="7"/>
  <c r="L29" i="7"/>
  <c r="L30" i="7"/>
  <c r="L31" i="7"/>
  <c r="L32" i="7"/>
  <c r="J54" i="7"/>
  <c r="K54" i="7" s="1"/>
  <c r="L54" i="7" s="1"/>
  <c r="J53" i="7"/>
  <c r="K53" i="7" s="1"/>
  <c r="L53" i="7" s="1"/>
  <c r="J40" i="7"/>
  <c r="K40" i="7" s="1"/>
  <c r="L40" i="7" s="1"/>
  <c r="J41" i="7"/>
  <c r="K41" i="7" s="1"/>
  <c r="L41" i="7" s="1"/>
  <c r="J43" i="7"/>
  <c r="K43" i="7" s="1"/>
  <c r="L43" i="7" s="1"/>
  <c r="J39" i="7"/>
  <c r="K39" i="7" s="1"/>
  <c r="L39" i="7" s="1"/>
  <c r="J24" i="7"/>
  <c r="K24" i="7" s="1"/>
  <c r="L24" i="7" s="1"/>
  <c r="J25" i="7"/>
  <c r="K25" i="7" s="1"/>
  <c r="L25" i="7" s="1"/>
  <c r="L34" i="7"/>
  <c r="J23" i="7"/>
  <c r="K23" i="7" s="1"/>
  <c r="L23" i="7" s="1"/>
  <c r="J17" i="7"/>
  <c r="K17" i="7" s="1"/>
  <c r="L17" i="7" s="1"/>
  <c r="J18" i="7"/>
  <c r="K18" i="7" s="1"/>
  <c r="L18" i="7" s="1"/>
  <c r="J16" i="7"/>
  <c r="K16" i="7" s="1"/>
  <c r="L16" i="7" s="1"/>
  <c r="J7" i="7"/>
  <c r="K7" i="7" s="1"/>
  <c r="L7" i="7" s="1"/>
  <c r="J8" i="7"/>
  <c r="K8" i="7" s="1"/>
  <c r="L8" i="7" s="1"/>
  <c r="J9" i="7"/>
  <c r="K9" i="7" s="1"/>
  <c r="L9" i="7" s="1"/>
  <c r="J10" i="7"/>
  <c r="K10" i="7" s="1"/>
  <c r="L10" i="7" s="1"/>
  <c r="J11" i="7"/>
  <c r="K11" i="7" s="1"/>
  <c r="L11" i="7" s="1"/>
  <c r="N32" i="7" l="1"/>
  <c r="O32" i="7" s="1"/>
  <c r="P30" i="7" l="1"/>
  <c r="Q30" i="7" s="1"/>
  <c r="P29" i="7"/>
  <c r="Q29" i="7" s="1"/>
  <c r="P27" i="7"/>
  <c r="Q27" i="7" s="1"/>
  <c r="P24" i="7"/>
  <c r="Q24" i="7" s="1"/>
  <c r="A9" i="7"/>
  <c r="A10" i="7" s="1"/>
  <c r="A11" i="7" s="1"/>
  <c r="P23" i="7" l="1"/>
  <c r="Q23" i="7" s="1"/>
  <c r="N20" i="7" s="1"/>
  <c r="N21" i="7" s="1"/>
  <c r="P32" i="7"/>
  <c r="Q32" i="7" s="1"/>
  <c r="I30" i="6" l="1"/>
  <c r="J30" i="6" s="1"/>
  <c r="K30" i="6" s="1"/>
  <c r="A9" i="6"/>
  <c r="A10" i="6" s="1"/>
  <c r="A11" i="6" s="1"/>
  <c r="A12" i="6" s="1"/>
  <c r="A13" i="6" s="1"/>
  <c r="A14" i="6" s="1"/>
  <c r="A15" i="6" s="1"/>
  <c r="I72" i="6" l="1"/>
  <c r="J72" i="6" s="1"/>
  <c r="K72" i="6" s="1"/>
  <c r="H37" i="6"/>
  <c r="I37" i="6" s="1"/>
  <c r="J37" i="6" s="1"/>
  <c r="K37" i="6" s="1"/>
  <c r="I36" i="6"/>
  <c r="J36" i="6" s="1"/>
  <c r="K36" i="6" s="1"/>
  <c r="I22" i="6"/>
  <c r="J22" i="6" s="1"/>
  <c r="K22" i="6" s="1"/>
  <c r="I21" i="6"/>
  <c r="J21" i="6" s="1"/>
  <c r="K21" i="6" s="1"/>
  <c r="I20" i="6"/>
  <c r="J20" i="6" s="1"/>
  <c r="K20" i="6" s="1"/>
  <c r="I46" i="6"/>
  <c r="J46" i="6" s="1"/>
  <c r="K46" i="6" s="1"/>
  <c r="I45" i="6"/>
  <c r="J45" i="6" s="1"/>
  <c r="K45" i="6" s="1"/>
  <c r="I44" i="6"/>
  <c r="J44" i="6" s="1"/>
  <c r="K44" i="6" s="1"/>
  <c r="I71" i="6"/>
  <c r="J71" i="6" s="1"/>
  <c r="K71" i="6" s="1"/>
  <c r="I70" i="6"/>
  <c r="J70" i="6" s="1"/>
  <c r="K70" i="6" s="1"/>
  <c r="I69" i="6"/>
  <c r="J69" i="6" s="1"/>
  <c r="K69" i="6" s="1"/>
  <c r="I68" i="6"/>
  <c r="J68" i="6" s="1"/>
  <c r="K68" i="6" s="1"/>
  <c r="I67" i="6"/>
  <c r="J67" i="6" s="1"/>
  <c r="K67" i="6" s="1"/>
  <c r="I66" i="6"/>
  <c r="J66" i="6" s="1"/>
  <c r="K66" i="6" s="1"/>
  <c r="I65" i="6"/>
  <c r="J65" i="6" s="1"/>
  <c r="K65" i="6" s="1"/>
  <c r="I64" i="6"/>
  <c r="J64" i="6" s="1"/>
  <c r="K64" i="6" s="1"/>
  <c r="I63" i="6"/>
  <c r="J63" i="6" s="1"/>
  <c r="K63" i="6" s="1"/>
  <c r="I62" i="6"/>
  <c r="J62" i="6" s="1"/>
  <c r="K62" i="6" s="1"/>
  <c r="I61" i="6"/>
  <c r="J61" i="6" s="1"/>
  <c r="K61" i="6" s="1"/>
  <c r="I60" i="6"/>
  <c r="J60" i="6" s="1"/>
  <c r="K60" i="6" s="1"/>
  <c r="I59" i="6"/>
  <c r="J59" i="6" s="1"/>
  <c r="K59" i="6" s="1"/>
  <c r="I58" i="6"/>
  <c r="J58" i="6" s="1"/>
  <c r="K58" i="6" s="1"/>
  <c r="I57" i="6"/>
  <c r="J57" i="6" s="1"/>
  <c r="K57" i="6" s="1"/>
  <c r="I56" i="6"/>
  <c r="J56" i="6" s="1"/>
  <c r="K56" i="6" s="1"/>
  <c r="I55" i="6"/>
  <c r="J55" i="6" s="1"/>
  <c r="K55" i="6" s="1"/>
  <c r="I54" i="6"/>
  <c r="J54" i="6" s="1"/>
  <c r="K54" i="6" s="1"/>
  <c r="I53" i="6"/>
  <c r="J53" i="6" s="1"/>
  <c r="K53" i="6" s="1"/>
  <c r="I52" i="6"/>
  <c r="J52" i="6" s="1"/>
  <c r="K52" i="6" s="1"/>
  <c r="I51" i="6"/>
  <c r="J51" i="6" s="1"/>
  <c r="K51" i="6" s="1"/>
  <c r="I50" i="6"/>
  <c r="J50" i="6" s="1"/>
  <c r="K50" i="6" s="1"/>
  <c r="I35" i="6"/>
  <c r="J35" i="6" s="1"/>
  <c r="K35" i="6" s="1"/>
  <c r="I34" i="6"/>
  <c r="J34" i="6" s="1"/>
  <c r="K34" i="6" s="1"/>
  <c r="I33" i="6"/>
  <c r="J33" i="6" s="1"/>
  <c r="K33" i="6" s="1"/>
  <c r="I32" i="6"/>
  <c r="J32" i="6" s="1"/>
  <c r="K32" i="6" s="1"/>
  <c r="I31" i="6"/>
  <c r="J31" i="6" s="1"/>
  <c r="K31" i="6" s="1"/>
  <c r="I29" i="6"/>
  <c r="J29" i="6" s="1"/>
  <c r="K29" i="6" s="1"/>
  <c r="I15" i="6"/>
  <c r="J15" i="6" s="1"/>
  <c r="K15" i="6" s="1"/>
  <c r="I14" i="6"/>
  <c r="J14" i="6" s="1"/>
  <c r="K14" i="6" s="1"/>
  <c r="I13" i="6"/>
  <c r="J13" i="6" s="1"/>
  <c r="K13" i="6" s="1"/>
  <c r="I12" i="6"/>
  <c r="J12" i="6" s="1"/>
  <c r="K12" i="6" s="1"/>
  <c r="I11" i="6"/>
  <c r="J11" i="6" s="1"/>
  <c r="K11" i="6" s="1"/>
  <c r="I10" i="6"/>
  <c r="J10" i="6" s="1"/>
  <c r="K10" i="6" s="1"/>
  <c r="I9" i="6"/>
  <c r="J9" i="6" s="1"/>
  <c r="K9" i="6" s="1"/>
  <c r="I8" i="6"/>
  <c r="J8" i="6" s="1"/>
  <c r="K8" i="6" s="1"/>
  <c r="I7" i="6"/>
  <c r="J7" i="6" s="1"/>
  <c r="K7" i="6" s="1"/>
  <c r="I6" i="6"/>
  <c r="J6" i="6" s="1"/>
  <c r="K6" i="6" s="1"/>
  <c r="H38" i="6" l="1"/>
  <c r="I32" i="5"/>
  <c r="J32" i="5" s="1"/>
  <c r="K32" i="5" s="1"/>
  <c r="I33" i="5"/>
  <c r="J33" i="5"/>
  <c r="K33" i="5" s="1"/>
  <c r="I31" i="5"/>
  <c r="J31" i="5" s="1"/>
  <c r="K31" i="5" s="1"/>
  <c r="I8" i="5"/>
  <c r="J8" i="5" s="1"/>
  <c r="K8" i="5" s="1"/>
  <c r="I58" i="5"/>
  <c r="J58" i="5" s="1"/>
  <c r="K58" i="5" s="1"/>
  <c r="I59" i="5"/>
  <c r="J59" i="5" s="1"/>
  <c r="K59" i="5" s="1"/>
  <c r="I57" i="5"/>
  <c r="J57" i="5" s="1"/>
  <c r="K57" i="5" s="1"/>
  <c r="I56" i="5"/>
  <c r="J56" i="5" s="1"/>
  <c r="K56" i="5" s="1"/>
  <c r="I55" i="5"/>
  <c r="J55" i="5" s="1"/>
  <c r="K55" i="5" s="1"/>
  <c r="I54" i="5"/>
  <c r="J54" i="5" s="1"/>
  <c r="K54" i="5" s="1"/>
  <c r="I53" i="5"/>
  <c r="J53" i="5" s="1"/>
  <c r="K53" i="5" s="1"/>
  <c r="I52" i="5"/>
  <c r="J52" i="5" s="1"/>
  <c r="K52" i="5" s="1"/>
  <c r="I51" i="5"/>
  <c r="J51" i="5" s="1"/>
  <c r="K51" i="5" s="1"/>
  <c r="I50" i="5"/>
  <c r="J50" i="5" s="1"/>
  <c r="K50" i="5" s="1"/>
  <c r="I49" i="5"/>
  <c r="J49" i="5" s="1"/>
  <c r="K49" i="5" s="1"/>
  <c r="I48" i="5"/>
  <c r="J48" i="5" s="1"/>
  <c r="K48" i="5" s="1"/>
  <c r="I47" i="5"/>
  <c r="J47" i="5" s="1"/>
  <c r="K47" i="5" s="1"/>
  <c r="I46" i="5"/>
  <c r="J46" i="5" s="1"/>
  <c r="K46" i="5" s="1"/>
  <c r="I45" i="5"/>
  <c r="J45" i="5" s="1"/>
  <c r="K45" i="5" s="1"/>
  <c r="I44" i="5"/>
  <c r="J44" i="5" s="1"/>
  <c r="K44" i="5" s="1"/>
  <c r="I43" i="5"/>
  <c r="J43" i="5" s="1"/>
  <c r="K43" i="5" s="1"/>
  <c r="I42" i="5"/>
  <c r="J42" i="5" s="1"/>
  <c r="K42" i="5" s="1"/>
  <c r="I41" i="5"/>
  <c r="J41" i="5" s="1"/>
  <c r="K41" i="5" s="1"/>
  <c r="I40" i="5"/>
  <c r="J40" i="5" s="1"/>
  <c r="K40" i="5" s="1"/>
  <c r="I39" i="5"/>
  <c r="J39" i="5" s="1"/>
  <c r="K39" i="5" s="1"/>
  <c r="I38" i="5"/>
  <c r="J38" i="5" s="1"/>
  <c r="K38" i="5" s="1"/>
  <c r="I37" i="5"/>
  <c r="J37" i="5" s="1"/>
  <c r="K37" i="5" s="1"/>
  <c r="I30" i="5"/>
  <c r="J30" i="5" s="1"/>
  <c r="K30" i="5" s="1"/>
  <c r="I29" i="5"/>
  <c r="J29" i="5" s="1"/>
  <c r="K29" i="5" s="1"/>
  <c r="I28" i="5"/>
  <c r="J28" i="5" s="1"/>
  <c r="K28" i="5" s="1"/>
  <c r="I27" i="5"/>
  <c r="J27" i="5" s="1"/>
  <c r="K27" i="5" s="1"/>
  <c r="I26" i="5"/>
  <c r="J26" i="5" s="1"/>
  <c r="K26" i="5" s="1"/>
  <c r="I19" i="5"/>
  <c r="J19" i="5" s="1"/>
  <c r="K19" i="5" s="1"/>
  <c r="I18" i="5"/>
  <c r="J18" i="5" s="1"/>
  <c r="K18" i="5" s="1"/>
  <c r="I17" i="5"/>
  <c r="J17" i="5" s="1"/>
  <c r="K17" i="5" s="1"/>
  <c r="I16" i="5"/>
  <c r="J16" i="5" s="1"/>
  <c r="K16" i="5" s="1"/>
  <c r="I15" i="5"/>
  <c r="J15" i="5" s="1"/>
  <c r="K15" i="5" s="1"/>
  <c r="I14" i="5"/>
  <c r="J14" i="5" s="1"/>
  <c r="K14" i="5" s="1"/>
  <c r="I13" i="5"/>
  <c r="J13" i="5" s="1"/>
  <c r="K13" i="5" s="1"/>
  <c r="I12" i="5"/>
  <c r="J12" i="5" s="1"/>
  <c r="K12" i="5" s="1"/>
  <c r="I11" i="5"/>
  <c r="J11" i="5" s="1"/>
  <c r="K11" i="5" s="1"/>
  <c r="I10" i="5"/>
  <c r="J10" i="5" s="1"/>
  <c r="K10" i="5" s="1"/>
  <c r="I9" i="5"/>
  <c r="J9" i="5" s="1"/>
  <c r="K9" i="5" s="1"/>
  <c r="I7" i="5"/>
  <c r="J7" i="5" s="1"/>
  <c r="K7" i="5" s="1"/>
  <c r="I6" i="5"/>
  <c r="J6" i="5" s="1"/>
  <c r="K6" i="5" s="1"/>
  <c r="I38" i="6" l="1"/>
  <c r="J38" i="6" s="1"/>
  <c r="K38" i="6" s="1"/>
  <c r="H39" i="6"/>
  <c r="I39" i="6" s="1"/>
  <c r="J39" i="6" s="1"/>
  <c r="K39" i="6" s="1"/>
  <c r="I55" i="4"/>
  <c r="J55" i="4" s="1"/>
  <c r="K55" i="4" s="1"/>
  <c r="I54" i="4"/>
  <c r="J54" i="4" s="1"/>
  <c r="K54" i="4" s="1"/>
  <c r="I53" i="4"/>
  <c r="J53" i="4" s="1"/>
  <c r="K53" i="4" s="1"/>
  <c r="I52" i="4"/>
  <c r="J52" i="4" s="1"/>
  <c r="K52" i="4" s="1"/>
  <c r="I51" i="4"/>
  <c r="J51" i="4" s="1"/>
  <c r="K51" i="4" s="1"/>
  <c r="I50" i="4"/>
  <c r="J50" i="4" s="1"/>
  <c r="K50" i="4" s="1"/>
  <c r="I49" i="4"/>
  <c r="J49" i="4" s="1"/>
  <c r="K49" i="4" s="1"/>
  <c r="I48" i="4"/>
  <c r="J48" i="4" s="1"/>
  <c r="K48" i="4" s="1"/>
  <c r="I47" i="4"/>
  <c r="J47" i="4" s="1"/>
  <c r="K47" i="4" s="1"/>
  <c r="I46" i="4"/>
  <c r="J46" i="4" s="1"/>
  <c r="K46" i="4" s="1"/>
  <c r="I45" i="4"/>
  <c r="J45" i="4" s="1"/>
  <c r="K45" i="4" s="1"/>
  <c r="I44" i="4"/>
  <c r="J44" i="4" s="1"/>
  <c r="K44" i="4" s="1"/>
  <c r="I43" i="4"/>
  <c r="J43" i="4" s="1"/>
  <c r="K43" i="4" s="1"/>
  <c r="I42" i="4"/>
  <c r="J42" i="4" s="1"/>
  <c r="K42" i="4" s="1"/>
  <c r="I41" i="4"/>
  <c r="J41" i="4" s="1"/>
  <c r="K41" i="4" s="1"/>
  <c r="I40" i="4"/>
  <c r="J40" i="4" s="1"/>
  <c r="K40" i="4" s="1"/>
  <c r="I39" i="4"/>
  <c r="J39" i="4" s="1"/>
  <c r="K39" i="4" s="1"/>
  <c r="I38" i="4"/>
  <c r="J38" i="4" s="1"/>
  <c r="K38" i="4" s="1"/>
  <c r="I37" i="4"/>
  <c r="J37" i="4" s="1"/>
  <c r="K37" i="4" s="1"/>
  <c r="I36" i="4"/>
  <c r="J36" i="4" s="1"/>
  <c r="K36" i="4" s="1"/>
  <c r="I35" i="4"/>
  <c r="J35" i="4" s="1"/>
  <c r="K35" i="4" s="1"/>
  <c r="I31" i="4"/>
  <c r="J31" i="4" s="1"/>
  <c r="K31" i="4" s="1"/>
  <c r="I30" i="4"/>
  <c r="J30" i="4" s="1"/>
  <c r="K30" i="4" s="1"/>
  <c r="I29" i="4"/>
  <c r="J29" i="4" s="1"/>
  <c r="K29" i="4" s="1"/>
  <c r="I28" i="4"/>
  <c r="J28" i="4" s="1"/>
  <c r="K28" i="4" s="1"/>
  <c r="I27" i="4"/>
  <c r="J27" i="4" s="1"/>
  <c r="K27" i="4" s="1"/>
  <c r="I26" i="4"/>
  <c r="J26" i="4" s="1"/>
  <c r="K26" i="4" s="1"/>
  <c r="I19" i="4"/>
  <c r="J19" i="4" s="1"/>
  <c r="K19" i="4" s="1"/>
  <c r="I18" i="4"/>
  <c r="J18" i="4" s="1"/>
  <c r="K18" i="4" s="1"/>
  <c r="I17" i="4"/>
  <c r="J17" i="4" s="1"/>
  <c r="K17" i="4" s="1"/>
  <c r="I16" i="4"/>
  <c r="J16" i="4" s="1"/>
  <c r="K16" i="4" s="1"/>
  <c r="I15" i="4"/>
  <c r="J15" i="4" s="1"/>
  <c r="K15" i="4" s="1"/>
  <c r="I14" i="4"/>
  <c r="J14" i="4" s="1"/>
  <c r="K14" i="4" s="1"/>
  <c r="I13" i="4"/>
  <c r="J13" i="4" s="1"/>
  <c r="K13" i="4" s="1"/>
  <c r="I12" i="4"/>
  <c r="J12" i="4" s="1"/>
  <c r="K12" i="4" s="1"/>
  <c r="I11" i="4"/>
  <c r="J11" i="4" s="1"/>
  <c r="K11" i="4" s="1"/>
  <c r="I10" i="4"/>
  <c r="J10" i="4" s="1"/>
  <c r="K10" i="4" s="1"/>
  <c r="I9" i="4"/>
  <c r="J9" i="4" s="1"/>
  <c r="K9" i="4" s="1"/>
  <c r="I8" i="4"/>
  <c r="J8" i="4" s="1"/>
  <c r="K8" i="4" s="1"/>
  <c r="I7" i="4"/>
  <c r="J7" i="4" s="1"/>
  <c r="K7" i="4" s="1"/>
  <c r="I6" i="4"/>
  <c r="J6" i="4" s="1"/>
  <c r="K6" i="4" s="1"/>
  <c r="I55" i="3" l="1"/>
  <c r="J55" i="3" s="1"/>
  <c r="K55" i="3" s="1"/>
  <c r="I6" i="3"/>
  <c r="I13" i="3"/>
  <c r="J13" i="3" s="1"/>
  <c r="K13" i="3" s="1"/>
  <c r="I12" i="3"/>
  <c r="J12" i="3" s="1"/>
  <c r="K12" i="3" s="1"/>
  <c r="I11" i="3"/>
  <c r="J11" i="3" s="1"/>
  <c r="K11" i="3" s="1"/>
  <c r="I10" i="3"/>
  <c r="J10" i="3" s="1"/>
  <c r="K10" i="3" s="1"/>
  <c r="I36" i="3" l="1"/>
  <c r="J36" i="3" s="1"/>
  <c r="I37" i="3"/>
  <c r="I38" i="3"/>
  <c r="J38" i="3" s="1"/>
  <c r="K38" i="3" s="1"/>
  <c r="I39" i="3"/>
  <c r="J39" i="3" s="1"/>
  <c r="I40" i="3"/>
  <c r="J40" i="3" s="1"/>
  <c r="I41" i="3"/>
  <c r="I42" i="3"/>
  <c r="J42" i="3" s="1"/>
  <c r="I43" i="3"/>
  <c r="J43" i="3" s="1"/>
  <c r="I44" i="3"/>
  <c r="J44" i="3" s="1"/>
  <c r="I45" i="3"/>
  <c r="I46" i="3"/>
  <c r="J46" i="3" s="1"/>
  <c r="K46" i="3" s="1"/>
  <c r="I47" i="3"/>
  <c r="J47" i="3" s="1"/>
  <c r="K47" i="3" s="1"/>
  <c r="I48" i="3"/>
  <c r="I49" i="3"/>
  <c r="I50" i="3"/>
  <c r="J50" i="3" s="1"/>
  <c r="I51" i="3"/>
  <c r="J51" i="3" s="1"/>
  <c r="K51" i="3" s="1"/>
  <c r="I52" i="3"/>
  <c r="I53" i="3"/>
  <c r="J53" i="3" s="1"/>
  <c r="I54" i="3"/>
  <c r="J54" i="3" s="1"/>
  <c r="K54" i="3" s="1"/>
  <c r="I27" i="3"/>
  <c r="J27" i="3" s="1"/>
  <c r="I28" i="3"/>
  <c r="J28" i="3" s="1"/>
  <c r="I29" i="3"/>
  <c r="J29" i="3" s="1"/>
  <c r="K29" i="3" s="1"/>
  <c r="I30" i="3"/>
  <c r="J30" i="3" s="1"/>
  <c r="K30" i="3" s="1"/>
  <c r="I31" i="3"/>
  <c r="J31" i="3" s="1"/>
  <c r="I14" i="3"/>
  <c r="J14" i="3" s="1"/>
  <c r="I15" i="3"/>
  <c r="J15" i="3" s="1"/>
  <c r="K15" i="3" s="1"/>
  <c r="I16" i="3"/>
  <c r="J16" i="3" s="1"/>
  <c r="K16" i="3" s="1"/>
  <c r="I17" i="3"/>
  <c r="J17" i="3" s="1"/>
  <c r="I18" i="3"/>
  <c r="J18" i="3" s="1"/>
  <c r="I19" i="3"/>
  <c r="J19" i="3" s="1"/>
  <c r="K19" i="3" s="1"/>
  <c r="J6" i="3"/>
  <c r="K6" i="3" s="1"/>
  <c r="I7" i="3"/>
  <c r="J7" i="3" s="1"/>
  <c r="K7" i="3" s="1"/>
  <c r="I8" i="3"/>
  <c r="J8" i="3" s="1"/>
  <c r="I35" i="3"/>
  <c r="J35" i="3" s="1"/>
  <c r="K35" i="3" s="1"/>
  <c r="I26" i="3"/>
  <c r="J26" i="3" s="1"/>
  <c r="K26" i="3" s="1"/>
  <c r="I9" i="3"/>
  <c r="J9" i="3" s="1"/>
  <c r="K9" i="3" s="1"/>
  <c r="J52" i="3" l="1"/>
  <c r="K52" i="3" s="1"/>
  <c r="K17" i="3"/>
  <c r="K31" i="3"/>
  <c r="K27" i="3"/>
  <c r="J49" i="3"/>
  <c r="K49" i="3" s="1"/>
  <c r="J45" i="3"/>
  <c r="K45" i="3" s="1"/>
  <c r="J41" i="3"/>
  <c r="K41" i="3" s="1"/>
  <c r="J37" i="3"/>
  <c r="K37" i="3" s="1"/>
  <c r="J48" i="3"/>
  <c r="K48" i="3" s="1"/>
  <c r="K28" i="3"/>
  <c r="K18" i="3"/>
  <c r="K14" i="3"/>
  <c r="K8" i="3"/>
  <c r="K50" i="3" l="1"/>
  <c r="K53" i="3"/>
  <c r="K36" i="3"/>
  <c r="K39" i="3"/>
  <c r="K42" i="3"/>
  <c r="K43" i="3"/>
  <c r="K44" i="3"/>
  <c r="K40" i="3" l="1"/>
  <c r="I12" i="1" l="1"/>
  <c r="J12" i="1" s="1"/>
  <c r="K12" i="1" s="1"/>
  <c r="I11" i="1"/>
  <c r="J11" i="1" s="1"/>
  <c r="K11" i="1" s="1"/>
  <c r="I10" i="1"/>
  <c r="J10" i="1" s="1"/>
  <c r="K10" i="1" s="1"/>
  <c r="I9" i="1"/>
  <c r="J9" i="1" s="1"/>
  <c r="K9" i="1" s="1"/>
  <c r="I8" i="1"/>
  <c r="J8" i="1" s="1"/>
  <c r="K8" i="1" s="1"/>
  <c r="I7" i="1"/>
  <c r="J7" i="1" s="1"/>
  <c r="K7" i="1" s="1"/>
  <c r="I6" i="1"/>
  <c r="I63" i="2"/>
  <c r="J63" i="2" s="1"/>
  <c r="L63" i="2" s="1"/>
  <c r="I62" i="2"/>
  <c r="J62" i="2" s="1"/>
  <c r="L62" i="2" s="1"/>
  <c r="I61" i="2"/>
  <c r="J61" i="2" s="1"/>
  <c r="L61" i="2" s="1"/>
  <c r="I60" i="2"/>
  <c r="J60" i="2" s="1"/>
  <c r="I59" i="2"/>
  <c r="J59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L49" i="2" s="1"/>
  <c r="I48" i="2"/>
  <c r="J48" i="2" s="1"/>
  <c r="L48" i="2" s="1"/>
  <c r="J47" i="2"/>
  <c r="L47" i="2" s="1"/>
  <c r="I47" i="2"/>
  <c r="I46" i="2"/>
  <c r="J46" i="2" s="1"/>
  <c r="L46" i="2" s="1"/>
  <c r="I45" i="2"/>
  <c r="J45" i="2" s="1"/>
  <c r="L45" i="2" s="1"/>
  <c r="I44" i="2"/>
  <c r="J44" i="2" s="1"/>
  <c r="L44" i="2" s="1"/>
  <c r="I43" i="2"/>
  <c r="J43" i="2" s="1"/>
  <c r="I42" i="2"/>
  <c r="J42" i="2" s="1"/>
  <c r="I36" i="2"/>
  <c r="J36" i="2" s="1"/>
  <c r="F36" i="2"/>
  <c r="G36" i="2" s="1"/>
  <c r="I35" i="2"/>
  <c r="J35" i="2" s="1"/>
  <c r="F35" i="2"/>
  <c r="G35" i="2" s="1"/>
  <c r="I34" i="2"/>
  <c r="J34" i="2" s="1"/>
  <c r="F34" i="2"/>
  <c r="G34" i="2" s="1"/>
  <c r="I33" i="2"/>
  <c r="J33" i="2" s="1"/>
  <c r="F33" i="2"/>
  <c r="G33" i="2" s="1"/>
  <c r="I32" i="2"/>
  <c r="J32" i="2" s="1"/>
  <c r="F32" i="2"/>
  <c r="G32" i="2" s="1"/>
  <c r="I31" i="2"/>
  <c r="J31" i="2" s="1"/>
  <c r="F31" i="2"/>
  <c r="G31" i="2" s="1"/>
  <c r="I30" i="2"/>
  <c r="J30" i="2" s="1"/>
  <c r="F30" i="2"/>
  <c r="G30" i="2" s="1"/>
  <c r="I29" i="2"/>
  <c r="J29" i="2" s="1"/>
  <c r="F29" i="2"/>
  <c r="G29" i="2" s="1"/>
  <c r="I28" i="2"/>
  <c r="J28" i="2" s="1"/>
  <c r="F28" i="2"/>
  <c r="G28" i="2" s="1"/>
  <c r="I27" i="2"/>
  <c r="J27" i="2" s="1"/>
  <c r="F27" i="2"/>
  <c r="G27" i="2" s="1"/>
  <c r="I26" i="2"/>
  <c r="J26" i="2" s="1"/>
  <c r="L26" i="2" s="1"/>
  <c r="I25" i="2"/>
  <c r="J25" i="2" s="1"/>
  <c r="L25" i="2" s="1"/>
  <c r="F25" i="2"/>
  <c r="G25" i="2" s="1"/>
  <c r="I24" i="2"/>
  <c r="J24" i="2" s="1"/>
  <c r="K24" i="2" s="1"/>
  <c r="F24" i="2"/>
  <c r="G24" i="2" s="1"/>
  <c r="I23" i="2"/>
  <c r="J23" i="2" s="1"/>
  <c r="L23" i="2" s="1"/>
  <c r="F23" i="2"/>
  <c r="G23" i="2" s="1"/>
  <c r="I20" i="2"/>
  <c r="J20" i="2" s="1"/>
  <c r="L20" i="2" s="1"/>
  <c r="F20" i="2"/>
  <c r="G20" i="2" s="1"/>
  <c r="J17" i="2"/>
  <c r="K17" i="2" s="1"/>
  <c r="I17" i="2"/>
  <c r="F17" i="2"/>
  <c r="G17" i="2" s="1"/>
  <c r="I16" i="2"/>
  <c r="J16" i="2" s="1"/>
  <c r="L16" i="2" s="1"/>
  <c r="F16" i="2"/>
  <c r="G16" i="2" s="1"/>
  <c r="I15" i="2"/>
  <c r="J15" i="2" s="1"/>
  <c r="F15" i="2"/>
  <c r="G15" i="2" s="1"/>
  <c r="I14" i="2"/>
  <c r="J14" i="2" s="1"/>
  <c r="L14" i="2" s="1"/>
  <c r="F14" i="2"/>
  <c r="G14" i="2" s="1"/>
  <c r="I13" i="2"/>
  <c r="J13" i="2" s="1"/>
  <c r="F13" i="2"/>
  <c r="G13" i="2" s="1"/>
  <c r="I12" i="2"/>
  <c r="J12" i="2" s="1"/>
  <c r="L12" i="2" s="1"/>
  <c r="F12" i="2"/>
  <c r="G12" i="2" s="1"/>
  <c r="I11" i="2"/>
  <c r="J11" i="2" s="1"/>
  <c r="F11" i="2"/>
  <c r="G11" i="2" s="1"/>
  <c r="I10" i="2"/>
  <c r="J10" i="2" s="1"/>
  <c r="K10" i="2" s="1"/>
  <c r="G10" i="2"/>
  <c r="F10" i="2"/>
  <c r="I9" i="2"/>
  <c r="J9" i="2" s="1"/>
  <c r="F9" i="2"/>
  <c r="G9" i="2" s="1"/>
  <c r="I8" i="2"/>
  <c r="J8" i="2" s="1"/>
  <c r="L8" i="2" s="1"/>
  <c r="F8" i="2"/>
  <c r="G8" i="2" s="1"/>
  <c r="I7" i="2"/>
  <c r="J7" i="2" s="1"/>
  <c r="F7" i="2"/>
  <c r="G7" i="2" s="1"/>
  <c r="I6" i="2"/>
  <c r="J6" i="2" s="1"/>
  <c r="K6" i="2" s="1"/>
  <c r="F6" i="2"/>
  <c r="G6" i="2" s="1"/>
  <c r="I5" i="2"/>
  <c r="J5" i="2" s="1"/>
  <c r="F5" i="2"/>
  <c r="G5" i="2" s="1"/>
  <c r="K15" i="2" l="1"/>
  <c r="L15" i="2"/>
  <c r="K13" i="2"/>
  <c r="L13" i="2"/>
  <c r="K9" i="2"/>
  <c r="L9" i="2"/>
  <c r="K7" i="2"/>
  <c r="L7" i="2"/>
  <c r="K11" i="2"/>
  <c r="L11" i="2"/>
  <c r="K5" i="2"/>
  <c r="L5" i="2"/>
  <c r="L17" i="2"/>
  <c r="J6" i="1"/>
  <c r="K6" i="1" s="1"/>
  <c r="L6" i="1" s="1"/>
  <c r="L53" i="2"/>
  <c r="K53" i="2"/>
  <c r="L59" i="2"/>
  <c r="K59" i="2"/>
  <c r="K28" i="2"/>
  <c r="L28" i="2"/>
  <c r="L30" i="2"/>
  <c r="K30" i="2"/>
  <c r="K32" i="2"/>
  <c r="L32" i="2"/>
  <c r="L34" i="2"/>
  <c r="K34" i="2"/>
  <c r="L36" i="2"/>
  <c r="K36" i="2"/>
  <c r="L50" i="2"/>
  <c r="K50" i="2"/>
  <c r="L54" i="2"/>
  <c r="K54" i="2"/>
  <c r="L60" i="2"/>
  <c r="K60" i="2"/>
  <c r="K42" i="2"/>
  <c r="L42" i="2"/>
  <c r="L51" i="2"/>
  <c r="K51" i="2"/>
  <c r="L55" i="2"/>
  <c r="K55" i="2"/>
  <c r="L27" i="2"/>
  <c r="K27" i="2"/>
  <c r="L29" i="2"/>
  <c r="K29" i="2"/>
  <c r="L31" i="2"/>
  <c r="K31" i="2"/>
  <c r="L33" i="2"/>
  <c r="K33" i="2"/>
  <c r="L35" i="2"/>
  <c r="K35" i="2"/>
  <c r="L43" i="2"/>
  <c r="K43" i="2"/>
  <c r="L52" i="2"/>
  <c r="K52" i="2"/>
  <c r="L56" i="2"/>
  <c r="K56" i="2"/>
  <c r="L6" i="2"/>
  <c r="L10" i="2"/>
  <c r="L24" i="2"/>
  <c r="K23" i="2"/>
  <c r="K25" i="2"/>
  <c r="K8" i="2"/>
  <c r="K12" i="2"/>
  <c r="K14" i="2"/>
  <c r="K16" i="2"/>
  <c r="K20" i="2"/>
  <c r="H59" i="1"/>
  <c r="I59" i="1" s="1"/>
  <c r="J59" i="1" s="1"/>
  <c r="H58" i="1"/>
  <c r="I58" i="1" s="1"/>
  <c r="J58" i="1" s="1"/>
  <c r="H57" i="1"/>
  <c r="I57" i="1" s="1"/>
  <c r="J57" i="1" s="1"/>
  <c r="H56" i="1"/>
  <c r="I56" i="1" s="1"/>
  <c r="H55" i="1"/>
  <c r="I55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J45" i="1" s="1"/>
  <c r="H44" i="1"/>
  <c r="I44" i="1" s="1"/>
  <c r="J44" i="1" s="1"/>
  <c r="H43" i="1"/>
  <c r="I43" i="1" s="1"/>
  <c r="J43" i="1" s="1"/>
  <c r="H42" i="1"/>
  <c r="I42" i="1" s="1"/>
  <c r="J42" i="1" s="1"/>
  <c r="H41" i="1"/>
  <c r="I41" i="1" s="1"/>
  <c r="J41" i="1" s="1"/>
  <c r="H40" i="1"/>
  <c r="I40" i="1" s="1"/>
  <c r="J40" i="1" s="1"/>
  <c r="H39" i="1"/>
  <c r="I39" i="1" s="1"/>
  <c r="H38" i="1"/>
  <c r="I38" i="1" s="1"/>
  <c r="H32" i="1"/>
  <c r="I32" i="1" s="1"/>
  <c r="E32" i="1"/>
  <c r="H31" i="1"/>
  <c r="I31" i="1" s="1"/>
  <c r="E31" i="1"/>
  <c r="H30" i="1"/>
  <c r="I30" i="1" s="1"/>
  <c r="E30" i="1"/>
  <c r="H29" i="1"/>
  <c r="I29" i="1" s="1"/>
  <c r="E29" i="1"/>
  <c r="H28" i="1"/>
  <c r="I28" i="1" s="1"/>
  <c r="E28" i="1"/>
  <c r="H27" i="1"/>
  <c r="I27" i="1" s="1"/>
  <c r="E27" i="1"/>
  <c r="H26" i="1"/>
  <c r="I26" i="1" s="1"/>
  <c r="E26" i="1"/>
  <c r="H25" i="1"/>
  <c r="I25" i="1" s="1"/>
  <c r="E25" i="1"/>
  <c r="H24" i="1"/>
  <c r="I24" i="1" s="1"/>
  <c r="E24" i="1"/>
  <c r="H23" i="1"/>
  <c r="I23" i="1" s="1"/>
  <c r="E23" i="1"/>
  <c r="H22" i="1"/>
  <c r="I22" i="1" s="1"/>
  <c r="J22" i="1" s="1"/>
  <c r="H21" i="1"/>
  <c r="I21" i="1" s="1"/>
  <c r="J21" i="1" s="1"/>
  <c r="E21" i="1"/>
  <c r="H20" i="1"/>
  <c r="I20" i="1" s="1"/>
  <c r="J20" i="1" s="1"/>
  <c r="E20" i="1"/>
  <c r="H19" i="1"/>
  <c r="I19" i="1" s="1"/>
  <c r="J19" i="1" s="1"/>
  <c r="E19" i="1"/>
  <c r="H16" i="1"/>
  <c r="I16" i="1" s="1"/>
  <c r="J16" i="1" s="1"/>
  <c r="E16" i="1"/>
  <c r="E12" i="1"/>
  <c r="E11" i="1"/>
  <c r="E10" i="1"/>
  <c r="E9" i="1"/>
  <c r="E8" i="1"/>
  <c r="E7" i="1"/>
  <c r="E6" i="1"/>
  <c r="J23" i="1" l="1"/>
  <c r="J24" i="1"/>
  <c r="J25" i="1"/>
  <c r="J26" i="1"/>
  <c r="J27" i="1"/>
  <c r="J28" i="1"/>
  <c r="J29" i="1"/>
  <c r="J30" i="1"/>
  <c r="J31" i="1"/>
  <c r="J32" i="1"/>
  <c r="J39" i="1"/>
  <c r="J47" i="1"/>
  <c r="J38" i="1"/>
  <c r="J46" i="1"/>
  <c r="J48" i="1"/>
  <c r="J49" i="1"/>
  <c r="J50" i="1"/>
  <c r="J51" i="1"/>
  <c r="J52" i="1"/>
  <c r="J55" i="1"/>
  <c r="J56" i="1"/>
</calcChain>
</file>

<file path=xl/sharedStrings.xml><?xml version="1.0" encoding="utf-8"?>
<sst xmlns="http://schemas.openxmlformats.org/spreadsheetml/2006/main" count="1249" uniqueCount="217">
  <si>
    <t>COMPORTAMIENTO DE DERECHOS PECUNIARIOS 2015 - 2016</t>
  </si>
  <si>
    <t>PROPUESTA AÑO 2017</t>
  </si>
  <si>
    <t>Escribir el valor a calcular</t>
  </si>
  <si>
    <t>PROGRAMAS TÉCNICO PROFESIONALES</t>
  </si>
  <si>
    <t>N°</t>
  </si>
  <si>
    <t>TIPO</t>
  </si>
  <si>
    <t xml:space="preserve">PROGRAMA </t>
  </si>
  <si>
    <t>VALOR MATRICULA 2015</t>
  </si>
  <si>
    <t>INCREMENTO 
%</t>
  </si>
  <si>
    <t>INCREMENTO 
$</t>
  </si>
  <si>
    <t>VALOR MATRICULA 2016 I Y II</t>
  </si>
  <si>
    <t>VALOR MATRICULA AJUSTADO A LA CENTENA
2016 I Y II</t>
  </si>
  <si>
    <t>T.P</t>
  </si>
  <si>
    <t>OPERACIÓN TURÍSTICA Y HOTELERA</t>
  </si>
  <si>
    <t>PROCESOS ADMINISTRATIVOS</t>
  </si>
  <si>
    <t>PROCESOS DE COMERCIO EXTERIOR</t>
  </si>
  <si>
    <t>PROCESOS DE MERCADEO</t>
  </si>
  <si>
    <t>PROCESOS FINANCIEROS Y BANCARIOS</t>
  </si>
  <si>
    <t>CONSTRUCCIÓN DE OBRA</t>
  </si>
  <si>
    <t>DISEÑO GRÁFICO</t>
  </si>
  <si>
    <t>PROCESOS AMBIENTALES</t>
  </si>
  <si>
    <t>PROCESOS INDUSTRIALES</t>
  </si>
  <si>
    <t>SEGURIDAD E HIGIENE INDUSTRIAL</t>
  </si>
  <si>
    <t>SISTEMAS INFORMATICOS</t>
  </si>
  <si>
    <t>DISEÑO DE MODAS</t>
  </si>
  <si>
    <t>ELECTRONICA Y TELECOMUNICACIONES</t>
  </si>
  <si>
    <t>PROGRAMAS PROFESIONALES UNIVERSITARIOS</t>
  </si>
  <si>
    <t>P.U</t>
  </si>
  <si>
    <t>ING. EN SEGURIDAD INDUSTRIAL E HIGIENE OCUPACIONAL</t>
  </si>
  <si>
    <t>OTROS DERECHOS PECUNIARIOS</t>
  </si>
  <si>
    <t>COSTOS
 2015</t>
  </si>
  <si>
    <t>COSTOS
 2016 I Y II</t>
  </si>
  <si>
    <t>INSCRIPCIÓN</t>
  </si>
  <si>
    <r>
      <rPr>
        <sz val="12"/>
        <color theme="1"/>
        <rFont val="Calibri"/>
        <family val="2"/>
        <scheme val="minor"/>
      </rPr>
      <t>EVALUACIONES</t>
    </r>
    <r>
      <rPr>
        <sz val="8"/>
        <color theme="1"/>
        <rFont val="Calibri"/>
        <family val="2"/>
        <scheme val="minor"/>
      </rPr>
      <t xml:space="preserve"> (SUPLETORIOS)</t>
    </r>
  </si>
  <si>
    <t xml:space="preserve">DERECHOS DE GRADO POR SEREMONIA </t>
  </si>
  <si>
    <t>DERECHOS DE GRADO INDIVIDUAL</t>
  </si>
  <si>
    <t>CERTIFICADOS</t>
  </si>
  <si>
    <t>CREDITOS ACADEMICOS (ADICIONAL PROGRAMAS T.P)</t>
  </si>
  <si>
    <t>CREDITOS ACADEMICOS (ADICIONAL PROGRAMAS P.U)</t>
  </si>
  <si>
    <t xml:space="preserve">COPIA DE CONTENIDOS PROGRAMATICOS </t>
  </si>
  <si>
    <t xml:space="preserve">DUPLICADO DE DIPLOMA </t>
  </si>
  <si>
    <t>DUPLICADO ACTA DE GRADO</t>
  </si>
  <si>
    <t>DUPLICADO DE CARNE ESTUDIANTIL</t>
  </si>
  <si>
    <t>CURSO DE NIVELACIÓN</t>
  </si>
  <si>
    <t>ESTUDIO DE HOMOLOGACIÓN</t>
  </si>
  <si>
    <t xml:space="preserve">EXAMEN DE SUFICIENCIA </t>
  </si>
  <si>
    <t>INGRESOS Y DERECHOS PECUNIARIOS QUE NO ESTAN INCLUIDOS DENTRO DE LA RESOLUCIÓN VIGENTE</t>
  </si>
  <si>
    <t>PARA SOCIALIZACIÓN, REVISIÓN Y OBSERVACIONES DE OTROS DERECHOS E INGRESOS - FINANCIEROS</t>
  </si>
  <si>
    <t xml:space="preserve">CURSO INTERSEMESTRAL                              </t>
  </si>
  <si>
    <t xml:space="preserve">DIPLOMADOS                                        </t>
  </si>
  <si>
    <t xml:space="preserve">CURSOS DE NIVELACION INGLES                       </t>
  </si>
  <si>
    <t>La Directora de Idiomas informa los valores que estan sujetos al número de cuotas de pago</t>
  </si>
  <si>
    <t xml:space="preserve">MULTAS BIBLIOTECA                                 </t>
  </si>
  <si>
    <t>El valor a cobrar lo entrega biblioteca</t>
  </si>
  <si>
    <t xml:space="preserve">RECARGOS MATRICULAS EXTEMPORANEAS                 </t>
  </si>
  <si>
    <t>Según valor de la matrícula</t>
  </si>
  <si>
    <t xml:space="preserve">RECARGOS MATRICULAS EXTRAORDINARIAS               </t>
  </si>
  <si>
    <t xml:space="preserve">CURSOS                                            </t>
  </si>
  <si>
    <t xml:space="preserve">SEMINARIOS                                        </t>
  </si>
  <si>
    <t>TALLERES</t>
  </si>
  <si>
    <t>PARA SOCIALIZACIÓN, REVISIÓN Y OBSERVACIONES DE OTROS DERECHOS E INGRESOS
PROPUESTAS ACADÉMICAS</t>
  </si>
  <si>
    <t>CURSO DE NIVELACIÓN (EN EL REGLAMENTO SE LLAMAN VACACIONALES TP)</t>
  </si>
  <si>
    <t>CURSO VACACIONAL P.U.</t>
  </si>
  <si>
    <t>SEMINARIO DE PROFUNDIZACION  P.U. O SEMINARIO PREGRADUAL</t>
  </si>
  <si>
    <t>PROYECTO INVESTIGACIÓN OPCIÓN DE GRADO Nivel Técnico</t>
  </si>
  <si>
    <t>PROYECTO INVESTIGACIÓN OPCIÓN DE GRADO Nivel Profesional</t>
  </si>
  <si>
    <t>VALOR MATRICULA AJUSTADO A LA CENTENA
2017 I Y II</t>
  </si>
  <si>
    <t>VALOR MATRICULA AJUSTADO A LA CENTENA 2017 I y II
2016 I Y II</t>
  </si>
  <si>
    <t>OBSERVACION</t>
  </si>
  <si>
    <t>VALOR ACTUAL</t>
  </si>
  <si>
    <t>TABLA IPC - 2016</t>
  </si>
  <si>
    <t>Necesidad Académica</t>
  </si>
  <si>
    <t>IPC a Octubre de 2016, pensaria que de acuerdo a la resolución 12161 de 2015 MEN la variacion del IPC deveria ser la anual</t>
  </si>
  <si>
    <t>GASTRONOMIA</t>
  </si>
  <si>
    <t>VALOR MATRICULA 2016</t>
  </si>
  <si>
    <t>VALOR MATRICULA 2017</t>
  </si>
  <si>
    <t>MATRICULA 2018</t>
  </si>
  <si>
    <t>$ INCREMENTO 2018</t>
  </si>
  <si>
    <t>% INCREMENTO 2018</t>
  </si>
  <si>
    <t>VALOR MATRICULA 2018</t>
  </si>
  <si>
    <t xml:space="preserve">% INCREMENTO </t>
  </si>
  <si>
    <t xml:space="preserve">$ INCREMENTO </t>
  </si>
  <si>
    <t xml:space="preserve">TOTAL </t>
  </si>
  <si>
    <t>TOTAL NETO</t>
  </si>
  <si>
    <t>VALORES 2015</t>
  </si>
  <si>
    <t>VALORES 2016</t>
  </si>
  <si>
    <t>VALORES 2017</t>
  </si>
  <si>
    <t>Inscripción</t>
  </si>
  <si>
    <t>Evaluaciones supletorias (técnico)</t>
  </si>
  <si>
    <t>Evaluaciones supletorias (profesional)</t>
  </si>
  <si>
    <t xml:space="preserve">Derechos de grado por ceremonia </t>
  </si>
  <si>
    <t>Derechos de grado individual</t>
  </si>
  <si>
    <t>Certificados</t>
  </si>
  <si>
    <t>Créditos académicos (adicional técnico)</t>
  </si>
  <si>
    <t>Créditos académicos (adicional profesional)</t>
  </si>
  <si>
    <t xml:space="preserve">Copia de contenidos programáticos </t>
  </si>
  <si>
    <t xml:space="preserve">Duplicado de diploma </t>
  </si>
  <si>
    <t>Duplicado acta de grado</t>
  </si>
  <si>
    <t>Duplicado de carne estudiantil</t>
  </si>
  <si>
    <t>Vacacionales (técnico)</t>
  </si>
  <si>
    <t>Vacacionales (profesional)</t>
  </si>
  <si>
    <t>Estudio de homologación (técnico)</t>
  </si>
  <si>
    <t>Estudio de homologación (profesional)</t>
  </si>
  <si>
    <t xml:space="preserve">Examen de suficiencia </t>
  </si>
  <si>
    <t>Diplomado actualización (técnico)</t>
  </si>
  <si>
    <t>Diplomado actualización (profesional)</t>
  </si>
  <si>
    <t>Proyecto de investigación (técnico)</t>
  </si>
  <si>
    <t>Proyecto de investigación (profesional)</t>
  </si>
  <si>
    <t>PROFESIONAL EN GASTRONOMÍA</t>
  </si>
  <si>
    <t>T.P EN IMPLEMENTACIÓN DE SISTEMAS DE TELECOMUNICACIONES</t>
  </si>
  <si>
    <t>VALORES DE MATRICULAS Y DERECHOS PECUNIARIOS 
PARA EL AÑO 2019
INCREMENTO 3,33%</t>
  </si>
  <si>
    <t>COMUNICACIÓN SOCIAL</t>
  </si>
  <si>
    <t>MATRICULA 2019</t>
  </si>
  <si>
    <t xml:space="preserve">DERECHO </t>
  </si>
  <si>
    <t>ING. DE SOFTWARE</t>
  </si>
  <si>
    <t>ADMINISTRACIÓN DE EMPRESAS</t>
  </si>
  <si>
    <t>VALORES 2018</t>
  </si>
  <si>
    <t>http://www.banrep.gov.co/es/indice-precios-consumidor-ipc</t>
  </si>
  <si>
    <t>https://www.dane.gov.co/index.php/estadisticas-por-tema/precios-y-costos/indice-de-precios-al-consumidor-ipc</t>
  </si>
  <si>
    <t>Multas biblioteca (diario)</t>
  </si>
  <si>
    <t>Servicio médico y odontologico asistencial (opcional)</t>
  </si>
  <si>
    <t>Recargo extemporaneo del 5% sobre el valor de la matrícula y diplomado de actualización</t>
  </si>
  <si>
    <t>VALORES DE MATRICULAS Y DERECHOS PECUNIARIOS 
PARA EL AÑO 2020
INCREMENTO 3,86%</t>
  </si>
  <si>
    <t>https://www.dane.gov.co/index.php/estadisticas-por-tema/precios-y-costos/indice-de-precios-al-consumidor-ipc/ipc-informacion-tecnica</t>
  </si>
  <si>
    <t>VALOR MATRICULA 2019</t>
  </si>
  <si>
    <t>VALORES 2019</t>
  </si>
  <si>
    <t>MATRICULA 2020</t>
  </si>
  <si>
    <t xml:space="preserve">CONTADURÍA </t>
  </si>
  <si>
    <t xml:space="preserve">DISEÑO GRÁFICO </t>
  </si>
  <si>
    <t>https://www.banrep.gov.co/es/estadisticas/indice-precios-consumidor-ipc</t>
  </si>
  <si>
    <t>VALOR MATRICULA 2020</t>
  </si>
  <si>
    <t>MATRICULA 2021</t>
  </si>
  <si>
    <t>VALORES 2020</t>
  </si>
  <si>
    <t>ESPECIALIZACIONES</t>
  </si>
  <si>
    <t xml:space="preserve">ESPECIALIZACIÒN </t>
  </si>
  <si>
    <t>ES</t>
  </si>
  <si>
    <t>GERENCIA DE LA SEGURIDAD Y SALUD EN EL TRABAJO</t>
  </si>
  <si>
    <t>COMUNICACIÓN DIGITAL</t>
  </si>
  <si>
    <t>TG</t>
  </si>
  <si>
    <t xml:space="preserve">PROFESIONAL MERCADEO </t>
  </si>
  <si>
    <t xml:space="preserve">GERENCIA DE PROYECTOS </t>
  </si>
  <si>
    <t>GESTIÓN AMBIENTAL</t>
  </si>
  <si>
    <t xml:space="preserve">GESTIÓN ADMINISTRATIVA Y FINANCIERA </t>
  </si>
  <si>
    <t xml:space="preserve">GESTIÓN DEL TALENTO HUMANO </t>
  </si>
  <si>
    <t>ADMINISTRACIÓN NEGOCIOS INTERNACIONALES</t>
  </si>
  <si>
    <t>ADMINISTRACIÓN AGROPECUARIA</t>
  </si>
  <si>
    <t>TECNOLOGÍAS</t>
  </si>
  <si>
    <t>VALORES DE MATRICULAS Y DERECHOS PECUNIARIOS 
PARA EL AÑO 2021
INCREMENTO 1,75%</t>
  </si>
  <si>
    <t>CALIDAD</t>
  </si>
  <si>
    <t>ESPECIALIZACIÓN EN GERENCIA DE LA CALIDAD</t>
  </si>
  <si>
    <t>*</t>
  </si>
  <si>
    <t>VALORES DE MATRICULAS Y DERECHOS PECUNIARIOS 
PARA EL AÑO 2022
INCREMENTO 4,58%</t>
  </si>
  <si>
    <t>VALOR MATRICULA 2021</t>
  </si>
  <si>
    <t>VALORES 2021</t>
  </si>
  <si>
    <t>MATRICULA 2022</t>
  </si>
  <si>
    <t>ADMON EN SEGURIDAD Y SALUD TRABAJO (virtual</t>
  </si>
  <si>
    <t xml:space="preserve">ESPECIALIZACIÓN AMBIENTES VIRTUALES </t>
  </si>
  <si>
    <t>https://www.banrep.gov.co/es/estadisticas/inflacion-total-y-meta</t>
  </si>
  <si>
    <t>VIRTUALES</t>
  </si>
  <si>
    <t>ESPECIALIZACIÓN AMBIENTES VIRTUALES (virtual)</t>
  </si>
  <si>
    <t>* Inscripción</t>
  </si>
  <si>
    <t>* Evaluaciones supletorias (técnico)</t>
  </si>
  <si>
    <t>* Evaluaciones supletorias (tecnológicas)</t>
  </si>
  <si>
    <t>* Evaluaciones supletorias (profesional)</t>
  </si>
  <si>
    <t xml:space="preserve">* Derechos de grado por ceremonia </t>
  </si>
  <si>
    <t>* Derechos de grado individual</t>
  </si>
  <si>
    <t>* Certificados</t>
  </si>
  <si>
    <t>* Créditos académicos (adicional técnico)</t>
  </si>
  <si>
    <t>* Créditos académicos (adicional tecnológico)</t>
  </si>
  <si>
    <t>* Créditos académicos (adicional profesional)</t>
  </si>
  <si>
    <t xml:space="preserve">* Copia de contenidos programáticos </t>
  </si>
  <si>
    <t xml:space="preserve">* Duplicado de diploma </t>
  </si>
  <si>
    <t>* Duplicado acta de grado</t>
  </si>
  <si>
    <t>* Vacacionales (técnico)</t>
  </si>
  <si>
    <t>* Vacacionales (tecnológico)</t>
  </si>
  <si>
    <t>* Vacacionales (profesional)</t>
  </si>
  <si>
    <t xml:space="preserve">* Examen de suficiencia </t>
  </si>
  <si>
    <t>* Diplomado actualización (técnico)</t>
  </si>
  <si>
    <t>* Diplomado actualización (tenológico)</t>
  </si>
  <si>
    <t>* Diplomado actualización (profesional)</t>
  </si>
  <si>
    <t>* Proyecto de investigación (técnico)</t>
  </si>
  <si>
    <t>* Proyecto de investigación (tecnológico)</t>
  </si>
  <si>
    <t>* Proyecto de investigación (profesional)</t>
  </si>
  <si>
    <t>* Servicio médico y odontologico asistencial (opcional)</t>
  </si>
  <si>
    <t>*Recargo extemporaneo del 5% sobre el valor de la matrícula y diplomado de actualización</t>
  </si>
  <si>
    <t>* Aplica para programas presenciales y virtuales</t>
  </si>
  <si>
    <t>* Evaluaciones supletorias (posgrados)</t>
  </si>
  <si>
    <t>* Créditos académicos (adicional posgrados)</t>
  </si>
  <si>
    <t>* Vacacionales (posgrados)</t>
  </si>
  <si>
    <t>* Estudio de homologación y/o convalidación (técnico)</t>
  </si>
  <si>
    <t>* Estudio de homologación y/o convalidación (tecnológico)</t>
  </si>
  <si>
    <t>* Estudio de homologación y/o convalidación (profesional)</t>
  </si>
  <si>
    <t>* Estudio de homologación y/o convalidación posgrados)</t>
  </si>
  <si>
    <t>* Proyecto de investigación (posgrados)</t>
  </si>
  <si>
    <t xml:space="preserve">VALOR MEN </t>
  </si>
  <si>
    <t xml:space="preserve">NETO A PAGAR </t>
  </si>
  <si>
    <t>AUXILIO ACADÉMICO</t>
  </si>
  <si>
    <t>% AUXILIO ACADÉMICO</t>
  </si>
  <si>
    <t>Examen preparatorio</t>
  </si>
  <si>
    <t>Curso de educación continua de preparación para preparatorios de Derecho</t>
  </si>
  <si>
    <t>VALOR MATRICULA 2022</t>
  </si>
  <si>
    <t>MATRICULA 2023</t>
  </si>
  <si>
    <t>VALORES 2022</t>
  </si>
  <si>
    <t>VALORES DE MATRICULAS Y DERECHOS PECUNIARIOS 
PARA EL AÑO 2023
INCREMENTO 12,22%</t>
  </si>
  <si>
    <t>Índice de Precios al Consumidor -IPC- Histórico (dane.gov.co)</t>
  </si>
  <si>
    <t>Índice de precios al consumidor (IPC) | Banco de la República (banrep.gov.co)</t>
  </si>
  <si>
    <t xml:space="preserve"> IPC. Variación mensual, año corrido y anual</t>
  </si>
  <si>
    <t>Total IPC (2013 - 2022)</t>
  </si>
  <si>
    <t>2013 - 2022 (Octubre)</t>
  </si>
  <si>
    <t>Años</t>
  </si>
  <si>
    <t>Variación %</t>
  </si>
  <si>
    <t>Mensual</t>
  </si>
  <si>
    <t>Año corrido</t>
  </si>
  <si>
    <t>Anual</t>
  </si>
  <si>
    <r>
      <t>Fuente</t>
    </r>
    <r>
      <rPr>
        <sz val="8"/>
        <rFont val="Segoe UI"/>
        <family val="2"/>
      </rPr>
      <t>: DANE.</t>
    </r>
  </si>
  <si>
    <r>
      <t xml:space="preserve">Nota: </t>
    </r>
    <r>
      <rPr>
        <sz val="8"/>
        <rFont val="Segoe UI"/>
        <family val="2"/>
      </rPr>
      <t>La diferencia en la suma de las variables, obedece al sistema de aproximación y redondeo.</t>
    </r>
  </si>
  <si>
    <t>Actualizado el 5 de Noviembre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</si>
</sst>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-&quot;$&quot;* #,##0.00_-;\-&quot;$&quot;* #,##0.00_-;_-&quot;$&quot;* &quot;-&quot;??_-;_-@_-"/>
    <numFmt numFmtId="167" formatCode="_-&quot;$&quot;* #,##0_-;\-&quot;$&quot;* #,##0_-;_-&quot;$&quot;* &quot;-&quot;??_-;_-@_-"/>
    <numFmt numFmtId="168" formatCode="_-* #,##0\ _€_-;\-* #,##0\ _€_-;_-* &quot;-&quot;??\ _€_-;_-@_-"/>
    <numFmt numFmtId="169" formatCode="#,##0\ _€"/>
    <numFmt numFmtId="170" formatCode="0.000%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Verdana   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4" tint="-0.249977111117893"/>
      <name val="Arial"/>
      <family val="2"/>
    </font>
    <font>
      <b/>
      <sz val="14"/>
      <color rgb="FFFFFFFF"/>
      <name val="Segoe UI"/>
      <family val="2"/>
    </font>
    <font>
      <b/>
      <sz val="9"/>
      <name val="Segoe UI"/>
      <family val="2"/>
    </font>
    <font>
      <b/>
      <sz val="12"/>
      <name val="Segoe U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name val="Segoe UI"/>
      <family val="2"/>
      <charset val="204"/>
    </font>
    <font>
      <b/>
      <sz val="8"/>
      <name val="Segoe UI"/>
      <family val="2"/>
    </font>
    <font>
      <sz val="8"/>
      <name val="Segoe UI"/>
      <family val="2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gradientFill degree="90">
        <stop position="0">
          <color theme="0"/>
        </stop>
        <stop position="0.5">
          <color theme="9" tint="0.59999389629810485"/>
        </stop>
        <stop position="1">
          <color theme="0"/>
        </stop>
      </gradient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5" tint="0.59999389629810485"/>
        <bgColor auto="1"/>
      </patternFill>
    </fill>
    <fill>
      <patternFill patternType="solid">
        <fgColor rgb="FFFFCCCC"/>
        <bgColor indexed="64"/>
      </patternFill>
    </fill>
    <fill>
      <patternFill patternType="solid">
        <fgColor rgb="FFB6004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2D050"/>
        <bgColor indexed="64"/>
      </patternFill>
    </fill>
  </fills>
  <borders count="1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ashed">
        <color indexed="64"/>
      </bottom>
      <diagonal/>
    </border>
    <border>
      <left/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1" fillId="0" borderId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872">
    <xf numFmtId="0" fontId="0" fillId="0" borderId="0" xfId="0"/>
    <xf numFmtId="165" fontId="4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10" fontId="6" fillId="3" borderId="1" xfId="0" applyNumberFormat="1" applyFont="1" applyFill="1" applyBorder="1" applyAlignment="1">
      <alignment horizontal="center" vertical="center"/>
    </xf>
    <xf numFmtId="167" fontId="5" fillId="0" borderId="0" xfId="2" applyNumberFormat="1" applyFont="1"/>
    <xf numFmtId="0" fontId="5" fillId="0" borderId="0" xfId="0" applyFont="1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67" fontId="2" fillId="4" borderId="1" xfId="2" applyNumberFormat="1" applyFont="1" applyFill="1" applyBorder="1" applyAlignment="1">
      <alignment horizontal="center" vertical="center" wrapText="1"/>
    </xf>
    <xf numFmtId="165" fontId="2" fillId="4" borderId="1" xfId="3" applyNumberFormat="1" applyFont="1" applyFill="1" applyBorder="1" applyAlignment="1">
      <alignment horizontal="center" vertical="center" wrapText="1"/>
    </xf>
    <xf numFmtId="165" fontId="2" fillId="2" borderId="1" xfId="3" applyNumberFormat="1" applyFont="1" applyFill="1" applyBorder="1" applyAlignment="1">
      <alignment horizontal="center" vertical="center" wrapText="1"/>
    </xf>
    <xf numFmtId="167" fontId="2" fillId="2" borderId="1" xfId="2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1" xfId="4" applyFont="1" applyFill="1" applyBorder="1" applyAlignment="1">
      <alignment horizontal="left" vertical="center" wrapText="1"/>
    </xf>
    <xf numFmtId="167" fontId="5" fillId="0" borderId="1" xfId="0" applyNumberFormat="1" applyFont="1" applyBorder="1" applyAlignment="1">
      <alignment wrapText="1"/>
    </xf>
    <xf numFmtId="10" fontId="5" fillId="0" borderId="1" xfId="3" applyNumberFormat="1" applyFont="1" applyBorder="1"/>
    <xf numFmtId="167" fontId="5" fillId="0" borderId="1" xfId="2" applyNumberFormat="1" applyFont="1" applyBorder="1"/>
    <xf numFmtId="167" fontId="5" fillId="0" borderId="1" xfId="0" applyNumberFormat="1" applyFont="1" applyBorder="1"/>
    <xf numFmtId="10" fontId="5" fillId="2" borderId="1" xfId="3" applyNumberFormat="1" applyFont="1" applyFill="1" applyBorder="1"/>
    <xf numFmtId="167" fontId="5" fillId="2" borderId="1" xfId="2" applyNumberFormat="1" applyFont="1" applyFill="1" applyBorder="1"/>
    <xf numFmtId="167" fontId="5" fillId="2" borderId="1" xfId="0" applyNumberFormat="1" applyFont="1" applyFill="1" applyBorder="1"/>
    <xf numFmtId="167" fontId="5" fillId="2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vertical="center" wrapText="1"/>
    </xf>
    <xf numFmtId="10" fontId="5" fillId="0" borderId="1" xfId="3" applyNumberFormat="1" applyFont="1" applyBorder="1" applyAlignment="1">
      <alignment vertical="center"/>
    </xf>
    <xf numFmtId="167" fontId="5" fillId="0" borderId="1" xfId="2" applyNumberFormat="1" applyFont="1" applyBorder="1" applyAlignment="1">
      <alignment vertical="center"/>
    </xf>
    <xf numFmtId="167" fontId="5" fillId="0" borderId="1" xfId="0" applyNumberFormat="1" applyFont="1" applyBorder="1" applyAlignment="1">
      <alignment vertical="center"/>
    </xf>
    <xf numFmtId="167" fontId="5" fillId="2" borderId="1" xfId="2" applyNumberFormat="1" applyFont="1" applyFill="1" applyBorder="1" applyAlignment="1">
      <alignment vertical="center"/>
    </xf>
    <xf numFmtId="167" fontId="5" fillId="2" borderId="1" xfId="0" applyNumberFormat="1" applyFont="1" applyFill="1" applyBorder="1" applyAlignment="1">
      <alignment vertical="center"/>
    </xf>
    <xf numFmtId="167" fontId="5" fillId="2" borderId="1" xfId="0" applyNumberFormat="1" applyFont="1" applyFill="1" applyBorder="1" applyAlignment="1">
      <alignment vertical="center" wrapText="1"/>
    </xf>
    <xf numFmtId="0" fontId="5" fillId="0" borderId="0" xfId="0" applyFont="1" applyBorder="1"/>
    <xf numFmtId="0" fontId="5" fillId="4" borderId="1" xfId="0" applyFont="1" applyFill="1" applyBorder="1" applyAlignment="1">
      <alignment horizontal="center" vertical="center"/>
    </xf>
    <xf numFmtId="167" fontId="5" fillId="0" borderId="1" xfId="2" applyNumberFormat="1" applyFont="1" applyBorder="1" applyAlignment="1">
      <alignment wrapText="1"/>
    </xf>
    <xf numFmtId="167" fontId="5" fillId="2" borderId="1" xfId="2" applyNumberFormat="1" applyFont="1" applyFill="1" applyBorder="1" applyAlignment="1">
      <alignment wrapText="1"/>
    </xf>
    <xf numFmtId="0" fontId="10" fillId="0" borderId="1" xfId="4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67" fontId="5" fillId="0" borderId="1" xfId="2" applyNumberFormat="1" applyFont="1" applyFill="1" applyBorder="1" applyAlignment="1">
      <alignment wrapText="1"/>
    </xf>
    <xf numFmtId="167" fontId="5" fillId="0" borderId="1" xfId="2" applyNumberFormat="1" applyFont="1" applyFill="1" applyBorder="1"/>
    <xf numFmtId="165" fontId="5" fillId="0" borderId="0" xfId="3" applyNumberFormat="1" applyFont="1"/>
    <xf numFmtId="0" fontId="11" fillId="0" borderId="1" xfId="5" applyFill="1" applyBorder="1" applyAlignment="1">
      <alignment vertical="center"/>
    </xf>
    <xf numFmtId="168" fontId="0" fillId="0" borderId="1" xfId="1" applyNumberFormat="1" applyFont="1" applyFill="1" applyBorder="1" applyAlignment="1">
      <alignment horizontal="center" vertical="center"/>
    </xf>
    <xf numFmtId="0" fontId="11" fillId="0" borderId="1" xfId="5" applyFill="1" applyBorder="1" applyAlignment="1">
      <alignment horizontal="center" vertical="center"/>
    </xf>
    <xf numFmtId="165" fontId="0" fillId="0" borderId="1" xfId="3" applyNumberFormat="1" applyFont="1" applyFill="1" applyBorder="1" applyAlignment="1">
      <alignment horizontal="center" vertical="center"/>
    </xf>
    <xf numFmtId="167" fontId="5" fillId="0" borderId="1" xfId="2" applyNumberFormat="1" applyFont="1" applyBorder="1" applyAlignment="1">
      <alignment horizontal="center"/>
    </xf>
    <xf numFmtId="0" fontId="11" fillId="0" borderId="1" xfId="5" applyFill="1" applyBorder="1" applyAlignment="1">
      <alignment vertical="center" wrapText="1"/>
    </xf>
    <xf numFmtId="165" fontId="5" fillId="0" borderId="5" xfId="3" applyNumberFormat="1" applyFont="1" applyBorder="1" applyAlignment="1">
      <alignment horizontal="center" vertical="center"/>
    </xf>
    <xf numFmtId="0" fontId="11" fillId="0" borderId="5" xfId="5" applyFill="1" applyBorder="1" applyAlignment="1">
      <alignment horizontal="left" vertical="center" wrapText="1"/>
    </xf>
    <xf numFmtId="9" fontId="11" fillId="0" borderId="5" xfId="5" applyNumberFormat="1" applyFill="1" applyBorder="1" applyAlignment="1">
      <alignment horizontal="left" vertical="center" wrapText="1"/>
    </xf>
    <xf numFmtId="0" fontId="11" fillId="0" borderId="9" xfId="5" applyFill="1" applyBorder="1" applyAlignment="1">
      <alignment horizontal="left" vertical="center" wrapText="1"/>
    </xf>
    <xf numFmtId="0" fontId="11" fillId="0" borderId="12" xfId="5" applyFill="1" applyBorder="1" applyAlignment="1">
      <alignment horizontal="left" vertical="center" wrapText="1"/>
    </xf>
    <xf numFmtId="0" fontId="11" fillId="0" borderId="15" xfId="5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65" fontId="5" fillId="0" borderId="5" xfId="3" applyNumberFormat="1" applyFont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9" fillId="7" borderId="1" xfId="4" applyFont="1" applyFill="1" applyBorder="1" applyAlignment="1">
      <alignment horizontal="left" vertical="center" wrapText="1"/>
    </xf>
    <xf numFmtId="167" fontId="5" fillId="7" borderId="1" xfId="0" applyNumberFormat="1" applyFont="1" applyFill="1" applyBorder="1" applyAlignment="1">
      <alignment vertical="center" wrapText="1"/>
    </xf>
    <xf numFmtId="167" fontId="5" fillId="7" borderId="1" xfId="2" applyNumberFormat="1" applyFont="1" applyFill="1" applyBorder="1" applyAlignment="1">
      <alignment vertical="center"/>
    </xf>
    <xf numFmtId="167" fontId="5" fillId="7" borderId="1" xfId="0" applyNumberFormat="1" applyFont="1" applyFill="1" applyBorder="1" applyAlignment="1">
      <alignment vertical="center"/>
    </xf>
    <xf numFmtId="10" fontId="5" fillId="7" borderId="1" xfId="3" applyNumberFormat="1" applyFont="1" applyFill="1" applyBorder="1"/>
    <xf numFmtId="0" fontId="5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 wrapText="1"/>
    </xf>
    <xf numFmtId="167" fontId="2" fillId="7" borderId="1" xfId="2" applyNumberFormat="1" applyFont="1" applyFill="1" applyBorder="1" applyAlignment="1">
      <alignment horizontal="center" vertical="center" wrapText="1"/>
    </xf>
    <xf numFmtId="0" fontId="5" fillId="7" borderId="0" xfId="0" applyFont="1" applyFill="1"/>
    <xf numFmtId="0" fontId="5" fillId="7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wrapText="1"/>
    </xf>
    <xf numFmtId="167" fontId="5" fillId="0" borderId="1" xfId="0" applyNumberFormat="1" applyFont="1" applyFill="1" applyBorder="1"/>
    <xf numFmtId="10" fontId="5" fillId="0" borderId="1" xfId="3" applyNumberFormat="1" applyFont="1" applyFill="1" applyBorder="1"/>
    <xf numFmtId="167" fontId="1" fillId="7" borderId="1" xfId="2" applyNumberFormat="1" applyFont="1" applyFill="1" applyBorder="1" applyAlignment="1">
      <alignment horizontal="center" vertical="center" wrapText="1"/>
    </xf>
    <xf numFmtId="165" fontId="1" fillId="7" borderId="1" xfId="3" applyNumberFormat="1" applyFont="1" applyFill="1" applyBorder="1" applyAlignment="1">
      <alignment horizontal="center" vertical="center" wrapText="1"/>
    </xf>
    <xf numFmtId="167" fontId="5" fillId="0" borderId="0" xfId="0" applyNumberFormat="1" applyFont="1"/>
    <xf numFmtId="169" fontId="16" fillId="2" borderId="26" xfId="2" applyNumberFormat="1" applyFont="1" applyFill="1" applyBorder="1" applyAlignment="1">
      <alignment vertical="center"/>
    </xf>
    <xf numFmtId="169" fontId="16" fillId="2" borderId="26" xfId="0" applyNumberFormat="1" applyFont="1" applyFill="1" applyBorder="1" applyAlignment="1">
      <alignment vertical="center" wrapText="1"/>
    </xf>
    <xf numFmtId="10" fontId="16" fillId="2" borderId="39" xfId="3" applyNumberFormat="1" applyFont="1" applyFill="1" applyBorder="1" applyAlignment="1">
      <alignment horizontal="center" vertical="center"/>
    </xf>
    <xf numFmtId="10" fontId="16" fillId="2" borderId="40" xfId="3" applyNumberFormat="1" applyFont="1" applyFill="1" applyBorder="1" applyAlignment="1">
      <alignment horizontal="center" vertical="center"/>
    </xf>
    <xf numFmtId="169" fontId="16" fillId="2" borderId="72" xfId="2" applyNumberFormat="1" applyFont="1" applyFill="1" applyBorder="1" applyAlignment="1">
      <alignment vertical="center"/>
    </xf>
    <xf numFmtId="169" fontId="16" fillId="2" borderId="72" xfId="0" applyNumberFormat="1" applyFont="1" applyFill="1" applyBorder="1" applyAlignment="1">
      <alignment vertical="center" wrapText="1"/>
    </xf>
    <xf numFmtId="169" fontId="16" fillId="2" borderId="76" xfId="0" applyNumberFormat="1" applyFont="1" applyFill="1" applyBorder="1" applyAlignment="1">
      <alignment vertical="center" wrapText="1"/>
    </xf>
    <xf numFmtId="0" fontId="13" fillId="8" borderId="0" xfId="0" applyFont="1" applyFill="1"/>
    <xf numFmtId="0" fontId="12" fillId="8" borderId="0" xfId="0" applyFont="1" applyFill="1" applyBorder="1" applyAlignment="1">
      <alignment horizontal="center" vertical="center" wrapText="1"/>
    </xf>
    <xf numFmtId="165" fontId="15" fillId="8" borderId="37" xfId="3" applyNumberFormat="1" applyFont="1" applyFill="1" applyBorder="1" applyAlignment="1">
      <alignment horizontal="center" vertical="center" wrapText="1"/>
    </xf>
    <xf numFmtId="167" fontId="15" fillId="8" borderId="33" xfId="2" applyNumberFormat="1" applyFont="1" applyFill="1" applyBorder="1" applyAlignment="1">
      <alignment horizontal="center" vertical="center" wrapText="1"/>
    </xf>
    <xf numFmtId="167" fontId="15" fillId="8" borderId="34" xfId="2" applyNumberFormat="1" applyFont="1" applyFill="1" applyBorder="1" applyAlignment="1">
      <alignment horizontal="center" vertical="center" wrapText="1"/>
    </xf>
    <xf numFmtId="0" fontId="16" fillId="8" borderId="17" xfId="0" applyFont="1" applyFill="1" applyBorder="1" applyAlignment="1">
      <alignment horizontal="center" vertical="center"/>
    </xf>
    <xf numFmtId="0" fontId="17" fillId="8" borderId="17" xfId="4" applyFont="1" applyFill="1" applyBorder="1" applyAlignment="1">
      <alignment horizontal="left" vertical="center" wrapText="1"/>
    </xf>
    <xf numFmtId="0" fontId="16" fillId="8" borderId="20" xfId="0" applyFont="1" applyFill="1" applyBorder="1" applyAlignment="1">
      <alignment horizontal="center" vertical="center"/>
    </xf>
    <xf numFmtId="0" fontId="17" fillId="8" borderId="20" xfId="4" applyFont="1" applyFill="1" applyBorder="1" applyAlignment="1">
      <alignment horizontal="left" vertical="center" wrapText="1"/>
    </xf>
    <xf numFmtId="168" fontId="16" fillId="8" borderId="20" xfId="1" applyNumberFormat="1" applyFont="1" applyFill="1" applyBorder="1" applyAlignment="1">
      <alignment vertical="center" wrapText="1"/>
    </xf>
    <xf numFmtId="168" fontId="16" fillId="8" borderId="17" xfId="1" applyNumberFormat="1" applyFont="1" applyFill="1" applyBorder="1" applyAlignment="1">
      <alignment vertical="center" wrapText="1"/>
    </xf>
    <xf numFmtId="168" fontId="16" fillId="8" borderId="62" xfId="1" applyNumberFormat="1" applyFont="1" applyFill="1" applyBorder="1" applyAlignment="1">
      <alignment vertical="center" wrapText="1"/>
    </xf>
    <xf numFmtId="0" fontId="16" fillId="8" borderId="0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/>
    </xf>
    <xf numFmtId="0" fontId="17" fillId="8" borderId="0" xfId="4" applyFont="1" applyFill="1" applyBorder="1" applyAlignment="1">
      <alignment horizontal="left" vertical="center" wrapText="1"/>
    </xf>
    <xf numFmtId="169" fontId="16" fillId="8" borderId="0" xfId="0" applyNumberFormat="1" applyFont="1" applyFill="1" applyBorder="1" applyAlignment="1">
      <alignment wrapText="1"/>
    </xf>
    <xf numFmtId="10" fontId="16" fillId="8" borderId="0" xfId="3" applyNumberFormat="1" applyFont="1" applyFill="1" applyBorder="1"/>
    <xf numFmtId="169" fontId="16" fillId="8" borderId="0" xfId="2" applyNumberFormat="1" applyFont="1" applyFill="1" applyBorder="1"/>
    <xf numFmtId="169" fontId="15" fillId="8" borderId="0" xfId="0" applyNumberFormat="1" applyFont="1" applyFill="1" applyBorder="1"/>
    <xf numFmtId="0" fontId="16" fillId="8" borderId="0" xfId="0" applyFont="1" applyFill="1"/>
    <xf numFmtId="0" fontId="16" fillId="8" borderId="28" xfId="0" applyFont="1" applyFill="1" applyBorder="1" applyAlignment="1">
      <alignment horizontal="center" vertical="center"/>
    </xf>
    <xf numFmtId="0" fontId="16" fillId="8" borderId="26" xfId="0" applyFont="1" applyFill="1" applyBorder="1" applyAlignment="1">
      <alignment horizontal="center" vertical="center" wrapText="1"/>
    </xf>
    <xf numFmtId="0" fontId="16" fillId="8" borderId="26" xfId="0" applyFont="1" applyFill="1" applyBorder="1" applyAlignment="1">
      <alignment horizontal="left" vertical="center" wrapText="1"/>
    </xf>
    <xf numFmtId="168" fontId="16" fillId="8" borderId="26" xfId="1" applyNumberFormat="1" applyFont="1" applyFill="1" applyBorder="1" applyAlignment="1">
      <alignment vertical="center" wrapText="1"/>
    </xf>
    <xf numFmtId="168" fontId="16" fillId="8" borderId="66" xfId="1" applyNumberFormat="1" applyFont="1" applyFill="1" applyBorder="1" applyAlignment="1">
      <alignment vertical="center" wrapText="1"/>
    </xf>
    <xf numFmtId="168" fontId="16" fillId="8" borderId="69" xfId="1" applyNumberFormat="1" applyFont="1" applyFill="1" applyBorder="1" applyAlignment="1">
      <alignment vertical="center" wrapText="1"/>
    </xf>
    <xf numFmtId="0" fontId="16" fillId="8" borderId="56" xfId="0" applyFont="1" applyFill="1" applyBorder="1" applyAlignment="1">
      <alignment horizontal="center" vertical="center"/>
    </xf>
    <xf numFmtId="168" fontId="16" fillId="8" borderId="67" xfId="1" applyNumberFormat="1" applyFont="1" applyFill="1" applyBorder="1" applyAlignment="1">
      <alignment vertical="center" wrapText="1"/>
    </xf>
    <xf numFmtId="0" fontId="16" fillId="8" borderId="64" xfId="0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 wrapText="1"/>
    </xf>
    <xf numFmtId="0" fontId="16" fillId="8" borderId="17" xfId="0" applyFont="1" applyFill="1" applyBorder="1" applyAlignment="1">
      <alignment horizontal="left" vertical="center" wrapText="1"/>
    </xf>
    <xf numFmtId="168" fontId="16" fillId="8" borderId="68" xfId="1" applyNumberFormat="1" applyFont="1" applyFill="1" applyBorder="1" applyAlignment="1">
      <alignment vertical="center" wrapText="1"/>
    </xf>
    <xf numFmtId="168" fontId="16" fillId="8" borderId="0" xfId="1" applyNumberFormat="1" applyFont="1" applyFill="1" applyBorder="1" applyAlignment="1">
      <alignment vertical="center" wrapText="1"/>
    </xf>
    <xf numFmtId="10" fontId="16" fillId="8" borderId="0" xfId="3" applyNumberFormat="1" applyFont="1" applyFill="1" applyBorder="1" applyAlignment="1">
      <alignment vertical="center"/>
    </xf>
    <xf numFmtId="168" fontId="16" fillId="8" borderId="0" xfId="1" applyNumberFormat="1" applyFont="1" applyFill="1" applyBorder="1" applyAlignment="1">
      <alignment vertical="center"/>
    </xf>
    <xf numFmtId="168" fontId="15" fillId="8" borderId="0" xfId="1" applyNumberFormat="1" applyFont="1" applyFill="1" applyBorder="1" applyAlignment="1">
      <alignment vertical="center"/>
    </xf>
    <xf numFmtId="0" fontId="16" fillId="8" borderId="0" xfId="0" applyFont="1" applyFill="1" applyBorder="1"/>
    <xf numFmtId="0" fontId="13" fillId="8" borderId="0" xfId="0" applyFont="1" applyFill="1" applyBorder="1"/>
    <xf numFmtId="0" fontId="14" fillId="8" borderId="53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 wrapText="1"/>
    </xf>
    <xf numFmtId="167" fontId="15" fillId="8" borderId="35" xfId="2" applyNumberFormat="1" applyFont="1" applyFill="1" applyBorder="1" applyAlignment="1">
      <alignment horizontal="center" vertical="center" wrapText="1"/>
    </xf>
    <xf numFmtId="167" fontId="15" fillId="8" borderId="65" xfId="2" applyNumberFormat="1" applyFont="1" applyFill="1" applyBorder="1" applyAlignment="1">
      <alignment horizontal="center" vertical="center" wrapText="1"/>
    </xf>
    <xf numFmtId="167" fontId="15" fillId="8" borderId="54" xfId="2" applyNumberFormat="1" applyFont="1" applyFill="1" applyBorder="1" applyAlignment="1">
      <alignment horizontal="center" vertical="center" wrapText="1"/>
    </xf>
    <xf numFmtId="0" fontId="13" fillId="8" borderId="57" xfId="0" applyFont="1" applyFill="1" applyBorder="1" applyAlignment="1">
      <alignment horizontal="center" vertical="center"/>
    </xf>
    <xf numFmtId="0" fontId="16" fillId="8" borderId="29" xfId="0" applyFont="1" applyFill="1" applyBorder="1" applyAlignment="1">
      <alignment vertical="center" wrapText="1"/>
    </xf>
    <xf numFmtId="168" fontId="16" fillId="8" borderId="38" xfId="1" applyNumberFormat="1" applyFont="1" applyFill="1" applyBorder="1" applyAlignment="1">
      <alignment vertical="center" wrapText="1"/>
    </xf>
    <xf numFmtId="168" fontId="16" fillId="8" borderId="43" xfId="1" applyNumberFormat="1" applyFont="1" applyFill="1" applyBorder="1" applyAlignment="1">
      <alignment vertical="center" wrapText="1"/>
    </xf>
    <xf numFmtId="0" fontId="13" fillId="8" borderId="58" xfId="0" applyFont="1" applyFill="1" applyBorder="1" applyAlignment="1">
      <alignment horizontal="center" vertical="center"/>
    </xf>
    <xf numFmtId="0" fontId="18" fillId="8" borderId="17" xfId="0" applyFont="1" applyFill="1" applyBorder="1" applyAlignment="1">
      <alignment vertical="center" wrapText="1"/>
    </xf>
    <xf numFmtId="168" fontId="16" fillId="8" borderId="39" xfId="1" applyNumberFormat="1" applyFont="1" applyFill="1" applyBorder="1" applyAlignment="1">
      <alignment vertical="center" wrapText="1"/>
    </xf>
    <xf numFmtId="168" fontId="16" fillId="8" borderId="44" xfId="1" applyNumberFormat="1" applyFont="1" applyFill="1" applyBorder="1" applyAlignment="1">
      <alignment vertical="center" wrapText="1"/>
    </xf>
    <xf numFmtId="0" fontId="18" fillId="8" borderId="17" xfId="0" applyFont="1" applyFill="1" applyBorder="1" applyAlignment="1">
      <alignment vertical="center"/>
    </xf>
    <xf numFmtId="0" fontId="16" fillId="8" borderId="17" xfId="0" applyFont="1" applyFill="1" applyBorder="1" applyAlignment="1">
      <alignment vertical="center" wrapText="1"/>
    </xf>
    <xf numFmtId="0" fontId="13" fillId="8" borderId="59" xfId="0" applyFont="1" applyFill="1" applyBorder="1" applyAlignment="1">
      <alignment horizontal="center" vertical="center"/>
    </xf>
    <xf numFmtId="0" fontId="18" fillId="8" borderId="20" xfId="0" applyFont="1" applyFill="1" applyBorder="1" applyAlignment="1">
      <alignment vertical="center"/>
    </xf>
    <xf numFmtId="168" fontId="16" fillId="8" borderId="40" xfId="1" applyNumberFormat="1" applyFont="1" applyFill="1" applyBorder="1" applyAlignment="1">
      <alignment vertical="center" wrapText="1"/>
    </xf>
    <xf numFmtId="168" fontId="16" fillId="8" borderId="45" xfId="1" applyNumberFormat="1" applyFont="1" applyFill="1" applyBorder="1" applyAlignment="1">
      <alignment vertical="center" wrapText="1"/>
    </xf>
    <xf numFmtId="167" fontId="13" fillId="8" borderId="0" xfId="2" applyNumberFormat="1" applyFont="1" applyFill="1"/>
    <xf numFmtId="0" fontId="13" fillId="8" borderId="0" xfId="0" applyFont="1" applyFill="1" applyAlignment="1">
      <alignment wrapText="1"/>
    </xf>
    <xf numFmtId="165" fontId="13" fillId="8" borderId="0" xfId="3" applyNumberFormat="1" applyFont="1" applyFill="1"/>
    <xf numFmtId="0" fontId="14" fillId="8" borderId="0" xfId="0" applyFont="1" applyFill="1"/>
    <xf numFmtId="10" fontId="16" fillId="2" borderId="78" xfId="3" applyNumberFormat="1" applyFont="1" applyFill="1" applyBorder="1" applyAlignment="1">
      <alignment horizontal="center" vertical="center"/>
    </xf>
    <xf numFmtId="169" fontId="16" fillId="2" borderId="76" xfId="2" applyNumberFormat="1" applyFont="1" applyFill="1" applyBorder="1" applyAlignment="1">
      <alignment vertical="center"/>
    </xf>
    <xf numFmtId="169" fontId="15" fillId="2" borderId="79" xfId="0" applyNumberFormat="1" applyFont="1" applyFill="1" applyBorder="1" applyAlignment="1">
      <alignment vertical="center"/>
    </xf>
    <xf numFmtId="169" fontId="15" fillId="2" borderId="18" xfId="0" applyNumberFormat="1" applyFont="1" applyFill="1" applyBorder="1" applyAlignment="1">
      <alignment vertical="center"/>
    </xf>
    <xf numFmtId="169" fontId="15" fillId="2" borderId="21" xfId="0" applyNumberFormat="1" applyFont="1" applyFill="1" applyBorder="1" applyAlignment="1">
      <alignment vertical="center"/>
    </xf>
    <xf numFmtId="10" fontId="16" fillId="9" borderId="48" xfId="3" applyNumberFormat="1" applyFont="1" applyFill="1" applyBorder="1" applyAlignment="1">
      <alignment horizontal="center" vertical="center"/>
    </xf>
    <xf numFmtId="168" fontId="16" fillId="9" borderId="26" xfId="1" applyNumberFormat="1" applyFont="1" applyFill="1" applyBorder="1" applyAlignment="1">
      <alignment vertical="center"/>
    </xf>
    <xf numFmtId="168" fontId="16" fillId="9" borderId="26" xfId="1" applyNumberFormat="1" applyFont="1" applyFill="1" applyBorder="1" applyAlignment="1">
      <alignment vertical="center" wrapText="1"/>
    </xf>
    <xf numFmtId="168" fontId="15" fillId="9" borderId="27" xfId="1" applyNumberFormat="1" applyFont="1" applyFill="1" applyBorder="1" applyAlignment="1">
      <alignment vertical="center"/>
    </xf>
    <xf numFmtId="10" fontId="16" fillId="9" borderId="46" xfId="3" applyNumberFormat="1" applyFont="1" applyFill="1" applyBorder="1" applyAlignment="1">
      <alignment horizontal="center" vertical="center"/>
    </xf>
    <xf numFmtId="168" fontId="15" fillId="9" borderId="18" xfId="1" applyNumberFormat="1" applyFont="1" applyFill="1" applyBorder="1" applyAlignment="1">
      <alignment vertical="center"/>
    </xf>
    <xf numFmtId="10" fontId="16" fillId="9" borderId="47" xfId="3" applyNumberFormat="1" applyFont="1" applyFill="1" applyBorder="1" applyAlignment="1">
      <alignment horizontal="center" vertical="center"/>
    </xf>
    <xf numFmtId="168" fontId="16" fillId="9" borderId="72" xfId="1" applyNumberFormat="1" applyFont="1" applyFill="1" applyBorder="1" applyAlignment="1">
      <alignment vertical="center"/>
    </xf>
    <xf numFmtId="168" fontId="16" fillId="9" borderId="72" xfId="1" applyNumberFormat="1" applyFont="1" applyFill="1" applyBorder="1" applyAlignment="1">
      <alignment vertical="center" wrapText="1"/>
    </xf>
    <xf numFmtId="168" fontId="15" fillId="9" borderId="21" xfId="1" applyNumberFormat="1" applyFont="1" applyFill="1" applyBorder="1" applyAlignment="1">
      <alignment vertical="center"/>
    </xf>
    <xf numFmtId="10" fontId="16" fillId="10" borderId="48" xfId="3" applyNumberFormat="1" applyFont="1" applyFill="1" applyBorder="1" applyAlignment="1">
      <alignment horizontal="center" vertical="center"/>
    </xf>
    <xf numFmtId="168" fontId="16" fillId="10" borderId="26" xfId="1" applyNumberFormat="1" applyFont="1" applyFill="1" applyBorder="1" applyAlignment="1">
      <alignment vertical="center"/>
    </xf>
    <xf numFmtId="168" fontId="16" fillId="10" borderId="17" xfId="1" applyNumberFormat="1" applyFont="1" applyFill="1" applyBorder="1" applyAlignment="1">
      <alignment vertical="center" wrapText="1"/>
    </xf>
    <xf numFmtId="168" fontId="15" fillId="10" borderId="27" xfId="1" applyNumberFormat="1" applyFont="1" applyFill="1" applyBorder="1" applyAlignment="1">
      <alignment vertical="center"/>
    </xf>
    <xf numFmtId="10" fontId="16" fillId="10" borderId="46" xfId="3" applyNumberFormat="1" applyFont="1" applyFill="1" applyBorder="1" applyAlignment="1">
      <alignment horizontal="center" vertical="center"/>
    </xf>
    <xf numFmtId="168" fontId="15" fillId="10" borderId="18" xfId="1" applyNumberFormat="1" applyFont="1" applyFill="1" applyBorder="1" applyAlignment="1">
      <alignment vertical="center"/>
    </xf>
    <xf numFmtId="10" fontId="16" fillId="10" borderId="47" xfId="3" applyNumberFormat="1" applyFont="1" applyFill="1" applyBorder="1" applyAlignment="1">
      <alignment horizontal="center" vertical="center"/>
    </xf>
    <xf numFmtId="168" fontId="16" fillId="10" borderId="20" xfId="1" applyNumberFormat="1" applyFont="1" applyFill="1" applyBorder="1" applyAlignment="1">
      <alignment vertical="center" wrapText="1"/>
    </xf>
    <xf numFmtId="168" fontId="15" fillId="10" borderId="21" xfId="1" applyNumberFormat="1" applyFont="1" applyFill="1" applyBorder="1" applyAlignment="1">
      <alignment vertical="center"/>
    </xf>
    <xf numFmtId="165" fontId="15" fillId="10" borderId="55" xfId="3" applyNumberFormat="1" applyFont="1" applyFill="1" applyBorder="1" applyAlignment="1">
      <alignment horizontal="center" vertical="center" wrapText="1"/>
    </xf>
    <xf numFmtId="167" fontId="15" fillId="10" borderId="35" xfId="2" applyNumberFormat="1" applyFont="1" applyFill="1" applyBorder="1" applyAlignment="1">
      <alignment horizontal="center" vertical="center" wrapText="1"/>
    </xf>
    <xf numFmtId="167" fontId="15" fillId="10" borderId="32" xfId="2" applyNumberFormat="1" applyFont="1" applyFill="1" applyBorder="1" applyAlignment="1">
      <alignment horizontal="center" vertical="center" wrapText="1"/>
    </xf>
    <xf numFmtId="165" fontId="15" fillId="9" borderId="71" xfId="3" applyNumberFormat="1" applyFont="1" applyFill="1" applyBorder="1" applyAlignment="1">
      <alignment horizontal="center" vertical="center" wrapText="1"/>
    </xf>
    <xf numFmtId="167" fontId="15" fillId="9" borderId="33" xfId="2" applyNumberFormat="1" applyFont="1" applyFill="1" applyBorder="1" applyAlignment="1">
      <alignment horizontal="center" vertical="center" wrapText="1"/>
    </xf>
    <xf numFmtId="167" fontId="15" fillId="9" borderId="34" xfId="2" applyNumberFormat="1" applyFont="1" applyFill="1" applyBorder="1" applyAlignment="1">
      <alignment horizontal="center" vertical="center" wrapText="1"/>
    </xf>
    <xf numFmtId="10" fontId="16" fillId="2" borderId="38" xfId="3" applyNumberFormat="1" applyFont="1" applyFill="1" applyBorder="1" applyAlignment="1">
      <alignment horizontal="center" vertical="center"/>
    </xf>
    <xf numFmtId="169" fontId="15" fillId="2" borderId="27" xfId="0" applyNumberFormat="1" applyFont="1" applyFill="1" applyBorder="1" applyAlignment="1">
      <alignment vertical="center"/>
    </xf>
    <xf numFmtId="0" fontId="16" fillId="9" borderId="16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17" fillId="9" borderId="17" xfId="4" applyFont="1" applyFill="1" applyBorder="1" applyAlignment="1">
      <alignment horizontal="left" vertical="center" wrapText="1"/>
    </xf>
    <xf numFmtId="169" fontId="16" fillId="9" borderId="17" xfId="0" applyNumberFormat="1" applyFont="1" applyFill="1" applyBorder="1" applyAlignment="1">
      <alignment vertical="center" wrapText="1"/>
    </xf>
    <xf numFmtId="169" fontId="16" fillId="9" borderId="44" xfId="0" applyNumberFormat="1" applyFont="1" applyFill="1" applyBorder="1" applyAlignment="1">
      <alignment vertical="center" wrapText="1"/>
    </xf>
    <xf numFmtId="10" fontId="16" fillId="9" borderId="39" xfId="3" applyNumberFormat="1" applyFont="1" applyFill="1" applyBorder="1" applyAlignment="1">
      <alignment horizontal="center" vertical="center"/>
    </xf>
    <xf numFmtId="169" fontId="16" fillId="9" borderId="26" xfId="2" applyNumberFormat="1" applyFont="1" applyFill="1" applyBorder="1" applyAlignment="1">
      <alignment vertical="center"/>
    </xf>
    <xf numFmtId="169" fontId="16" fillId="9" borderId="26" xfId="0" applyNumberFormat="1" applyFont="1" applyFill="1" applyBorder="1" applyAlignment="1">
      <alignment vertical="center" wrapText="1"/>
    </xf>
    <xf numFmtId="169" fontId="15" fillId="9" borderId="27" xfId="0" applyNumberFormat="1" applyFont="1" applyFill="1" applyBorder="1" applyAlignment="1">
      <alignment vertical="center"/>
    </xf>
    <xf numFmtId="0" fontId="16" fillId="9" borderId="19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7" fillId="9" borderId="20" xfId="4" applyFont="1" applyFill="1" applyBorder="1" applyAlignment="1">
      <alignment horizontal="left" vertical="center" wrapText="1"/>
    </xf>
    <xf numFmtId="168" fontId="16" fillId="9" borderId="20" xfId="1" applyNumberFormat="1" applyFont="1" applyFill="1" applyBorder="1" applyAlignment="1">
      <alignment vertical="center" wrapText="1"/>
    </xf>
    <xf numFmtId="169" fontId="16" fillId="9" borderId="20" xfId="0" applyNumberFormat="1" applyFont="1" applyFill="1" applyBorder="1" applyAlignment="1">
      <alignment vertical="center" wrapText="1"/>
    </xf>
    <xf numFmtId="169" fontId="16" fillId="9" borderId="45" xfId="0" applyNumberFormat="1" applyFont="1" applyFill="1" applyBorder="1" applyAlignment="1">
      <alignment vertical="center" wrapText="1"/>
    </xf>
    <xf numFmtId="169" fontId="16" fillId="9" borderId="20" xfId="2" applyNumberFormat="1" applyFont="1" applyFill="1" applyBorder="1" applyAlignment="1">
      <alignment vertical="center"/>
    </xf>
    <xf numFmtId="169" fontId="15" fillId="9" borderId="73" xfId="0" applyNumberFormat="1" applyFont="1" applyFill="1" applyBorder="1" applyAlignment="1">
      <alignment vertical="center"/>
    </xf>
    <xf numFmtId="0" fontId="16" fillId="2" borderId="75" xfId="0" applyFont="1" applyFill="1" applyBorder="1" applyAlignment="1">
      <alignment horizontal="center" vertical="center"/>
    </xf>
    <xf numFmtId="0" fontId="16" fillId="2" borderId="76" xfId="0" applyFont="1" applyFill="1" applyBorder="1" applyAlignment="1">
      <alignment horizontal="center" vertical="center"/>
    </xf>
    <xf numFmtId="0" fontId="17" fillId="2" borderId="76" xfId="4" applyFont="1" applyFill="1" applyBorder="1" applyAlignment="1">
      <alignment horizontal="left" vertical="center" wrapText="1"/>
    </xf>
    <xf numFmtId="168" fontId="16" fillId="2" borderId="76" xfId="1" applyNumberFormat="1" applyFont="1" applyFill="1" applyBorder="1" applyAlignment="1">
      <alignment vertical="center" wrapText="1"/>
    </xf>
    <xf numFmtId="169" fontId="16" fillId="2" borderId="77" xfId="0" applyNumberFormat="1" applyFont="1" applyFill="1" applyBorder="1" applyAlignment="1">
      <alignment vertical="center" wrapText="1"/>
    </xf>
    <xf numFmtId="169" fontId="16" fillId="2" borderId="60" xfId="0" applyNumberFormat="1" applyFont="1" applyFill="1" applyBorder="1" applyAlignment="1">
      <alignment vertical="center" wrapText="1"/>
    </xf>
    <xf numFmtId="0" fontId="16" fillId="2" borderId="25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17" fillId="2" borderId="26" xfId="4" applyFont="1" applyFill="1" applyBorder="1" applyAlignment="1">
      <alignment horizontal="left" vertical="center" wrapText="1"/>
    </xf>
    <xf numFmtId="169" fontId="16" fillId="2" borderId="43" xfId="0" applyNumberFormat="1" applyFont="1" applyFill="1" applyBorder="1" applyAlignment="1">
      <alignment vertical="center" wrapText="1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7" fillId="2" borderId="17" xfId="4" applyFont="1" applyFill="1" applyBorder="1" applyAlignment="1">
      <alignment horizontal="left" vertical="center" wrapText="1"/>
    </xf>
    <xf numFmtId="169" fontId="16" fillId="2" borderId="17" xfId="0" applyNumberFormat="1" applyFont="1" applyFill="1" applyBorder="1" applyAlignment="1">
      <alignment vertical="center" wrapText="1"/>
    </xf>
    <xf numFmtId="169" fontId="16" fillId="2" borderId="44" xfId="0" applyNumberFormat="1" applyFont="1" applyFill="1" applyBorder="1" applyAlignment="1">
      <alignment vertical="center" wrapText="1"/>
    </xf>
    <xf numFmtId="168" fontId="16" fillId="2" borderId="17" xfId="1" applyNumberFormat="1" applyFont="1" applyFill="1" applyBorder="1" applyAlignment="1">
      <alignment vertical="center" wrapText="1"/>
    </xf>
    <xf numFmtId="169" fontId="16" fillId="2" borderId="67" xfId="0" applyNumberFormat="1" applyFont="1" applyFill="1" applyBorder="1" applyAlignment="1">
      <alignment vertical="center" wrapText="1"/>
    </xf>
    <xf numFmtId="0" fontId="16" fillId="2" borderId="61" xfId="0" applyFont="1" applyFill="1" applyBorder="1" applyAlignment="1">
      <alignment horizontal="center" vertical="center"/>
    </xf>
    <xf numFmtId="0" fontId="16" fillId="2" borderId="62" xfId="0" applyFont="1" applyFill="1" applyBorder="1" applyAlignment="1">
      <alignment horizontal="center" vertical="center"/>
    </xf>
    <xf numFmtId="0" fontId="17" fillId="2" borderId="62" xfId="4" applyFont="1" applyFill="1" applyBorder="1" applyAlignment="1">
      <alignment horizontal="left" vertical="center" wrapText="1"/>
    </xf>
    <xf numFmtId="168" fontId="16" fillId="2" borderId="62" xfId="1" applyNumberFormat="1" applyFont="1" applyFill="1" applyBorder="1" applyAlignment="1">
      <alignment vertical="center" wrapText="1"/>
    </xf>
    <xf numFmtId="169" fontId="16" fillId="2" borderId="62" xfId="0" applyNumberFormat="1" applyFont="1" applyFill="1" applyBorder="1" applyAlignment="1">
      <alignment vertical="center" wrapText="1"/>
    </xf>
    <xf numFmtId="169" fontId="16" fillId="2" borderId="74" xfId="0" applyNumberFormat="1" applyFont="1" applyFill="1" applyBorder="1" applyAlignment="1">
      <alignment vertical="center" wrapText="1"/>
    </xf>
    <xf numFmtId="169" fontId="16" fillId="2" borderId="63" xfId="0" applyNumberFormat="1" applyFont="1" applyFill="1" applyBorder="1" applyAlignment="1">
      <alignment vertical="center" wrapText="1"/>
    </xf>
    <xf numFmtId="0" fontId="16" fillId="2" borderId="19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7" fillId="2" borderId="20" xfId="4" applyFont="1" applyFill="1" applyBorder="1" applyAlignment="1">
      <alignment horizontal="left" vertical="center" wrapText="1"/>
    </xf>
    <xf numFmtId="168" fontId="16" fillId="2" borderId="20" xfId="1" applyNumberFormat="1" applyFont="1" applyFill="1" applyBorder="1" applyAlignment="1">
      <alignment vertical="center" wrapText="1"/>
    </xf>
    <xf numFmtId="169" fontId="16" fillId="2" borderId="20" xfId="0" applyNumberFormat="1" applyFont="1" applyFill="1" applyBorder="1" applyAlignment="1">
      <alignment vertical="center" wrapText="1"/>
    </xf>
    <xf numFmtId="169" fontId="16" fillId="2" borderId="68" xfId="0" applyNumberFormat="1" applyFont="1" applyFill="1" applyBorder="1" applyAlignment="1">
      <alignment vertical="center" wrapText="1"/>
    </xf>
    <xf numFmtId="169" fontId="16" fillId="2" borderId="45" xfId="0" applyNumberFormat="1" applyFont="1" applyFill="1" applyBorder="1" applyAlignment="1">
      <alignment vertical="center" wrapText="1"/>
    </xf>
    <xf numFmtId="0" fontId="13" fillId="8" borderId="80" xfId="0" applyFont="1" applyFill="1" applyBorder="1" applyAlignment="1">
      <alignment horizontal="center" vertical="center"/>
    </xf>
    <xf numFmtId="0" fontId="18" fillId="8" borderId="62" xfId="0" applyFont="1" applyFill="1" applyBorder="1" applyAlignment="1">
      <alignment vertical="center"/>
    </xf>
    <xf numFmtId="168" fontId="16" fillId="8" borderId="81" xfId="1" applyNumberFormat="1" applyFont="1" applyFill="1" applyBorder="1" applyAlignment="1">
      <alignment vertical="center" wrapText="1"/>
    </xf>
    <xf numFmtId="168" fontId="16" fillId="8" borderId="74" xfId="1" applyNumberFormat="1" applyFont="1" applyFill="1" applyBorder="1" applyAlignment="1">
      <alignment vertical="center" wrapText="1"/>
    </xf>
    <xf numFmtId="168" fontId="16" fillId="8" borderId="63" xfId="1" applyNumberFormat="1" applyFont="1" applyFill="1" applyBorder="1" applyAlignment="1">
      <alignment vertical="center" wrapText="1"/>
    </xf>
    <xf numFmtId="10" fontId="16" fillId="10" borderId="82" xfId="3" applyNumberFormat="1" applyFont="1" applyFill="1" applyBorder="1" applyAlignment="1">
      <alignment horizontal="center" vertical="center"/>
    </xf>
    <xf numFmtId="168" fontId="16" fillId="10" borderId="62" xfId="1" applyNumberFormat="1" applyFont="1" applyFill="1" applyBorder="1" applyAlignment="1">
      <alignment vertical="center" wrapText="1"/>
    </xf>
    <xf numFmtId="168" fontId="15" fillId="10" borderId="84" xfId="1" applyNumberFormat="1" applyFont="1" applyFill="1" applyBorder="1" applyAlignment="1">
      <alignment vertical="center"/>
    </xf>
    <xf numFmtId="0" fontId="13" fillId="8" borderId="85" xfId="0" applyFont="1" applyFill="1" applyBorder="1" applyAlignment="1">
      <alignment horizontal="center" vertical="center"/>
    </xf>
    <xf numFmtId="0" fontId="18" fillId="8" borderId="83" xfId="0" applyFont="1" applyFill="1" applyBorder="1" applyAlignment="1">
      <alignment vertical="center"/>
    </xf>
    <xf numFmtId="168" fontId="16" fillId="8" borderId="86" xfId="1" applyNumberFormat="1" applyFont="1" applyFill="1" applyBorder="1" applyAlignment="1">
      <alignment vertical="center" wrapText="1"/>
    </xf>
    <xf numFmtId="168" fontId="16" fillId="8" borderId="83" xfId="1" applyNumberFormat="1" applyFont="1" applyFill="1" applyBorder="1" applyAlignment="1">
      <alignment vertical="center" wrapText="1"/>
    </xf>
    <xf numFmtId="168" fontId="16" fillId="8" borderId="87" xfId="1" applyNumberFormat="1" applyFont="1" applyFill="1" applyBorder="1" applyAlignment="1">
      <alignment vertical="center" wrapText="1"/>
    </xf>
    <xf numFmtId="168" fontId="16" fillId="8" borderId="88" xfId="1" applyNumberFormat="1" applyFont="1" applyFill="1" applyBorder="1" applyAlignment="1">
      <alignment vertical="center" wrapText="1"/>
    </xf>
    <xf numFmtId="10" fontId="16" fillId="10" borderId="89" xfId="3" applyNumberFormat="1" applyFont="1" applyFill="1" applyBorder="1" applyAlignment="1">
      <alignment horizontal="center" vertical="center"/>
    </xf>
    <xf numFmtId="168" fontId="16" fillId="10" borderId="83" xfId="1" applyNumberFormat="1" applyFont="1" applyFill="1" applyBorder="1" applyAlignment="1">
      <alignment vertical="center" wrapText="1"/>
    </xf>
    <xf numFmtId="168" fontId="15" fillId="10" borderId="90" xfId="1" applyNumberFormat="1" applyFont="1" applyFill="1" applyBorder="1" applyAlignment="1">
      <alignment vertical="center"/>
    </xf>
    <xf numFmtId="168" fontId="16" fillId="10" borderId="17" xfId="1" applyNumberFormat="1" applyFont="1" applyFill="1" applyBorder="1" applyAlignment="1">
      <alignment vertical="center"/>
    </xf>
    <xf numFmtId="168" fontId="16" fillId="10" borderId="20" xfId="1" applyNumberFormat="1" applyFont="1" applyFill="1" applyBorder="1" applyAlignment="1">
      <alignment vertical="center"/>
    </xf>
    <xf numFmtId="0" fontId="13" fillId="11" borderId="85" xfId="0" applyFont="1" applyFill="1" applyBorder="1" applyAlignment="1">
      <alignment horizontal="center" vertical="center"/>
    </xf>
    <xf numFmtId="0" fontId="18" fillId="11" borderId="83" xfId="0" applyFont="1" applyFill="1" applyBorder="1" applyAlignment="1">
      <alignment vertical="center"/>
    </xf>
    <xf numFmtId="168" fontId="16" fillId="11" borderId="86" xfId="1" applyNumberFormat="1" applyFont="1" applyFill="1" applyBorder="1" applyAlignment="1">
      <alignment vertical="center" wrapText="1"/>
    </xf>
    <xf numFmtId="168" fontId="16" fillId="11" borderId="83" xfId="1" applyNumberFormat="1" applyFont="1" applyFill="1" applyBorder="1" applyAlignment="1">
      <alignment vertical="center" wrapText="1"/>
    </xf>
    <xf numFmtId="168" fontId="16" fillId="11" borderId="87" xfId="1" applyNumberFormat="1" applyFont="1" applyFill="1" applyBorder="1" applyAlignment="1">
      <alignment vertical="center" wrapText="1"/>
    </xf>
    <xf numFmtId="168" fontId="16" fillId="11" borderId="88" xfId="1" applyNumberFormat="1" applyFont="1" applyFill="1" applyBorder="1" applyAlignment="1">
      <alignment vertical="center" wrapText="1"/>
    </xf>
    <xf numFmtId="10" fontId="16" fillId="11" borderId="89" xfId="3" applyNumberFormat="1" applyFont="1" applyFill="1" applyBorder="1" applyAlignment="1">
      <alignment horizontal="center" vertical="center"/>
    </xf>
    <xf numFmtId="168" fontId="16" fillId="11" borderId="17" xfId="1" applyNumberFormat="1" applyFont="1" applyFill="1" applyBorder="1" applyAlignment="1">
      <alignment vertical="center"/>
    </xf>
    <xf numFmtId="168" fontId="15" fillId="11" borderId="90" xfId="1" applyNumberFormat="1" applyFont="1" applyFill="1" applyBorder="1" applyAlignment="1">
      <alignment vertical="center"/>
    </xf>
    <xf numFmtId="0" fontId="13" fillId="11" borderId="80" xfId="0" applyFont="1" applyFill="1" applyBorder="1" applyAlignment="1">
      <alignment horizontal="center" vertical="center"/>
    </xf>
    <xf numFmtId="0" fontId="18" fillId="11" borderId="62" xfId="0" applyFont="1" applyFill="1" applyBorder="1" applyAlignment="1">
      <alignment vertical="center"/>
    </xf>
    <xf numFmtId="168" fontId="16" fillId="11" borderId="81" xfId="1" applyNumberFormat="1" applyFont="1" applyFill="1" applyBorder="1" applyAlignment="1">
      <alignment vertical="center" wrapText="1"/>
    </xf>
    <xf numFmtId="168" fontId="16" fillId="11" borderId="62" xfId="1" applyNumberFormat="1" applyFont="1" applyFill="1" applyBorder="1" applyAlignment="1">
      <alignment vertical="center" wrapText="1"/>
    </xf>
    <xf numFmtId="168" fontId="16" fillId="11" borderId="74" xfId="1" applyNumberFormat="1" applyFont="1" applyFill="1" applyBorder="1" applyAlignment="1">
      <alignment vertical="center" wrapText="1"/>
    </xf>
    <xf numFmtId="168" fontId="16" fillId="11" borderId="63" xfId="1" applyNumberFormat="1" applyFont="1" applyFill="1" applyBorder="1" applyAlignment="1">
      <alignment vertical="center" wrapText="1"/>
    </xf>
    <xf numFmtId="10" fontId="16" fillId="11" borderId="82" xfId="3" applyNumberFormat="1" applyFont="1" applyFill="1" applyBorder="1" applyAlignment="1">
      <alignment horizontal="center" vertical="center"/>
    </xf>
    <xf numFmtId="168" fontId="15" fillId="11" borderId="84" xfId="1" applyNumberFormat="1" applyFont="1" applyFill="1" applyBorder="1" applyAlignment="1">
      <alignment vertical="center"/>
    </xf>
    <xf numFmtId="0" fontId="13" fillId="11" borderId="59" xfId="0" applyFont="1" applyFill="1" applyBorder="1" applyAlignment="1">
      <alignment horizontal="center" vertical="center"/>
    </xf>
    <xf numFmtId="0" fontId="18" fillId="11" borderId="20" xfId="0" applyFont="1" applyFill="1" applyBorder="1" applyAlignment="1">
      <alignment vertical="center"/>
    </xf>
    <xf numFmtId="168" fontId="16" fillId="11" borderId="40" xfId="1" applyNumberFormat="1" applyFont="1" applyFill="1" applyBorder="1" applyAlignment="1">
      <alignment vertical="center" wrapText="1"/>
    </xf>
    <xf numFmtId="168" fontId="16" fillId="11" borderId="20" xfId="1" applyNumberFormat="1" applyFont="1" applyFill="1" applyBorder="1" applyAlignment="1">
      <alignment vertical="center" wrapText="1"/>
    </xf>
    <xf numFmtId="168" fontId="16" fillId="11" borderId="68" xfId="1" applyNumberFormat="1" applyFont="1" applyFill="1" applyBorder="1" applyAlignment="1">
      <alignment vertical="center" wrapText="1"/>
    </xf>
    <xf numFmtId="168" fontId="16" fillId="11" borderId="45" xfId="1" applyNumberFormat="1" applyFont="1" applyFill="1" applyBorder="1" applyAlignment="1">
      <alignment vertical="center" wrapText="1"/>
    </xf>
    <xf numFmtId="10" fontId="16" fillId="11" borderId="47" xfId="3" applyNumberFormat="1" applyFont="1" applyFill="1" applyBorder="1" applyAlignment="1">
      <alignment horizontal="center" vertical="center"/>
    </xf>
    <xf numFmtId="168" fontId="16" fillId="11" borderId="20" xfId="1" applyNumberFormat="1" applyFont="1" applyFill="1" applyBorder="1" applyAlignment="1">
      <alignment vertical="center"/>
    </xf>
    <xf numFmtId="168" fontId="15" fillId="11" borderId="21" xfId="1" applyNumberFormat="1" applyFont="1" applyFill="1" applyBorder="1" applyAlignment="1">
      <alignment vertical="center"/>
    </xf>
    <xf numFmtId="0" fontId="12" fillId="8" borderId="0" xfId="0" applyFont="1" applyFill="1" applyBorder="1" applyAlignment="1">
      <alignment horizontal="center" vertical="center" wrapText="1"/>
    </xf>
    <xf numFmtId="167" fontId="15" fillId="8" borderId="35" xfId="2" applyNumberFormat="1" applyFont="1" applyFill="1" applyBorder="1" applyAlignment="1">
      <alignment horizontal="center" vertical="center" wrapText="1"/>
    </xf>
    <xf numFmtId="167" fontId="15" fillId="8" borderId="65" xfId="2" applyNumberFormat="1" applyFont="1" applyFill="1" applyBorder="1" applyAlignment="1">
      <alignment horizontal="center" vertical="center" wrapText="1"/>
    </xf>
    <xf numFmtId="168" fontId="16" fillId="8" borderId="0" xfId="0" applyNumberFormat="1" applyFont="1" applyFill="1"/>
    <xf numFmtId="0" fontId="19" fillId="0" borderId="0" xfId="7"/>
    <xf numFmtId="168" fontId="16" fillId="9" borderId="17" xfId="1" applyNumberFormat="1" applyFont="1" applyFill="1" applyBorder="1" applyAlignment="1">
      <alignment vertical="center"/>
    </xf>
    <xf numFmtId="168" fontId="16" fillId="9" borderId="17" xfId="1" applyNumberFormat="1" applyFont="1" applyFill="1" applyBorder="1" applyAlignment="1">
      <alignment vertical="center" wrapText="1"/>
    </xf>
    <xf numFmtId="168" fontId="16" fillId="11" borderId="17" xfId="1" applyNumberFormat="1" applyFont="1" applyFill="1" applyBorder="1" applyAlignment="1">
      <alignment vertical="center" wrapText="1"/>
    </xf>
    <xf numFmtId="168" fontId="15" fillId="11" borderId="18" xfId="1" applyNumberFormat="1" applyFont="1" applyFill="1" applyBorder="1" applyAlignment="1">
      <alignment vertical="center"/>
    </xf>
    <xf numFmtId="169" fontId="13" fillId="8" borderId="0" xfId="0" applyNumberFormat="1" applyFont="1" applyFill="1"/>
    <xf numFmtId="0" fontId="16" fillId="9" borderId="31" xfId="0" applyFont="1" applyFill="1" applyBorder="1" applyAlignment="1">
      <alignment horizontal="center" vertical="center"/>
    </xf>
    <xf numFmtId="0" fontId="17" fillId="9" borderId="31" xfId="4" applyFont="1" applyFill="1" applyBorder="1" applyAlignment="1">
      <alignment horizontal="left" vertical="center" wrapText="1"/>
    </xf>
    <xf numFmtId="168" fontId="16" fillId="9" borderId="31" xfId="1" applyNumberFormat="1" applyFont="1" applyFill="1" applyBorder="1" applyAlignment="1">
      <alignment vertical="center" wrapText="1"/>
    </xf>
    <xf numFmtId="169" fontId="16" fillId="9" borderId="31" xfId="0" applyNumberFormat="1" applyFont="1" applyFill="1" applyBorder="1" applyAlignment="1">
      <alignment vertical="center" wrapText="1"/>
    </xf>
    <xf numFmtId="169" fontId="16" fillId="9" borderId="42" xfId="0" applyNumberFormat="1" applyFont="1" applyFill="1" applyBorder="1" applyAlignment="1">
      <alignment vertical="center" wrapText="1"/>
    </xf>
    <xf numFmtId="10" fontId="16" fillId="9" borderId="92" xfId="3" applyNumberFormat="1" applyFont="1" applyFill="1" applyBorder="1" applyAlignment="1">
      <alignment horizontal="center" vertical="center"/>
    </xf>
    <xf numFmtId="169" fontId="16" fillId="9" borderId="31" xfId="2" applyNumberFormat="1" applyFont="1" applyFill="1" applyBorder="1" applyAlignment="1">
      <alignment vertical="center"/>
    </xf>
    <xf numFmtId="169" fontId="15" fillId="9" borderId="91" xfId="0" applyNumberFormat="1" applyFont="1" applyFill="1" applyBorder="1" applyAlignment="1">
      <alignment vertical="center"/>
    </xf>
    <xf numFmtId="0" fontId="16" fillId="9" borderId="30" xfId="0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/>
    </xf>
    <xf numFmtId="0" fontId="16" fillId="8" borderId="29" xfId="0" applyFont="1" applyFill="1" applyBorder="1" applyAlignment="1">
      <alignment horizontal="center" vertical="center" wrapText="1"/>
    </xf>
    <xf numFmtId="0" fontId="16" fillId="8" borderId="29" xfId="0" applyFont="1" applyFill="1" applyBorder="1" applyAlignment="1">
      <alignment horizontal="left" vertical="center" wrapText="1"/>
    </xf>
    <xf numFmtId="168" fontId="16" fillId="8" borderId="29" xfId="1" applyNumberFormat="1" applyFont="1" applyFill="1" applyBorder="1" applyAlignment="1">
      <alignment vertical="center" wrapText="1"/>
    </xf>
    <xf numFmtId="10" fontId="16" fillId="9" borderId="29" xfId="3" applyNumberFormat="1" applyFont="1" applyFill="1" applyBorder="1" applyAlignment="1">
      <alignment horizontal="center" vertical="center"/>
    </xf>
    <xf numFmtId="168" fontId="16" fillId="9" borderId="29" xfId="1" applyNumberFormat="1" applyFont="1" applyFill="1" applyBorder="1" applyAlignment="1">
      <alignment vertical="center"/>
    </xf>
    <xf numFmtId="168" fontId="16" fillId="9" borderId="29" xfId="1" applyNumberFormat="1" applyFont="1" applyFill="1" applyBorder="1" applyAlignment="1">
      <alignment vertical="center" wrapText="1"/>
    </xf>
    <xf numFmtId="168" fontId="15" fillId="9" borderId="93" xfId="1" applyNumberFormat="1" applyFont="1" applyFill="1" applyBorder="1" applyAlignment="1">
      <alignment vertical="center"/>
    </xf>
    <xf numFmtId="10" fontId="16" fillId="9" borderId="17" xfId="3" applyNumberFormat="1" applyFont="1" applyFill="1" applyBorder="1" applyAlignment="1">
      <alignment horizontal="center" vertical="center"/>
    </xf>
    <xf numFmtId="0" fontId="16" fillId="8" borderId="19" xfId="0" applyFont="1" applyFill="1" applyBorder="1" applyAlignment="1">
      <alignment horizontal="center" vertical="center"/>
    </xf>
    <xf numFmtId="10" fontId="16" fillId="9" borderId="20" xfId="3" applyNumberFormat="1" applyFont="1" applyFill="1" applyBorder="1" applyAlignment="1">
      <alignment horizontal="center" vertical="center"/>
    </xf>
    <xf numFmtId="168" fontId="16" fillId="9" borderId="20" xfId="1" applyNumberFormat="1" applyFont="1" applyFill="1" applyBorder="1" applyAlignment="1">
      <alignment vertical="center"/>
    </xf>
    <xf numFmtId="0" fontId="12" fillId="8" borderId="0" xfId="0" applyFont="1" applyFill="1" applyBorder="1" applyAlignment="1">
      <alignment horizontal="center" vertical="center" wrapText="1"/>
    </xf>
    <xf numFmtId="0" fontId="20" fillId="8" borderId="0" xfId="0" applyFont="1" applyFill="1"/>
    <xf numFmtId="0" fontId="17" fillId="0" borderId="0" xfId="4" applyFont="1" applyFill="1" applyBorder="1" applyAlignment="1">
      <alignment horizontal="left" vertical="center" wrapText="1"/>
    </xf>
    <xf numFmtId="0" fontId="16" fillId="2" borderId="28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left" vertical="center" wrapText="1"/>
    </xf>
    <xf numFmtId="168" fontId="16" fillId="2" borderId="29" xfId="1" applyNumberFormat="1" applyFont="1" applyFill="1" applyBorder="1" applyAlignment="1">
      <alignment vertical="center" wrapText="1"/>
    </xf>
    <xf numFmtId="10" fontId="16" fillId="2" borderId="29" xfId="3" applyNumberFormat="1" applyFont="1" applyFill="1" applyBorder="1" applyAlignment="1">
      <alignment horizontal="center" vertical="center"/>
    </xf>
    <xf numFmtId="168" fontId="16" fillId="2" borderId="29" xfId="1" applyNumberFormat="1" applyFont="1" applyFill="1" applyBorder="1" applyAlignment="1">
      <alignment vertical="center"/>
    </xf>
    <xf numFmtId="168" fontId="15" fillId="2" borderId="93" xfId="1" applyNumberFormat="1" applyFont="1" applyFill="1" applyBorder="1" applyAlignment="1">
      <alignment vertical="center"/>
    </xf>
    <xf numFmtId="10" fontId="16" fillId="2" borderId="17" xfId="3" applyNumberFormat="1" applyFont="1" applyFill="1" applyBorder="1" applyAlignment="1">
      <alignment horizontal="center" vertical="center"/>
    </xf>
    <xf numFmtId="168" fontId="16" fillId="2" borderId="17" xfId="1" applyNumberFormat="1" applyFont="1" applyFill="1" applyBorder="1" applyAlignment="1">
      <alignment vertical="center"/>
    </xf>
    <xf numFmtId="168" fontId="15" fillId="2" borderId="18" xfId="1" applyNumberFormat="1" applyFont="1" applyFill="1" applyBorder="1" applyAlignment="1">
      <alignment vertical="center"/>
    </xf>
    <xf numFmtId="165" fontId="15" fillId="5" borderId="37" xfId="3" applyNumberFormat="1" applyFont="1" applyFill="1" applyBorder="1" applyAlignment="1">
      <alignment horizontal="center" vertical="center" wrapText="1"/>
    </xf>
    <xf numFmtId="167" fontId="15" fillId="5" borderId="33" xfId="2" applyNumberFormat="1" applyFont="1" applyFill="1" applyBorder="1" applyAlignment="1">
      <alignment horizontal="center" vertical="center" wrapText="1"/>
    </xf>
    <xf numFmtId="167" fontId="15" fillId="5" borderId="34" xfId="2" applyNumberFormat="1" applyFont="1" applyFill="1" applyBorder="1" applyAlignment="1">
      <alignment horizontal="center" vertical="center" wrapText="1"/>
    </xf>
    <xf numFmtId="165" fontId="15" fillId="5" borderId="71" xfId="3" applyNumberFormat="1" applyFont="1" applyFill="1" applyBorder="1" applyAlignment="1">
      <alignment horizontal="center" vertical="center" wrapText="1"/>
    </xf>
    <xf numFmtId="0" fontId="14" fillId="5" borderId="53" xfId="0" applyFont="1" applyFill="1" applyBorder="1" applyAlignment="1">
      <alignment horizontal="center" vertical="center"/>
    </xf>
    <xf numFmtId="0" fontId="14" fillId="5" borderId="35" xfId="0" applyFont="1" applyFill="1" applyBorder="1" applyAlignment="1">
      <alignment horizontal="center" vertical="center" wrapText="1"/>
    </xf>
    <xf numFmtId="167" fontId="15" fillId="5" borderId="35" xfId="2" applyNumberFormat="1" applyFont="1" applyFill="1" applyBorder="1" applyAlignment="1">
      <alignment horizontal="center" vertical="center" wrapText="1"/>
    </xf>
    <xf numFmtId="167" fontId="15" fillId="5" borderId="65" xfId="2" applyNumberFormat="1" applyFont="1" applyFill="1" applyBorder="1" applyAlignment="1">
      <alignment horizontal="center" vertical="center" wrapText="1"/>
    </xf>
    <xf numFmtId="167" fontId="15" fillId="5" borderId="54" xfId="2" applyNumberFormat="1" applyFont="1" applyFill="1" applyBorder="1" applyAlignment="1">
      <alignment horizontal="center" vertical="center" wrapText="1"/>
    </xf>
    <xf numFmtId="165" fontId="15" fillId="5" borderId="55" xfId="3" applyNumberFormat="1" applyFont="1" applyFill="1" applyBorder="1" applyAlignment="1">
      <alignment horizontal="center" vertical="center" wrapText="1"/>
    </xf>
    <xf numFmtId="167" fontId="15" fillId="5" borderId="32" xfId="2" applyNumberFormat="1" applyFont="1" applyFill="1" applyBorder="1" applyAlignment="1">
      <alignment horizontal="center" vertical="center" wrapText="1"/>
    </xf>
    <xf numFmtId="0" fontId="13" fillId="10" borderId="57" xfId="0" applyFont="1" applyFill="1" applyBorder="1" applyAlignment="1">
      <alignment horizontal="center" vertical="center"/>
    </xf>
    <xf numFmtId="0" fontId="16" fillId="10" borderId="29" xfId="0" applyFont="1" applyFill="1" applyBorder="1" applyAlignment="1">
      <alignment vertical="center" wrapText="1"/>
    </xf>
    <xf numFmtId="168" fontId="16" fillId="10" borderId="38" xfId="1" applyNumberFormat="1" applyFont="1" applyFill="1" applyBorder="1" applyAlignment="1">
      <alignment vertical="center" wrapText="1"/>
    </xf>
    <xf numFmtId="168" fontId="16" fillId="10" borderId="26" xfId="1" applyNumberFormat="1" applyFont="1" applyFill="1" applyBorder="1" applyAlignment="1">
      <alignment vertical="center" wrapText="1"/>
    </xf>
    <xf numFmtId="168" fontId="16" fillId="10" borderId="69" xfId="1" applyNumberFormat="1" applyFont="1" applyFill="1" applyBorder="1" applyAlignment="1">
      <alignment vertical="center" wrapText="1"/>
    </xf>
    <xf numFmtId="168" fontId="16" fillId="10" borderId="43" xfId="1" applyNumberFormat="1" applyFont="1" applyFill="1" applyBorder="1" applyAlignment="1">
      <alignment vertical="center" wrapText="1"/>
    </xf>
    <xf numFmtId="0" fontId="13" fillId="10" borderId="58" xfId="0" applyFont="1" applyFill="1" applyBorder="1" applyAlignment="1">
      <alignment horizontal="center" vertical="center"/>
    </xf>
    <xf numFmtId="0" fontId="18" fillId="10" borderId="17" xfId="0" applyFont="1" applyFill="1" applyBorder="1" applyAlignment="1">
      <alignment vertical="center" wrapText="1"/>
    </xf>
    <xf numFmtId="168" fontId="16" fillId="10" borderId="39" xfId="1" applyNumberFormat="1" applyFont="1" applyFill="1" applyBorder="1" applyAlignment="1">
      <alignment vertical="center" wrapText="1"/>
    </xf>
    <xf numFmtId="168" fontId="16" fillId="10" borderId="67" xfId="1" applyNumberFormat="1" applyFont="1" applyFill="1" applyBorder="1" applyAlignment="1">
      <alignment vertical="center" wrapText="1"/>
    </xf>
    <xf numFmtId="168" fontId="16" fillId="10" borderId="44" xfId="1" applyNumberFormat="1" applyFont="1" applyFill="1" applyBorder="1" applyAlignment="1">
      <alignment vertical="center" wrapText="1"/>
    </xf>
    <xf numFmtId="0" fontId="18" fillId="10" borderId="17" xfId="0" applyFont="1" applyFill="1" applyBorder="1" applyAlignment="1">
      <alignment vertical="center"/>
    </xf>
    <xf numFmtId="0" fontId="16" fillId="10" borderId="17" xfId="0" applyFont="1" applyFill="1" applyBorder="1" applyAlignment="1">
      <alignment vertical="center" wrapText="1"/>
    </xf>
    <xf numFmtId="165" fontId="15" fillId="5" borderId="89" xfId="3" applyNumberFormat="1" applyFont="1" applyFill="1" applyBorder="1" applyAlignment="1">
      <alignment horizontal="center" vertical="center" wrapText="1"/>
    </xf>
    <xf numFmtId="167" fontId="15" fillId="5" borderId="83" xfId="2" applyNumberFormat="1" applyFont="1" applyFill="1" applyBorder="1" applyAlignment="1">
      <alignment horizontal="center" vertical="center" wrapText="1"/>
    </xf>
    <xf numFmtId="167" fontId="15" fillId="5" borderId="90" xfId="2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168" fontId="16" fillId="0" borderId="0" xfId="1" applyNumberFormat="1" applyFont="1" applyFill="1" applyBorder="1" applyAlignment="1">
      <alignment vertical="center" wrapText="1"/>
    </xf>
    <xf numFmtId="10" fontId="16" fillId="0" borderId="0" xfId="3" applyNumberFormat="1" applyFont="1" applyFill="1" applyBorder="1" applyAlignment="1">
      <alignment horizontal="center" vertical="center"/>
    </xf>
    <xf numFmtId="168" fontId="16" fillId="0" borderId="0" xfId="1" applyNumberFormat="1" applyFont="1" applyFill="1" applyBorder="1" applyAlignment="1">
      <alignment vertical="center"/>
    </xf>
    <xf numFmtId="168" fontId="15" fillId="0" borderId="0" xfId="1" applyNumberFormat="1" applyFont="1" applyFill="1" applyBorder="1" applyAlignment="1">
      <alignment vertical="center"/>
    </xf>
    <xf numFmtId="169" fontId="13" fillId="0" borderId="0" xfId="0" applyNumberFormat="1" applyFont="1" applyFill="1"/>
    <xf numFmtId="0" fontId="16" fillId="0" borderId="0" xfId="0" applyFont="1" applyFill="1"/>
    <xf numFmtId="0" fontId="16" fillId="12" borderId="28" xfId="0" applyFont="1" applyFill="1" applyBorder="1" applyAlignment="1">
      <alignment horizontal="center" vertical="center"/>
    </xf>
    <xf numFmtId="0" fontId="16" fillId="12" borderId="29" xfId="0" applyFont="1" applyFill="1" applyBorder="1" applyAlignment="1">
      <alignment horizontal="center" vertical="center" wrapText="1"/>
    </xf>
    <xf numFmtId="0" fontId="16" fillId="12" borderId="29" xfId="0" applyFont="1" applyFill="1" applyBorder="1" applyAlignment="1">
      <alignment horizontal="left" vertical="center" wrapText="1"/>
    </xf>
    <xf numFmtId="168" fontId="16" fillId="12" borderId="29" xfId="1" applyNumberFormat="1" applyFont="1" applyFill="1" applyBorder="1" applyAlignment="1">
      <alignment vertical="center" wrapText="1"/>
    </xf>
    <xf numFmtId="10" fontId="16" fillId="12" borderId="29" xfId="3" applyNumberFormat="1" applyFont="1" applyFill="1" applyBorder="1" applyAlignment="1">
      <alignment horizontal="center" vertical="center"/>
    </xf>
    <xf numFmtId="168" fontId="16" fillId="12" borderId="29" xfId="1" applyNumberFormat="1" applyFont="1" applyFill="1" applyBorder="1" applyAlignment="1">
      <alignment vertical="center"/>
    </xf>
    <xf numFmtId="168" fontId="15" fillId="12" borderId="93" xfId="1" applyNumberFormat="1" applyFont="1" applyFill="1" applyBorder="1" applyAlignment="1">
      <alignment vertical="center"/>
    </xf>
    <xf numFmtId="0" fontId="16" fillId="12" borderId="16" xfId="0" applyFont="1" applyFill="1" applyBorder="1" applyAlignment="1">
      <alignment horizontal="center" vertical="center"/>
    </xf>
    <xf numFmtId="0" fontId="16" fillId="12" borderId="17" xfId="0" applyFont="1" applyFill="1" applyBorder="1" applyAlignment="1">
      <alignment horizontal="center" vertical="center"/>
    </xf>
    <xf numFmtId="0" fontId="17" fillId="12" borderId="17" xfId="4" applyFont="1" applyFill="1" applyBorder="1" applyAlignment="1">
      <alignment horizontal="left" vertical="center" wrapText="1"/>
    </xf>
    <xf numFmtId="168" fontId="16" fillId="12" borderId="17" xfId="1" applyNumberFormat="1" applyFont="1" applyFill="1" applyBorder="1" applyAlignment="1">
      <alignment vertical="center" wrapText="1"/>
    </xf>
    <xf numFmtId="10" fontId="16" fillId="12" borderId="17" xfId="3" applyNumberFormat="1" applyFont="1" applyFill="1" applyBorder="1" applyAlignment="1">
      <alignment horizontal="center" vertical="center"/>
    </xf>
    <xf numFmtId="168" fontId="16" fillId="12" borderId="17" xfId="1" applyNumberFormat="1" applyFont="1" applyFill="1" applyBorder="1" applyAlignment="1">
      <alignment vertical="center"/>
    </xf>
    <xf numFmtId="168" fontId="15" fillId="12" borderId="18" xfId="1" applyNumberFormat="1" applyFont="1" applyFill="1" applyBorder="1" applyAlignment="1">
      <alignment vertical="center"/>
    </xf>
    <xf numFmtId="0" fontId="16" fillId="12" borderId="19" xfId="0" applyFont="1" applyFill="1" applyBorder="1" applyAlignment="1">
      <alignment horizontal="center" vertical="center"/>
    </xf>
    <xf numFmtId="0" fontId="16" fillId="12" borderId="20" xfId="0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left" vertical="center" wrapText="1"/>
    </xf>
    <xf numFmtId="168" fontId="16" fillId="12" borderId="20" xfId="1" applyNumberFormat="1" applyFont="1" applyFill="1" applyBorder="1" applyAlignment="1">
      <alignment vertical="center" wrapText="1"/>
    </xf>
    <xf numFmtId="10" fontId="16" fillId="12" borderId="20" xfId="3" applyNumberFormat="1" applyFont="1" applyFill="1" applyBorder="1" applyAlignment="1">
      <alignment horizontal="center" vertical="center"/>
    </xf>
    <xf numFmtId="168" fontId="16" fillId="12" borderId="20" xfId="1" applyNumberFormat="1" applyFont="1" applyFill="1" applyBorder="1" applyAlignment="1">
      <alignment vertical="center"/>
    </xf>
    <xf numFmtId="168" fontId="15" fillId="12" borderId="21" xfId="1" applyNumberFormat="1" applyFont="1" applyFill="1" applyBorder="1" applyAlignment="1">
      <alignment vertical="center"/>
    </xf>
    <xf numFmtId="0" fontId="16" fillId="2" borderId="20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left" vertical="center" wrapText="1"/>
    </xf>
    <xf numFmtId="10" fontId="16" fillId="2" borderId="20" xfId="3" applyNumberFormat="1" applyFont="1" applyFill="1" applyBorder="1" applyAlignment="1">
      <alignment horizontal="center" vertical="center"/>
    </xf>
    <xf numFmtId="168" fontId="16" fillId="2" borderId="20" xfId="1" applyNumberFormat="1" applyFont="1" applyFill="1" applyBorder="1" applyAlignment="1">
      <alignment vertical="center"/>
    </xf>
    <xf numFmtId="168" fontId="15" fillId="2" borderId="21" xfId="1" applyNumberFormat="1" applyFont="1" applyFill="1" applyBorder="1" applyAlignment="1">
      <alignment vertical="center"/>
    </xf>
    <xf numFmtId="0" fontId="16" fillId="9" borderId="25" xfId="0" applyFont="1" applyFill="1" applyBorder="1" applyAlignment="1">
      <alignment horizontal="center" vertical="center"/>
    </xf>
    <xf numFmtId="0" fontId="16" fillId="9" borderId="26" xfId="0" applyFont="1" applyFill="1" applyBorder="1" applyAlignment="1">
      <alignment horizontal="center" vertical="center"/>
    </xf>
    <xf numFmtId="0" fontId="17" fillId="9" borderId="26" xfId="4" applyFont="1" applyFill="1" applyBorder="1" applyAlignment="1">
      <alignment horizontal="left" vertical="center" wrapText="1"/>
    </xf>
    <xf numFmtId="10" fontId="16" fillId="9" borderId="38" xfId="3" applyNumberFormat="1" applyFont="1" applyFill="1" applyBorder="1" applyAlignment="1">
      <alignment horizontal="center" vertical="center"/>
    </xf>
    <xf numFmtId="169" fontId="16" fillId="9" borderId="67" xfId="0" applyNumberFormat="1" applyFont="1" applyFill="1" applyBorder="1" applyAlignment="1">
      <alignment vertical="center" wrapText="1"/>
    </xf>
    <xf numFmtId="169" fontId="15" fillId="9" borderId="18" xfId="0" applyNumberFormat="1" applyFont="1" applyFill="1" applyBorder="1" applyAlignment="1">
      <alignment vertical="center"/>
    </xf>
    <xf numFmtId="169" fontId="16" fillId="9" borderId="68" xfId="0" applyNumberFormat="1" applyFont="1" applyFill="1" applyBorder="1" applyAlignment="1">
      <alignment vertical="center" wrapText="1"/>
    </xf>
    <xf numFmtId="10" fontId="16" fillId="9" borderId="40" xfId="3" applyNumberFormat="1" applyFont="1" applyFill="1" applyBorder="1" applyAlignment="1">
      <alignment horizontal="center" vertical="center"/>
    </xf>
    <xf numFmtId="169" fontId="16" fillId="9" borderId="72" xfId="2" applyNumberFormat="1" applyFont="1" applyFill="1" applyBorder="1" applyAlignment="1">
      <alignment vertical="center"/>
    </xf>
    <xf numFmtId="169" fontId="16" fillId="9" borderId="72" xfId="0" applyNumberFormat="1" applyFont="1" applyFill="1" applyBorder="1" applyAlignment="1">
      <alignment vertical="center" wrapText="1"/>
    </xf>
    <xf numFmtId="169" fontId="15" fillId="9" borderId="21" xfId="0" applyNumberFormat="1" applyFont="1" applyFill="1" applyBorder="1" applyAlignment="1">
      <alignment vertical="center"/>
    </xf>
    <xf numFmtId="0" fontId="16" fillId="9" borderId="97" xfId="0" applyFont="1" applyFill="1" applyBorder="1" applyAlignment="1">
      <alignment horizontal="center" vertical="center"/>
    </xf>
    <xf numFmtId="0" fontId="16" fillId="9" borderId="98" xfId="0" applyFont="1" applyFill="1" applyBorder="1" applyAlignment="1">
      <alignment horizontal="center" vertical="center"/>
    </xf>
    <xf numFmtId="0" fontId="17" fillId="9" borderId="98" xfId="4" applyFont="1" applyFill="1" applyBorder="1" applyAlignment="1">
      <alignment horizontal="left" vertical="center" wrapText="1"/>
    </xf>
    <xf numFmtId="168" fontId="16" fillId="9" borderId="98" xfId="1" applyNumberFormat="1" applyFont="1" applyFill="1" applyBorder="1" applyAlignment="1">
      <alignment vertical="center" wrapText="1"/>
    </xf>
    <xf numFmtId="169" fontId="16" fillId="9" borderId="98" xfId="0" applyNumberFormat="1" applyFont="1" applyFill="1" applyBorder="1" applyAlignment="1">
      <alignment vertical="center" wrapText="1"/>
    </xf>
    <xf numFmtId="169" fontId="16" fillId="9" borderId="98" xfId="2" applyNumberFormat="1" applyFont="1" applyFill="1" applyBorder="1" applyAlignment="1">
      <alignment vertical="center"/>
    </xf>
    <xf numFmtId="169" fontId="15" fillId="9" borderId="99" xfId="0" applyNumberFormat="1" applyFont="1" applyFill="1" applyBorder="1" applyAlignment="1">
      <alignment vertical="center"/>
    </xf>
    <xf numFmtId="0" fontId="16" fillId="13" borderId="75" xfId="0" applyFont="1" applyFill="1" applyBorder="1" applyAlignment="1">
      <alignment horizontal="center" vertical="center"/>
    </xf>
    <xf numFmtId="0" fontId="16" fillId="13" borderId="76" xfId="0" applyFont="1" applyFill="1" applyBorder="1" applyAlignment="1">
      <alignment horizontal="center" vertical="center" wrapText="1"/>
    </xf>
    <xf numFmtId="0" fontId="16" fillId="13" borderId="76" xfId="0" applyFont="1" applyFill="1" applyBorder="1" applyAlignment="1">
      <alignment horizontal="left" vertical="center" wrapText="1"/>
    </xf>
    <xf numFmtId="168" fontId="16" fillId="13" borderId="76" xfId="1" applyNumberFormat="1" applyFont="1" applyFill="1" applyBorder="1" applyAlignment="1">
      <alignment vertical="center" wrapText="1"/>
    </xf>
    <xf numFmtId="10" fontId="16" fillId="13" borderId="76" xfId="3" applyNumberFormat="1" applyFont="1" applyFill="1" applyBorder="1" applyAlignment="1">
      <alignment horizontal="center" vertical="center"/>
    </xf>
    <xf numFmtId="168" fontId="16" fillId="13" borderId="76" xfId="1" applyNumberFormat="1" applyFont="1" applyFill="1" applyBorder="1" applyAlignment="1">
      <alignment vertical="center"/>
    </xf>
    <xf numFmtId="168" fontId="15" fillId="13" borderId="79" xfId="1" applyNumberFormat="1" applyFont="1" applyFill="1" applyBorder="1" applyAlignment="1">
      <alignment vertical="center"/>
    </xf>
    <xf numFmtId="0" fontId="16" fillId="13" borderId="16" xfId="0" applyFont="1" applyFill="1" applyBorder="1" applyAlignment="1">
      <alignment horizontal="center" vertical="center"/>
    </xf>
    <xf numFmtId="0" fontId="16" fillId="13" borderId="17" xfId="0" applyFont="1" applyFill="1" applyBorder="1" applyAlignment="1">
      <alignment horizontal="center" vertical="center"/>
    </xf>
    <xf numFmtId="0" fontId="17" fillId="13" borderId="17" xfId="4" applyFont="1" applyFill="1" applyBorder="1" applyAlignment="1">
      <alignment horizontal="left" vertical="center" wrapText="1"/>
    </xf>
    <xf numFmtId="168" fontId="16" fillId="13" borderId="17" xfId="1" applyNumberFormat="1" applyFont="1" applyFill="1" applyBorder="1" applyAlignment="1">
      <alignment vertical="center" wrapText="1"/>
    </xf>
    <xf numFmtId="10" fontId="16" fillId="13" borderId="17" xfId="3" applyNumberFormat="1" applyFont="1" applyFill="1" applyBorder="1" applyAlignment="1">
      <alignment horizontal="center" vertical="center"/>
    </xf>
    <xf numFmtId="168" fontId="16" fillId="13" borderId="17" xfId="1" applyNumberFormat="1" applyFont="1" applyFill="1" applyBorder="1" applyAlignment="1">
      <alignment vertical="center"/>
    </xf>
    <xf numFmtId="168" fontId="15" fillId="13" borderId="18" xfId="1" applyNumberFormat="1" applyFont="1" applyFill="1" applyBorder="1" applyAlignment="1">
      <alignment vertical="center"/>
    </xf>
    <xf numFmtId="0" fontId="16" fillId="13" borderId="17" xfId="0" applyFont="1" applyFill="1" applyBorder="1" applyAlignment="1">
      <alignment horizontal="center" vertical="center" wrapText="1"/>
    </xf>
    <xf numFmtId="0" fontId="16" fillId="13" borderId="17" xfId="0" applyFont="1" applyFill="1" applyBorder="1" applyAlignment="1">
      <alignment horizontal="left" vertical="center" wrapText="1"/>
    </xf>
    <xf numFmtId="0" fontId="16" fillId="13" borderId="56" xfId="0" applyFont="1" applyFill="1" applyBorder="1" applyAlignment="1">
      <alignment horizontal="center" vertical="center"/>
    </xf>
    <xf numFmtId="0" fontId="16" fillId="13" borderId="72" xfId="0" applyFont="1" applyFill="1" applyBorder="1" applyAlignment="1">
      <alignment horizontal="center" vertical="center" wrapText="1"/>
    </xf>
    <xf numFmtId="0" fontId="16" fillId="13" borderId="72" xfId="0" applyFont="1" applyFill="1" applyBorder="1" applyAlignment="1">
      <alignment horizontal="left" vertical="center" wrapText="1"/>
    </xf>
    <xf numFmtId="168" fontId="16" fillId="13" borderId="72" xfId="1" applyNumberFormat="1" applyFont="1" applyFill="1" applyBorder="1" applyAlignment="1">
      <alignment vertical="center" wrapText="1"/>
    </xf>
    <xf numFmtId="10" fontId="16" fillId="13" borderId="72" xfId="3" applyNumberFormat="1" applyFont="1" applyFill="1" applyBorder="1" applyAlignment="1">
      <alignment horizontal="center" vertical="center"/>
    </xf>
    <xf numFmtId="168" fontId="16" fillId="13" borderId="72" xfId="1" applyNumberFormat="1" applyFont="1" applyFill="1" applyBorder="1" applyAlignment="1">
      <alignment vertical="center"/>
    </xf>
    <xf numFmtId="168" fontId="15" fillId="13" borderId="73" xfId="1" applyNumberFormat="1" applyFont="1" applyFill="1" applyBorder="1" applyAlignment="1">
      <alignment vertical="center"/>
    </xf>
    <xf numFmtId="10" fontId="16" fillId="9" borderId="100" xfId="3" applyNumberFormat="1" applyFont="1" applyFill="1" applyBorder="1" applyAlignment="1">
      <alignment horizontal="center" vertical="center"/>
    </xf>
    <xf numFmtId="169" fontId="16" fillId="9" borderId="29" xfId="0" applyNumberFormat="1" applyFont="1" applyFill="1" applyBorder="1" applyAlignment="1">
      <alignment vertical="center" wrapText="1"/>
    </xf>
    <xf numFmtId="0" fontId="12" fillId="8" borderId="0" xfId="0" applyFont="1" applyFill="1" applyBorder="1" applyAlignment="1">
      <alignment horizontal="center" vertical="center" wrapText="1"/>
    </xf>
    <xf numFmtId="169" fontId="14" fillId="12" borderId="0" xfId="0" applyNumberFormat="1" applyFont="1" applyFill="1" applyAlignment="1">
      <alignment vertical="center"/>
    </xf>
    <xf numFmtId="0" fontId="13" fillId="14" borderId="58" xfId="0" applyFont="1" applyFill="1" applyBorder="1" applyAlignment="1">
      <alignment horizontal="center" vertical="center"/>
    </xf>
    <xf numFmtId="168" fontId="16" fillId="14" borderId="39" xfId="1" applyNumberFormat="1" applyFont="1" applyFill="1" applyBorder="1" applyAlignment="1">
      <alignment vertical="center" wrapText="1"/>
    </xf>
    <xf numFmtId="168" fontId="16" fillId="14" borderId="17" xfId="1" applyNumberFormat="1" applyFont="1" applyFill="1" applyBorder="1" applyAlignment="1">
      <alignment vertical="center" wrapText="1"/>
    </xf>
    <xf numFmtId="168" fontId="16" fillId="14" borderId="67" xfId="1" applyNumberFormat="1" applyFont="1" applyFill="1" applyBorder="1" applyAlignment="1">
      <alignment vertical="center" wrapText="1"/>
    </xf>
    <xf numFmtId="0" fontId="13" fillId="14" borderId="101" xfId="0" applyFont="1" applyFill="1" applyBorder="1" applyAlignment="1">
      <alignment horizontal="center" vertical="center"/>
    </xf>
    <xf numFmtId="168" fontId="16" fillId="14" borderId="102" xfId="1" applyNumberFormat="1" applyFont="1" applyFill="1" applyBorder="1" applyAlignment="1">
      <alignment vertical="center" wrapText="1"/>
    </xf>
    <xf numFmtId="168" fontId="16" fillId="14" borderId="31" xfId="1" applyNumberFormat="1" applyFont="1" applyFill="1" applyBorder="1" applyAlignment="1">
      <alignment vertical="center" wrapText="1"/>
    </xf>
    <xf numFmtId="168" fontId="16" fillId="14" borderId="70" xfId="1" applyNumberFormat="1" applyFont="1" applyFill="1" applyBorder="1" applyAlignment="1">
      <alignment vertical="center" wrapText="1"/>
    </xf>
    <xf numFmtId="0" fontId="13" fillId="14" borderId="57" xfId="0" applyFont="1" applyFill="1" applyBorder="1" applyAlignment="1">
      <alignment horizontal="center" vertical="center"/>
    </xf>
    <xf numFmtId="168" fontId="16" fillId="14" borderId="38" xfId="1" applyNumberFormat="1" applyFont="1" applyFill="1" applyBorder="1" applyAlignment="1">
      <alignment vertical="center" wrapText="1"/>
    </xf>
    <xf numFmtId="168" fontId="16" fillId="14" borderId="26" xfId="1" applyNumberFormat="1" applyFont="1" applyFill="1" applyBorder="1" applyAlignment="1">
      <alignment vertical="center" wrapText="1"/>
    </xf>
    <xf numFmtId="168" fontId="16" fillId="14" borderId="69" xfId="1" applyNumberFormat="1" applyFont="1" applyFill="1" applyBorder="1" applyAlignment="1">
      <alignment vertical="center" wrapText="1"/>
    </xf>
    <xf numFmtId="0" fontId="18" fillId="14" borderId="26" xfId="0" applyFont="1" applyFill="1" applyBorder="1" applyAlignment="1">
      <alignment vertical="center" wrapText="1"/>
    </xf>
    <xf numFmtId="0" fontId="18" fillId="14" borderId="17" xfId="0" applyFont="1" applyFill="1" applyBorder="1" applyAlignment="1">
      <alignment vertical="center" wrapText="1"/>
    </xf>
    <xf numFmtId="0" fontId="18" fillId="14" borderId="31" xfId="0" applyFont="1" applyFill="1" applyBorder="1" applyAlignment="1">
      <alignment vertical="center" wrapText="1"/>
    </xf>
    <xf numFmtId="164" fontId="13" fillId="8" borderId="0" xfId="1" applyFont="1" applyFill="1" applyAlignment="1">
      <alignment vertical="center"/>
    </xf>
    <xf numFmtId="0" fontId="16" fillId="8" borderId="0" xfId="0" applyFont="1" applyFill="1" applyAlignment="1">
      <alignment vertical="center"/>
    </xf>
    <xf numFmtId="164" fontId="16" fillId="7" borderId="0" xfId="0" applyNumberFormat="1" applyFont="1" applyFill="1" applyAlignment="1">
      <alignment vertical="center"/>
    </xf>
    <xf numFmtId="168" fontId="16" fillId="8" borderId="0" xfId="0" applyNumberFormat="1" applyFont="1" applyFill="1" applyAlignment="1">
      <alignment vertical="center"/>
    </xf>
    <xf numFmtId="0" fontId="12" fillId="8" borderId="0" xfId="0" applyFont="1" applyFill="1" applyBorder="1" applyAlignment="1">
      <alignment horizontal="center" vertical="center" wrapText="1"/>
    </xf>
    <xf numFmtId="0" fontId="13" fillId="8" borderId="0" xfId="0" applyFont="1" applyFill="1" applyAlignment="1">
      <alignment vertical="center"/>
    </xf>
    <xf numFmtId="169" fontId="13" fillId="8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70" fontId="16" fillId="8" borderId="0" xfId="3" applyNumberFormat="1" applyFont="1" applyFill="1" applyAlignment="1">
      <alignment vertical="center"/>
    </xf>
    <xf numFmtId="168" fontId="16" fillId="8" borderId="0" xfId="1" applyNumberFormat="1" applyFont="1" applyFill="1" applyAlignment="1">
      <alignment vertical="center"/>
    </xf>
    <xf numFmtId="169" fontId="13" fillId="0" borderId="0" xfId="0" applyNumberFormat="1" applyFont="1" applyFill="1" applyAlignment="1">
      <alignment vertical="center"/>
    </xf>
    <xf numFmtId="0" fontId="16" fillId="0" borderId="0" xfId="0" applyFont="1" applyFill="1" applyAlignment="1">
      <alignment vertical="center"/>
    </xf>
    <xf numFmtId="169" fontId="12" fillId="8" borderId="0" xfId="0" applyNumberFormat="1" applyFont="1" applyFill="1" applyAlignment="1">
      <alignment vertical="center"/>
    </xf>
    <xf numFmtId="0" fontId="16" fillId="8" borderId="0" xfId="0" applyFont="1" applyFill="1" applyBorder="1" applyAlignment="1">
      <alignment vertical="center"/>
    </xf>
    <xf numFmtId="168" fontId="13" fillId="8" borderId="0" xfId="0" applyNumberFormat="1" applyFont="1" applyFill="1" applyAlignment="1">
      <alignment vertical="center"/>
    </xf>
    <xf numFmtId="10" fontId="16" fillId="11" borderId="39" xfId="3" applyNumberFormat="1" applyFont="1" applyFill="1" applyBorder="1" applyAlignment="1">
      <alignment horizontal="center" vertical="center"/>
    </xf>
    <xf numFmtId="10" fontId="16" fillId="15" borderId="39" xfId="3" applyNumberFormat="1" applyFont="1" applyFill="1" applyBorder="1" applyAlignment="1">
      <alignment horizontal="center" vertical="center"/>
    </xf>
    <xf numFmtId="10" fontId="16" fillId="13" borderId="39" xfId="3" applyNumberFormat="1" applyFont="1" applyFill="1" applyBorder="1" applyAlignment="1">
      <alignment horizontal="center" vertical="center"/>
    </xf>
    <xf numFmtId="0" fontId="16" fillId="9" borderId="28" xfId="0" applyFont="1" applyFill="1" applyBorder="1" applyAlignment="1">
      <alignment horizontal="center" vertical="center"/>
    </xf>
    <xf numFmtId="0" fontId="16" fillId="9" borderId="29" xfId="0" applyFont="1" applyFill="1" applyBorder="1" applyAlignment="1">
      <alignment horizontal="center" vertical="center"/>
    </xf>
    <xf numFmtId="0" fontId="17" fillId="9" borderId="29" xfId="4" applyFont="1" applyFill="1" applyBorder="1" applyAlignment="1">
      <alignment horizontal="left" vertical="center" wrapText="1"/>
    </xf>
    <xf numFmtId="169" fontId="16" fillId="9" borderId="29" xfId="2" applyNumberFormat="1" applyFont="1" applyFill="1" applyBorder="1" applyAlignment="1">
      <alignment vertical="center"/>
    </xf>
    <xf numFmtId="169" fontId="16" fillId="9" borderId="17" xfId="2" applyNumberFormat="1" applyFont="1" applyFill="1" applyBorder="1" applyAlignment="1">
      <alignment vertical="center"/>
    </xf>
    <xf numFmtId="168" fontId="16" fillId="2" borderId="72" xfId="1" applyNumberFormat="1" applyFont="1" applyFill="1" applyBorder="1" applyAlignment="1">
      <alignment vertical="center"/>
    </xf>
    <xf numFmtId="10" fontId="16" fillId="13" borderId="40" xfId="3" applyNumberFormat="1" applyFont="1" applyFill="1" applyBorder="1" applyAlignment="1">
      <alignment horizontal="center" vertical="center"/>
    </xf>
    <xf numFmtId="165" fontId="15" fillId="5" borderId="1" xfId="3" applyNumberFormat="1" applyFont="1" applyFill="1" applyBorder="1" applyAlignment="1">
      <alignment horizontal="center" vertical="center" wrapText="1"/>
    </xf>
    <xf numFmtId="167" fontId="15" fillId="5" borderId="1" xfId="2" applyNumberFormat="1" applyFont="1" applyFill="1" applyBorder="1" applyAlignment="1">
      <alignment horizontal="center" vertical="center" wrapText="1"/>
    </xf>
    <xf numFmtId="167" fontId="15" fillId="5" borderId="52" xfId="2" applyNumberFormat="1" applyFont="1" applyFill="1" applyBorder="1" applyAlignment="1">
      <alignment horizontal="center" vertical="center" wrapText="1"/>
    </xf>
    <xf numFmtId="0" fontId="16" fillId="13" borderId="28" xfId="0" applyFont="1" applyFill="1" applyBorder="1" applyAlignment="1">
      <alignment horizontal="center" vertical="center"/>
    </xf>
    <xf numFmtId="0" fontId="16" fillId="13" borderId="29" xfId="0" applyFont="1" applyFill="1" applyBorder="1" applyAlignment="1">
      <alignment horizontal="center" vertical="center" wrapText="1"/>
    </xf>
    <xf numFmtId="168" fontId="16" fillId="13" borderId="29" xfId="1" applyNumberFormat="1" applyFont="1" applyFill="1" applyBorder="1" applyAlignment="1">
      <alignment vertical="center" wrapText="1"/>
    </xf>
    <xf numFmtId="168" fontId="16" fillId="13" borderId="29" xfId="1" applyNumberFormat="1" applyFont="1" applyFill="1" applyBorder="1" applyAlignment="1">
      <alignment vertical="center"/>
    </xf>
    <xf numFmtId="0" fontId="16" fillId="13" borderId="19" xfId="0" applyFont="1" applyFill="1" applyBorder="1" applyAlignment="1">
      <alignment horizontal="center" vertical="center"/>
    </xf>
    <xf numFmtId="0" fontId="16" fillId="13" borderId="20" xfId="0" applyFont="1" applyFill="1" applyBorder="1" applyAlignment="1">
      <alignment horizontal="center" vertical="center" wrapText="1"/>
    </xf>
    <xf numFmtId="0" fontId="16" fillId="13" borderId="20" xfId="0" applyFont="1" applyFill="1" applyBorder="1" applyAlignment="1">
      <alignment horizontal="left" vertical="center" wrapText="1"/>
    </xf>
    <xf numFmtId="168" fontId="16" fillId="13" borderId="20" xfId="1" applyNumberFormat="1" applyFont="1" applyFill="1" applyBorder="1" applyAlignment="1">
      <alignment vertical="center" wrapText="1"/>
    </xf>
    <xf numFmtId="168" fontId="16" fillId="13" borderId="20" xfId="1" applyNumberFormat="1" applyFont="1" applyFill="1" applyBorder="1" applyAlignment="1">
      <alignment vertical="center"/>
    </xf>
    <xf numFmtId="0" fontId="16" fillId="13" borderId="29" xfId="0" applyFont="1" applyFill="1" applyBorder="1" applyAlignment="1">
      <alignment horizontal="left" vertical="center" wrapText="1"/>
    </xf>
    <xf numFmtId="0" fontId="16" fillId="16" borderId="28" xfId="0" applyFont="1" applyFill="1" applyBorder="1" applyAlignment="1">
      <alignment horizontal="center" vertical="center"/>
    </xf>
    <xf numFmtId="0" fontId="16" fillId="16" borderId="29" xfId="0" applyFont="1" applyFill="1" applyBorder="1" applyAlignment="1">
      <alignment horizontal="center" vertical="center" wrapText="1"/>
    </xf>
    <xf numFmtId="0" fontId="16" fillId="16" borderId="29" xfId="0" applyFont="1" applyFill="1" applyBorder="1" applyAlignment="1">
      <alignment horizontal="left" vertical="center" wrapText="1"/>
    </xf>
    <xf numFmtId="168" fontId="16" fillId="16" borderId="29" xfId="1" applyNumberFormat="1" applyFont="1" applyFill="1" applyBorder="1" applyAlignment="1">
      <alignment vertical="center" wrapText="1"/>
    </xf>
    <xf numFmtId="168" fontId="16" fillId="16" borderId="29" xfId="1" applyNumberFormat="1" applyFont="1" applyFill="1" applyBorder="1" applyAlignment="1">
      <alignment vertical="center"/>
    </xf>
    <xf numFmtId="0" fontId="16" fillId="16" borderId="16" xfId="0" applyFont="1" applyFill="1" applyBorder="1" applyAlignment="1">
      <alignment horizontal="center" vertical="center"/>
    </xf>
    <xf numFmtId="0" fontId="16" fillId="16" borderId="17" xfId="0" applyFont="1" applyFill="1" applyBorder="1" applyAlignment="1">
      <alignment horizontal="center" vertical="center"/>
    </xf>
    <xf numFmtId="0" fontId="17" fillId="16" borderId="17" xfId="4" applyFont="1" applyFill="1" applyBorder="1" applyAlignment="1">
      <alignment horizontal="left" vertical="center" wrapText="1"/>
    </xf>
    <xf numFmtId="168" fontId="16" fillId="16" borderId="17" xfId="1" applyNumberFormat="1" applyFont="1" applyFill="1" applyBorder="1" applyAlignment="1">
      <alignment vertical="center" wrapText="1"/>
    </xf>
    <xf numFmtId="168" fontId="16" fillId="16" borderId="17" xfId="1" applyNumberFormat="1" applyFont="1" applyFill="1" applyBorder="1" applyAlignment="1">
      <alignment vertical="center"/>
    </xf>
    <xf numFmtId="0" fontId="16" fillId="16" borderId="17" xfId="0" applyFont="1" applyFill="1" applyBorder="1" applyAlignment="1">
      <alignment horizontal="center" vertical="center" wrapText="1"/>
    </xf>
    <xf numFmtId="0" fontId="16" fillId="16" borderId="17" xfId="0" applyFont="1" applyFill="1" applyBorder="1" applyAlignment="1">
      <alignment horizontal="left" vertical="center" wrapText="1"/>
    </xf>
    <xf numFmtId="0" fontId="16" fillId="16" borderId="19" xfId="0" applyFont="1" applyFill="1" applyBorder="1" applyAlignment="1">
      <alignment horizontal="center" vertical="center"/>
    </xf>
    <xf numFmtId="0" fontId="16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left" vertical="center" wrapText="1"/>
    </xf>
    <xf numFmtId="168" fontId="16" fillId="16" borderId="20" xfId="1" applyNumberFormat="1" applyFont="1" applyFill="1" applyBorder="1" applyAlignment="1">
      <alignment vertical="center" wrapText="1"/>
    </xf>
    <xf numFmtId="168" fontId="16" fillId="16" borderId="20" xfId="1" applyNumberFormat="1" applyFont="1" applyFill="1" applyBorder="1" applyAlignment="1">
      <alignment vertical="center"/>
    </xf>
    <xf numFmtId="0" fontId="14" fillId="5" borderId="106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3" fillId="15" borderId="103" xfId="0" applyFont="1" applyFill="1" applyBorder="1" applyAlignment="1">
      <alignment horizontal="center" vertical="center"/>
    </xf>
    <xf numFmtId="0" fontId="16" fillId="15" borderId="35" xfId="0" applyFont="1" applyFill="1" applyBorder="1" applyAlignment="1">
      <alignment vertical="center" wrapText="1"/>
    </xf>
    <xf numFmtId="168" fontId="16" fillId="15" borderId="36" xfId="1" applyNumberFormat="1" applyFont="1" applyFill="1" applyBorder="1" applyAlignment="1">
      <alignment vertical="center" wrapText="1"/>
    </xf>
    <xf numFmtId="168" fontId="16" fillId="15" borderId="35" xfId="1" applyNumberFormat="1" applyFont="1" applyFill="1" applyBorder="1" applyAlignment="1">
      <alignment vertical="center" wrapText="1"/>
    </xf>
    <xf numFmtId="168" fontId="16" fillId="15" borderId="65" xfId="1" applyNumberFormat="1" applyFont="1" applyFill="1" applyBorder="1" applyAlignment="1">
      <alignment vertical="center" wrapText="1"/>
    </xf>
    <xf numFmtId="168" fontId="16" fillId="15" borderId="35" xfId="1" applyNumberFormat="1" applyFont="1" applyFill="1" applyBorder="1" applyAlignment="1">
      <alignment vertical="center"/>
    </xf>
    <xf numFmtId="168" fontId="18" fillId="14" borderId="17" xfId="1" applyNumberFormat="1" applyFont="1" applyFill="1" applyBorder="1" applyAlignment="1">
      <alignment vertical="center" wrapText="1"/>
    </xf>
    <xf numFmtId="0" fontId="13" fillId="15" borderId="58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vertical="center"/>
    </xf>
    <xf numFmtId="168" fontId="16" fillId="15" borderId="39" xfId="1" applyNumberFormat="1" applyFont="1" applyFill="1" applyBorder="1" applyAlignment="1">
      <alignment vertical="center" wrapText="1"/>
    </xf>
    <xf numFmtId="168" fontId="16" fillId="15" borderId="17" xfId="1" applyNumberFormat="1" applyFont="1" applyFill="1" applyBorder="1" applyAlignment="1">
      <alignment vertical="center" wrapText="1"/>
    </xf>
    <xf numFmtId="168" fontId="16" fillId="15" borderId="67" xfId="1" applyNumberFormat="1" applyFont="1" applyFill="1" applyBorder="1" applyAlignment="1">
      <alignment vertical="center" wrapText="1"/>
    </xf>
    <xf numFmtId="0" fontId="13" fillId="15" borderId="101" xfId="0" applyFont="1" applyFill="1" applyBorder="1" applyAlignment="1">
      <alignment horizontal="center" vertical="center"/>
    </xf>
    <xf numFmtId="0" fontId="16" fillId="15" borderId="31" xfId="0" applyFont="1" applyFill="1" applyBorder="1" applyAlignment="1">
      <alignment vertical="center" wrapText="1"/>
    </xf>
    <xf numFmtId="168" fontId="16" fillId="15" borderId="102" xfId="1" applyNumberFormat="1" applyFont="1" applyFill="1" applyBorder="1" applyAlignment="1">
      <alignment vertical="center" wrapText="1"/>
    </xf>
    <xf numFmtId="168" fontId="16" fillId="15" borderId="31" xfId="1" applyNumberFormat="1" applyFont="1" applyFill="1" applyBorder="1" applyAlignment="1">
      <alignment vertical="center" wrapText="1"/>
    </xf>
    <xf numFmtId="168" fontId="16" fillId="15" borderId="70" xfId="1" applyNumberFormat="1" applyFont="1" applyFill="1" applyBorder="1" applyAlignment="1">
      <alignment vertical="center" wrapText="1"/>
    </xf>
    <xf numFmtId="168" fontId="18" fillId="14" borderId="31" xfId="1" applyNumberFormat="1" applyFont="1" applyFill="1" applyBorder="1" applyAlignment="1">
      <alignment vertical="center" wrapText="1"/>
    </xf>
    <xf numFmtId="0" fontId="13" fillId="15" borderId="104" xfId="0" applyFont="1" applyFill="1" applyBorder="1" applyAlignment="1">
      <alignment horizontal="center" vertical="center"/>
    </xf>
    <xf numFmtId="0" fontId="18" fillId="15" borderId="29" xfId="0" applyFont="1" applyFill="1" applyBorder="1" applyAlignment="1">
      <alignment vertical="center"/>
    </xf>
    <xf numFmtId="168" fontId="16" fillId="15" borderId="105" xfId="1" applyNumberFormat="1" applyFont="1" applyFill="1" applyBorder="1" applyAlignment="1">
      <alignment vertical="center" wrapText="1"/>
    </xf>
    <xf numFmtId="168" fontId="16" fillId="15" borderId="29" xfId="1" applyNumberFormat="1" applyFont="1" applyFill="1" applyBorder="1" applyAlignment="1">
      <alignment vertical="center" wrapText="1"/>
    </xf>
    <xf numFmtId="168" fontId="16" fillId="15" borderId="66" xfId="1" applyNumberFormat="1" applyFont="1" applyFill="1" applyBorder="1" applyAlignment="1">
      <alignment vertical="center" wrapText="1"/>
    </xf>
    <xf numFmtId="10" fontId="16" fillId="15" borderId="105" xfId="3" applyNumberFormat="1" applyFont="1" applyFill="1" applyBorder="1" applyAlignment="1">
      <alignment horizontal="center" vertical="center"/>
    </xf>
    <xf numFmtId="10" fontId="16" fillId="15" borderId="102" xfId="3" applyNumberFormat="1" applyFont="1" applyFill="1" applyBorder="1" applyAlignment="1">
      <alignment horizontal="center" vertical="center"/>
    </xf>
    <xf numFmtId="0" fontId="18" fillId="15" borderId="31" xfId="0" applyFont="1" applyFill="1" applyBorder="1" applyAlignment="1">
      <alignment vertical="center"/>
    </xf>
    <xf numFmtId="0" fontId="18" fillId="15" borderId="35" xfId="0" applyFont="1" applyFill="1" applyBorder="1" applyAlignment="1">
      <alignment vertical="center"/>
    </xf>
    <xf numFmtId="169" fontId="16" fillId="9" borderId="66" xfId="0" applyNumberFormat="1" applyFont="1" applyFill="1" applyBorder="1" applyAlignment="1">
      <alignment vertical="center" wrapText="1"/>
    </xf>
    <xf numFmtId="165" fontId="15" fillId="5" borderId="5" xfId="3" applyNumberFormat="1" applyFont="1" applyFill="1" applyBorder="1" applyAlignment="1">
      <alignment horizontal="center" vertical="center" wrapText="1"/>
    </xf>
    <xf numFmtId="10" fontId="16" fillId="9" borderId="105" xfId="3" applyNumberFormat="1" applyFont="1" applyFill="1" applyBorder="1" applyAlignment="1">
      <alignment horizontal="center" vertical="center"/>
    </xf>
    <xf numFmtId="169" fontId="16" fillId="9" borderId="107" xfId="0" applyNumberFormat="1" applyFont="1" applyFill="1" applyBorder="1" applyAlignment="1">
      <alignment vertical="center" wrapText="1"/>
    </xf>
    <xf numFmtId="169" fontId="16" fillId="9" borderId="108" xfId="0" applyNumberFormat="1" applyFont="1" applyFill="1" applyBorder="1" applyAlignment="1">
      <alignment vertical="center" wrapText="1"/>
    </xf>
    <xf numFmtId="169" fontId="16" fillId="9" borderId="109" xfId="0" applyNumberFormat="1" applyFont="1" applyFill="1" applyBorder="1" applyAlignment="1">
      <alignment vertical="center" wrapText="1"/>
    </xf>
    <xf numFmtId="168" fontId="16" fillId="2" borderId="66" xfId="1" applyNumberFormat="1" applyFont="1" applyFill="1" applyBorder="1" applyAlignment="1">
      <alignment vertical="center" wrapText="1"/>
    </xf>
    <xf numFmtId="168" fontId="16" fillId="2" borderId="67" xfId="1" applyNumberFormat="1" applyFont="1" applyFill="1" applyBorder="1" applyAlignment="1">
      <alignment vertical="center" wrapText="1"/>
    </xf>
    <xf numFmtId="168" fontId="16" fillId="2" borderId="68" xfId="1" applyNumberFormat="1" applyFont="1" applyFill="1" applyBorder="1" applyAlignment="1">
      <alignment vertical="center" wrapText="1"/>
    </xf>
    <xf numFmtId="168" fontId="16" fillId="2" borderId="107" xfId="1" applyNumberFormat="1" applyFont="1" applyFill="1" applyBorder="1" applyAlignment="1">
      <alignment vertical="center" wrapText="1"/>
    </xf>
    <xf numFmtId="168" fontId="16" fillId="2" borderId="108" xfId="1" applyNumberFormat="1" applyFont="1" applyFill="1" applyBorder="1" applyAlignment="1">
      <alignment vertical="center" wrapText="1"/>
    </xf>
    <xf numFmtId="168" fontId="16" fillId="2" borderId="109" xfId="1" applyNumberFormat="1" applyFont="1" applyFill="1" applyBorder="1" applyAlignment="1">
      <alignment vertical="center" wrapText="1"/>
    </xf>
    <xf numFmtId="168" fontId="16" fillId="13" borderId="66" xfId="1" applyNumberFormat="1" applyFont="1" applyFill="1" applyBorder="1" applyAlignment="1">
      <alignment vertical="center" wrapText="1"/>
    </xf>
    <xf numFmtId="168" fontId="16" fillId="13" borderId="67" xfId="1" applyNumberFormat="1" applyFont="1" applyFill="1" applyBorder="1" applyAlignment="1">
      <alignment vertical="center" wrapText="1"/>
    </xf>
    <xf numFmtId="168" fontId="16" fillId="13" borderId="68" xfId="1" applyNumberFormat="1" applyFont="1" applyFill="1" applyBorder="1" applyAlignment="1">
      <alignment vertical="center" wrapText="1"/>
    </xf>
    <xf numFmtId="10" fontId="16" fillId="13" borderId="105" xfId="3" applyNumberFormat="1" applyFont="1" applyFill="1" applyBorder="1" applyAlignment="1">
      <alignment horizontal="center" vertical="center"/>
    </xf>
    <xf numFmtId="168" fontId="16" fillId="13" borderId="107" xfId="1" applyNumberFormat="1" applyFont="1" applyFill="1" applyBorder="1" applyAlignment="1">
      <alignment vertical="center" wrapText="1"/>
    </xf>
    <xf numFmtId="168" fontId="16" fillId="13" borderId="108" xfId="1" applyNumberFormat="1" applyFont="1" applyFill="1" applyBorder="1" applyAlignment="1">
      <alignment vertical="center" wrapText="1"/>
    </xf>
    <xf numFmtId="168" fontId="16" fillId="13" borderId="109" xfId="1" applyNumberFormat="1" applyFont="1" applyFill="1" applyBorder="1" applyAlignment="1">
      <alignment vertical="center" wrapText="1"/>
    </xf>
    <xf numFmtId="168" fontId="16" fillId="16" borderId="66" xfId="1" applyNumberFormat="1" applyFont="1" applyFill="1" applyBorder="1" applyAlignment="1">
      <alignment vertical="center" wrapText="1"/>
    </xf>
    <xf numFmtId="168" fontId="16" fillId="16" borderId="67" xfId="1" applyNumberFormat="1" applyFont="1" applyFill="1" applyBorder="1" applyAlignment="1">
      <alignment vertical="center" wrapText="1"/>
    </xf>
    <xf numFmtId="168" fontId="16" fillId="16" borderId="68" xfId="1" applyNumberFormat="1" applyFont="1" applyFill="1" applyBorder="1" applyAlignment="1">
      <alignment vertical="center" wrapText="1"/>
    </xf>
    <xf numFmtId="10" fontId="16" fillId="16" borderId="105" xfId="3" applyNumberFormat="1" applyFont="1" applyFill="1" applyBorder="1" applyAlignment="1">
      <alignment horizontal="center" vertical="center"/>
    </xf>
    <xf numFmtId="10" fontId="16" fillId="16" borderId="39" xfId="3" applyNumberFormat="1" applyFont="1" applyFill="1" applyBorder="1" applyAlignment="1">
      <alignment horizontal="center" vertical="center"/>
    </xf>
    <xf numFmtId="10" fontId="16" fillId="16" borderId="40" xfId="3" applyNumberFormat="1" applyFont="1" applyFill="1" applyBorder="1" applyAlignment="1">
      <alignment horizontal="center" vertical="center"/>
    </xf>
    <xf numFmtId="168" fontId="16" fillId="16" borderId="107" xfId="1" applyNumberFormat="1" applyFont="1" applyFill="1" applyBorder="1" applyAlignment="1">
      <alignment vertical="center" wrapText="1"/>
    </xf>
    <xf numFmtId="168" fontId="16" fillId="16" borderId="108" xfId="1" applyNumberFormat="1" applyFont="1" applyFill="1" applyBorder="1" applyAlignment="1">
      <alignment vertical="center" wrapText="1"/>
    </xf>
    <xf numFmtId="168" fontId="16" fillId="16" borderId="109" xfId="1" applyNumberFormat="1" applyFont="1" applyFill="1" applyBorder="1" applyAlignment="1">
      <alignment vertical="center" wrapText="1"/>
    </xf>
    <xf numFmtId="167" fontId="15" fillId="5" borderId="3" xfId="2" applyNumberFormat="1" applyFont="1" applyFill="1" applyBorder="1" applyAlignment="1">
      <alignment horizontal="center" vertical="center" wrapText="1"/>
    </xf>
    <xf numFmtId="10" fontId="18" fillId="14" borderId="39" xfId="3" applyNumberFormat="1" applyFont="1" applyFill="1" applyBorder="1" applyAlignment="1">
      <alignment horizontal="center" vertical="center" wrapText="1"/>
    </xf>
    <xf numFmtId="10" fontId="18" fillId="14" borderId="102" xfId="3" applyNumberFormat="1" applyFont="1" applyFill="1" applyBorder="1" applyAlignment="1">
      <alignment horizontal="center" vertical="center" wrapText="1"/>
    </xf>
    <xf numFmtId="168" fontId="16" fillId="15" borderId="1" xfId="1" applyNumberFormat="1" applyFont="1" applyFill="1" applyBorder="1" applyAlignment="1">
      <alignment vertical="center" wrapText="1"/>
    </xf>
    <xf numFmtId="168" fontId="16" fillId="14" borderId="110" xfId="1" applyNumberFormat="1" applyFont="1" applyFill="1" applyBorder="1" applyAlignment="1">
      <alignment vertical="center" wrapText="1"/>
    </xf>
    <xf numFmtId="168" fontId="16" fillId="14" borderId="108" xfId="1" applyNumberFormat="1" applyFont="1" applyFill="1" applyBorder="1" applyAlignment="1">
      <alignment vertical="center" wrapText="1"/>
    </xf>
    <xf numFmtId="168" fontId="16" fillId="14" borderId="111" xfId="1" applyNumberFormat="1" applyFont="1" applyFill="1" applyBorder="1" applyAlignment="1">
      <alignment vertical="center" wrapText="1"/>
    </xf>
    <xf numFmtId="168" fontId="16" fillId="15" borderId="107" xfId="1" applyNumberFormat="1" applyFont="1" applyFill="1" applyBorder="1" applyAlignment="1">
      <alignment vertical="center" wrapText="1"/>
    </xf>
    <xf numFmtId="168" fontId="16" fillId="15" borderId="108" xfId="1" applyNumberFormat="1" applyFont="1" applyFill="1" applyBorder="1" applyAlignment="1">
      <alignment vertical="center" wrapText="1"/>
    </xf>
    <xf numFmtId="168" fontId="16" fillId="15" borderId="111" xfId="1" applyNumberFormat="1" applyFont="1" applyFill="1" applyBorder="1" applyAlignment="1">
      <alignment vertical="center" wrapText="1"/>
    </xf>
    <xf numFmtId="168" fontId="16" fillId="11" borderId="108" xfId="1" applyNumberFormat="1" applyFont="1" applyFill="1" applyBorder="1" applyAlignment="1">
      <alignment vertical="center" wrapText="1"/>
    </xf>
    <xf numFmtId="0" fontId="13" fillId="11" borderId="112" xfId="0" applyFont="1" applyFill="1" applyBorder="1" applyAlignment="1">
      <alignment horizontal="center" vertical="center"/>
    </xf>
    <xf numFmtId="0" fontId="18" fillId="11" borderId="72" xfId="0" applyFont="1" applyFill="1" applyBorder="1" applyAlignment="1">
      <alignment vertical="center"/>
    </xf>
    <xf numFmtId="168" fontId="16" fillId="11" borderId="113" xfId="1" applyNumberFormat="1" applyFont="1" applyFill="1" applyBorder="1" applyAlignment="1">
      <alignment vertical="center" wrapText="1"/>
    </xf>
    <xf numFmtId="168" fontId="16" fillId="11" borderId="72" xfId="1" applyNumberFormat="1" applyFont="1" applyFill="1" applyBorder="1" applyAlignment="1">
      <alignment vertical="center" wrapText="1"/>
    </xf>
    <xf numFmtId="168" fontId="16" fillId="11" borderId="114" xfId="1" applyNumberFormat="1" applyFont="1" applyFill="1" applyBorder="1" applyAlignment="1">
      <alignment vertical="center" wrapText="1"/>
    </xf>
    <xf numFmtId="168" fontId="16" fillId="11" borderId="115" xfId="1" applyNumberFormat="1" applyFont="1" applyFill="1" applyBorder="1" applyAlignment="1">
      <alignment vertical="center" wrapText="1"/>
    </xf>
    <xf numFmtId="168" fontId="16" fillId="11" borderId="116" xfId="1" applyNumberFormat="1" applyFont="1" applyFill="1" applyBorder="1" applyAlignment="1">
      <alignment vertical="center" wrapText="1"/>
    </xf>
    <xf numFmtId="10" fontId="16" fillId="11" borderId="117" xfId="3" applyNumberFormat="1" applyFont="1" applyFill="1" applyBorder="1" applyAlignment="1">
      <alignment horizontal="center" vertical="center"/>
    </xf>
    <xf numFmtId="168" fontId="16" fillId="11" borderId="72" xfId="1" applyNumberFormat="1" applyFont="1" applyFill="1" applyBorder="1" applyAlignment="1">
      <alignment vertical="center"/>
    </xf>
    <xf numFmtId="0" fontId="13" fillId="11" borderId="104" xfId="0" applyFont="1" applyFill="1" applyBorder="1" applyAlignment="1">
      <alignment horizontal="center" vertical="center"/>
    </xf>
    <xf numFmtId="0" fontId="18" fillId="11" borderId="29" xfId="0" applyFont="1" applyFill="1" applyBorder="1" applyAlignment="1">
      <alignment vertical="center"/>
    </xf>
    <xf numFmtId="168" fontId="16" fillId="11" borderId="105" xfId="1" applyNumberFormat="1" applyFont="1" applyFill="1" applyBorder="1" applyAlignment="1">
      <alignment vertical="center" wrapText="1"/>
    </xf>
    <xf numFmtId="168" fontId="16" fillId="11" borderId="29" xfId="1" applyNumberFormat="1" applyFont="1" applyFill="1" applyBorder="1" applyAlignment="1">
      <alignment vertical="center" wrapText="1"/>
    </xf>
    <xf numFmtId="168" fontId="16" fillId="11" borderId="66" xfId="1" applyNumberFormat="1" applyFont="1" applyFill="1" applyBorder="1" applyAlignment="1">
      <alignment vertical="center" wrapText="1"/>
    </xf>
    <xf numFmtId="168" fontId="16" fillId="11" borderId="107" xfId="1" applyNumberFormat="1" applyFont="1" applyFill="1" applyBorder="1" applyAlignment="1">
      <alignment vertical="center" wrapText="1"/>
    </xf>
    <xf numFmtId="10" fontId="16" fillId="11" borderId="105" xfId="3" applyNumberFormat="1" applyFont="1" applyFill="1" applyBorder="1" applyAlignment="1">
      <alignment horizontal="center" vertical="center"/>
    </xf>
    <xf numFmtId="168" fontId="16" fillId="11" borderId="29" xfId="1" applyNumberFormat="1" applyFont="1" applyFill="1" applyBorder="1" applyAlignment="1">
      <alignment vertical="center"/>
    </xf>
    <xf numFmtId="0" fontId="13" fillId="11" borderId="58" xfId="0" applyFont="1" applyFill="1" applyBorder="1" applyAlignment="1">
      <alignment horizontal="center" vertical="center"/>
    </xf>
    <xf numFmtId="0" fontId="18" fillId="11" borderId="17" xfId="0" applyFont="1" applyFill="1" applyBorder="1" applyAlignment="1">
      <alignment vertical="center"/>
    </xf>
    <xf numFmtId="168" fontId="16" fillId="11" borderId="39" xfId="1" applyNumberFormat="1" applyFont="1" applyFill="1" applyBorder="1" applyAlignment="1">
      <alignment vertical="center" wrapText="1"/>
    </xf>
    <xf numFmtId="168" fontId="16" fillId="11" borderId="67" xfId="1" applyNumberFormat="1" applyFont="1" applyFill="1" applyBorder="1" applyAlignment="1">
      <alignment vertical="center" wrapText="1"/>
    </xf>
    <xf numFmtId="10" fontId="18" fillId="14" borderId="38" xfId="3" applyNumberFormat="1" applyFont="1" applyFill="1" applyBorder="1" applyAlignment="1">
      <alignment horizontal="center" vertical="center" wrapText="1"/>
    </xf>
    <xf numFmtId="10" fontId="16" fillId="15" borderId="55" xfId="3" applyNumberFormat="1" applyFont="1" applyFill="1" applyBorder="1" applyAlignment="1">
      <alignment horizontal="center" vertical="center"/>
    </xf>
    <xf numFmtId="168" fontId="16" fillId="15" borderId="29" xfId="1" applyNumberFormat="1" applyFont="1" applyFill="1" applyBorder="1" applyAlignment="1">
      <alignment vertical="center"/>
    </xf>
    <xf numFmtId="168" fontId="16" fillId="15" borderId="17" xfId="1" applyNumberFormat="1" applyFont="1" applyFill="1" applyBorder="1" applyAlignment="1">
      <alignment vertical="center"/>
    </xf>
    <xf numFmtId="168" fontId="16" fillId="15" borderId="31" xfId="1" applyNumberFormat="1" applyFont="1" applyFill="1" applyBorder="1" applyAlignment="1">
      <alignment vertical="center"/>
    </xf>
    <xf numFmtId="168" fontId="18" fillId="14" borderId="26" xfId="1" applyNumberFormat="1" applyFont="1" applyFill="1" applyBorder="1" applyAlignment="1">
      <alignment vertical="center" wrapText="1"/>
    </xf>
    <xf numFmtId="10" fontId="16" fillId="15" borderId="36" xfId="3" applyNumberFormat="1" applyFont="1" applyFill="1" applyBorder="1" applyAlignment="1">
      <alignment horizontal="center" vertical="center"/>
    </xf>
    <xf numFmtId="0" fontId="16" fillId="15" borderId="56" xfId="0" applyFont="1" applyFill="1" applyBorder="1" applyAlignment="1">
      <alignment horizontal="center" vertical="center"/>
    </xf>
    <xf numFmtId="0" fontId="16" fillId="15" borderId="72" xfId="0" applyFont="1" applyFill="1" applyBorder="1" applyAlignment="1">
      <alignment horizontal="center" vertical="center" wrapText="1"/>
    </xf>
    <xf numFmtId="0" fontId="16" fillId="15" borderId="72" xfId="0" applyFont="1" applyFill="1" applyBorder="1" applyAlignment="1">
      <alignment horizontal="left" vertical="center" wrapText="1"/>
    </xf>
    <xf numFmtId="168" fontId="16" fillId="15" borderId="72" xfId="1" applyNumberFormat="1" applyFont="1" applyFill="1" applyBorder="1" applyAlignment="1">
      <alignment vertical="center" wrapText="1"/>
    </xf>
    <xf numFmtId="168" fontId="16" fillId="15" borderId="114" xfId="1" applyNumberFormat="1" applyFont="1" applyFill="1" applyBorder="1" applyAlignment="1">
      <alignment vertical="center" wrapText="1"/>
    </xf>
    <xf numFmtId="168" fontId="16" fillId="15" borderId="118" xfId="1" applyNumberFormat="1" applyFont="1" applyFill="1" applyBorder="1" applyAlignment="1">
      <alignment vertical="center" wrapText="1"/>
    </xf>
    <xf numFmtId="10" fontId="16" fillId="15" borderId="113" xfId="3" applyNumberFormat="1" applyFont="1" applyFill="1" applyBorder="1" applyAlignment="1">
      <alignment horizontal="center" vertical="center"/>
    </xf>
    <xf numFmtId="168" fontId="16" fillId="15" borderId="72" xfId="1" applyNumberFormat="1" applyFont="1" applyFill="1" applyBorder="1" applyAlignment="1">
      <alignment vertical="center"/>
    </xf>
    <xf numFmtId="0" fontId="16" fillId="15" borderId="28" xfId="0" applyFont="1" applyFill="1" applyBorder="1" applyAlignment="1">
      <alignment horizontal="center" vertical="center"/>
    </xf>
    <xf numFmtId="0" fontId="16" fillId="15" borderId="29" xfId="0" applyFont="1" applyFill="1" applyBorder="1" applyAlignment="1">
      <alignment horizontal="center" vertical="center" wrapText="1"/>
    </xf>
    <xf numFmtId="0" fontId="16" fillId="15" borderId="29" xfId="0" applyFont="1" applyFill="1" applyBorder="1" applyAlignment="1">
      <alignment horizontal="left" vertical="center" wrapText="1"/>
    </xf>
    <xf numFmtId="169" fontId="15" fillId="9" borderId="119" xfId="0" applyNumberFormat="1" applyFont="1" applyFill="1" applyBorder="1" applyAlignment="1">
      <alignment vertical="center"/>
    </xf>
    <xf numFmtId="169" fontId="15" fillId="9" borderId="120" xfId="0" applyNumberFormat="1" applyFont="1" applyFill="1" applyBorder="1" applyAlignment="1">
      <alignment vertical="center"/>
    </xf>
    <xf numFmtId="169" fontId="15" fillId="9" borderId="121" xfId="0" applyNumberFormat="1" applyFont="1" applyFill="1" applyBorder="1" applyAlignment="1">
      <alignment vertical="center"/>
    </xf>
    <xf numFmtId="168" fontId="15" fillId="2" borderId="119" xfId="1" applyNumberFormat="1" applyFont="1" applyFill="1" applyBorder="1" applyAlignment="1">
      <alignment vertical="center"/>
    </xf>
    <xf numFmtId="168" fontId="15" fillId="2" borderId="120" xfId="1" applyNumberFormat="1" applyFont="1" applyFill="1" applyBorder="1" applyAlignment="1">
      <alignment vertical="center"/>
    </xf>
    <xf numFmtId="168" fontId="15" fillId="2" borderId="121" xfId="1" applyNumberFormat="1" applyFont="1" applyFill="1" applyBorder="1" applyAlignment="1">
      <alignment vertical="center"/>
    </xf>
    <xf numFmtId="168" fontId="15" fillId="13" borderId="119" xfId="1" applyNumberFormat="1" applyFont="1" applyFill="1" applyBorder="1" applyAlignment="1">
      <alignment vertical="center"/>
    </xf>
    <xf numFmtId="168" fontId="15" fillId="13" borderId="120" xfId="1" applyNumberFormat="1" applyFont="1" applyFill="1" applyBorder="1" applyAlignment="1">
      <alignment vertical="center"/>
    </xf>
    <xf numFmtId="168" fontId="15" fillId="13" borderId="121" xfId="1" applyNumberFormat="1" applyFont="1" applyFill="1" applyBorder="1" applyAlignment="1">
      <alignment vertical="center"/>
    </xf>
    <xf numFmtId="168" fontId="15" fillId="16" borderId="119" xfId="1" applyNumberFormat="1" applyFont="1" applyFill="1" applyBorder="1" applyAlignment="1">
      <alignment vertical="center"/>
    </xf>
    <xf numFmtId="168" fontId="15" fillId="16" borderId="120" xfId="1" applyNumberFormat="1" applyFont="1" applyFill="1" applyBorder="1" applyAlignment="1">
      <alignment vertical="center"/>
    </xf>
    <xf numFmtId="168" fontId="15" fillId="16" borderId="121" xfId="1" applyNumberFormat="1" applyFont="1" applyFill="1" applyBorder="1" applyAlignment="1">
      <alignment vertical="center"/>
    </xf>
    <xf numFmtId="168" fontId="15" fillId="15" borderId="119" xfId="1" applyNumberFormat="1" applyFont="1" applyFill="1" applyBorder="1" applyAlignment="1">
      <alignment vertical="center"/>
    </xf>
    <xf numFmtId="168" fontId="15" fillId="15" borderId="122" xfId="1" applyNumberFormat="1" applyFont="1" applyFill="1" applyBorder="1" applyAlignment="1">
      <alignment vertical="center"/>
    </xf>
    <xf numFmtId="167" fontId="15" fillId="5" borderId="123" xfId="2" applyNumberFormat="1" applyFont="1" applyFill="1" applyBorder="1" applyAlignment="1">
      <alignment horizontal="center" vertical="center" wrapText="1"/>
    </xf>
    <xf numFmtId="168" fontId="15" fillId="15" borderId="123" xfId="1" applyNumberFormat="1" applyFont="1" applyFill="1" applyBorder="1" applyAlignment="1">
      <alignment vertical="center"/>
    </xf>
    <xf numFmtId="168" fontId="15" fillId="14" borderId="124" xfId="1" applyNumberFormat="1" applyFont="1" applyFill="1" applyBorder="1" applyAlignment="1">
      <alignment vertical="center"/>
    </xf>
    <xf numFmtId="168" fontId="15" fillId="14" borderId="120" xfId="1" applyNumberFormat="1" applyFont="1" applyFill="1" applyBorder="1" applyAlignment="1">
      <alignment vertical="center"/>
    </xf>
    <xf numFmtId="168" fontId="15" fillId="14" borderId="125" xfId="1" applyNumberFormat="1" applyFont="1" applyFill="1" applyBorder="1" applyAlignment="1">
      <alignment vertical="center"/>
    </xf>
    <xf numFmtId="168" fontId="15" fillId="17" borderId="119" xfId="1" applyNumberFormat="1" applyFont="1" applyFill="1" applyBorder="1" applyAlignment="1">
      <alignment vertical="center"/>
    </xf>
    <xf numFmtId="168" fontId="15" fillId="17" borderId="120" xfId="1" applyNumberFormat="1" applyFont="1" applyFill="1" applyBorder="1" applyAlignment="1">
      <alignment vertical="center"/>
    </xf>
    <xf numFmtId="168" fontId="15" fillId="17" borderId="125" xfId="1" applyNumberFormat="1" applyFont="1" applyFill="1" applyBorder="1" applyAlignment="1">
      <alignment vertical="center"/>
    </xf>
    <xf numFmtId="168" fontId="15" fillId="17" borderId="123" xfId="1" applyNumberFormat="1" applyFont="1" applyFill="1" applyBorder="1" applyAlignment="1">
      <alignment vertical="center"/>
    </xf>
    <xf numFmtId="168" fontId="15" fillId="18" borderId="119" xfId="1" applyNumberFormat="1" applyFont="1" applyFill="1" applyBorder="1" applyAlignment="1">
      <alignment vertical="center"/>
    </xf>
    <xf numFmtId="168" fontId="15" fillId="18" borderId="120" xfId="1" applyNumberFormat="1" applyFont="1" applyFill="1" applyBorder="1" applyAlignment="1">
      <alignment vertical="center"/>
    </xf>
    <xf numFmtId="168" fontId="15" fillId="11" borderId="122" xfId="1" applyNumberFormat="1" applyFont="1" applyFill="1" applyBorder="1" applyAlignment="1">
      <alignment vertical="center"/>
    </xf>
    <xf numFmtId="169" fontId="16" fillId="9" borderId="41" xfId="0" applyNumberFormat="1" applyFont="1" applyFill="1" applyBorder="1" applyAlignment="1">
      <alignment vertical="center" wrapText="1"/>
    </xf>
    <xf numFmtId="168" fontId="16" fillId="2" borderId="41" xfId="1" applyNumberFormat="1" applyFont="1" applyFill="1" applyBorder="1" applyAlignment="1">
      <alignment vertical="center" wrapText="1"/>
    </xf>
    <xf numFmtId="168" fontId="16" fillId="2" borderId="44" xfId="1" applyNumberFormat="1" applyFont="1" applyFill="1" applyBorder="1" applyAlignment="1">
      <alignment vertical="center" wrapText="1"/>
    </xf>
    <xf numFmtId="168" fontId="16" fillId="2" borderId="45" xfId="1" applyNumberFormat="1" applyFont="1" applyFill="1" applyBorder="1" applyAlignment="1">
      <alignment vertical="center" wrapText="1"/>
    </xf>
    <xf numFmtId="168" fontId="16" fillId="13" borderId="41" xfId="1" applyNumberFormat="1" applyFont="1" applyFill="1" applyBorder="1" applyAlignment="1">
      <alignment vertical="center" wrapText="1"/>
    </xf>
    <xf numFmtId="168" fontId="16" fillId="13" borderId="44" xfId="1" applyNumberFormat="1" applyFont="1" applyFill="1" applyBorder="1" applyAlignment="1">
      <alignment vertical="center" wrapText="1"/>
    </xf>
    <xf numFmtId="168" fontId="16" fillId="13" borderId="45" xfId="1" applyNumberFormat="1" applyFont="1" applyFill="1" applyBorder="1" applyAlignment="1">
      <alignment vertical="center" wrapText="1"/>
    </xf>
    <xf numFmtId="168" fontId="16" fillId="16" borderId="41" xfId="1" applyNumberFormat="1" applyFont="1" applyFill="1" applyBorder="1" applyAlignment="1">
      <alignment vertical="center" wrapText="1"/>
    </xf>
    <xf numFmtId="168" fontId="16" fillId="16" borderId="44" xfId="1" applyNumberFormat="1" applyFont="1" applyFill="1" applyBorder="1" applyAlignment="1">
      <alignment vertical="center" wrapText="1"/>
    </xf>
    <xf numFmtId="168" fontId="16" fillId="16" borderId="45" xfId="1" applyNumberFormat="1" applyFont="1" applyFill="1" applyBorder="1" applyAlignment="1">
      <alignment vertical="center" wrapText="1"/>
    </xf>
    <xf numFmtId="168" fontId="16" fillId="15" borderId="41" xfId="1" applyNumberFormat="1" applyFont="1" applyFill="1" applyBorder="1" applyAlignment="1">
      <alignment vertical="center" wrapText="1"/>
    </xf>
    <xf numFmtId="168" fontId="16" fillId="15" borderId="115" xfId="1" applyNumberFormat="1" applyFont="1" applyFill="1" applyBorder="1" applyAlignment="1">
      <alignment vertical="center" wrapText="1"/>
    </xf>
    <xf numFmtId="168" fontId="16" fillId="15" borderId="54" xfId="1" applyNumberFormat="1" applyFont="1" applyFill="1" applyBorder="1" applyAlignment="1">
      <alignment vertical="center" wrapText="1"/>
    </xf>
    <xf numFmtId="168" fontId="18" fillId="14" borderId="44" xfId="1" applyNumberFormat="1" applyFont="1" applyFill="1" applyBorder="1" applyAlignment="1">
      <alignment vertical="center" wrapText="1"/>
    </xf>
    <xf numFmtId="168" fontId="18" fillId="14" borderId="42" xfId="1" applyNumberFormat="1" applyFont="1" applyFill="1" applyBorder="1" applyAlignment="1">
      <alignment vertical="center" wrapText="1"/>
    </xf>
    <xf numFmtId="168" fontId="16" fillId="15" borderId="44" xfId="1" applyNumberFormat="1" applyFont="1" applyFill="1" applyBorder="1" applyAlignment="1">
      <alignment vertical="center" wrapText="1"/>
    </xf>
    <xf numFmtId="168" fontId="16" fillId="15" borderId="42" xfId="1" applyNumberFormat="1" applyFont="1" applyFill="1" applyBorder="1" applyAlignment="1">
      <alignment vertical="center" wrapText="1"/>
    </xf>
    <xf numFmtId="168" fontId="18" fillId="14" borderId="43" xfId="1" applyNumberFormat="1" applyFont="1" applyFill="1" applyBorder="1" applyAlignment="1">
      <alignment vertical="center" wrapText="1"/>
    </xf>
    <xf numFmtId="168" fontId="16" fillId="11" borderId="41" xfId="1" applyNumberFormat="1" applyFont="1" applyFill="1" applyBorder="1" applyAlignment="1">
      <alignment vertical="center" wrapText="1"/>
    </xf>
    <xf numFmtId="168" fontId="16" fillId="11" borderId="44" xfId="1" applyNumberFormat="1" applyFont="1" applyFill="1" applyBorder="1" applyAlignment="1">
      <alignment vertical="center" wrapText="1"/>
    </xf>
    <xf numFmtId="0" fontId="13" fillId="14" borderId="85" xfId="0" applyFont="1" applyFill="1" applyBorder="1" applyAlignment="1">
      <alignment horizontal="center" vertical="center"/>
    </xf>
    <xf numFmtId="0" fontId="18" fillId="14" borderId="83" xfId="0" applyFont="1" applyFill="1" applyBorder="1" applyAlignment="1">
      <alignment vertical="center" wrapText="1"/>
    </xf>
    <xf numFmtId="168" fontId="16" fillId="14" borderId="86" xfId="1" applyNumberFormat="1" applyFont="1" applyFill="1" applyBorder="1" applyAlignment="1">
      <alignment vertical="center" wrapText="1"/>
    </xf>
    <xf numFmtId="168" fontId="16" fillId="14" borderId="83" xfId="1" applyNumberFormat="1" applyFont="1" applyFill="1" applyBorder="1" applyAlignment="1">
      <alignment vertical="center" wrapText="1"/>
    </xf>
    <xf numFmtId="168" fontId="16" fillId="14" borderId="87" xfId="1" applyNumberFormat="1" applyFont="1" applyFill="1" applyBorder="1" applyAlignment="1">
      <alignment vertical="center" wrapText="1"/>
    </xf>
    <xf numFmtId="168" fontId="16" fillId="14" borderId="10" xfId="1" applyNumberFormat="1" applyFont="1" applyFill="1" applyBorder="1" applyAlignment="1">
      <alignment vertical="center" wrapText="1"/>
    </xf>
    <xf numFmtId="10" fontId="18" fillId="14" borderId="86" xfId="3" applyNumberFormat="1" applyFont="1" applyFill="1" applyBorder="1" applyAlignment="1">
      <alignment horizontal="center" vertical="center" wrapText="1"/>
    </xf>
    <xf numFmtId="168" fontId="18" fillId="14" borderId="83" xfId="1" applyNumberFormat="1" applyFont="1" applyFill="1" applyBorder="1" applyAlignment="1">
      <alignment vertical="center" wrapText="1"/>
    </xf>
    <xf numFmtId="168" fontId="18" fillId="14" borderId="88" xfId="1" applyNumberFormat="1" applyFont="1" applyFill="1" applyBorder="1" applyAlignment="1">
      <alignment vertical="center" wrapText="1"/>
    </xf>
    <xf numFmtId="10" fontId="16" fillId="8" borderId="0" xfId="3" applyNumberFormat="1" applyFont="1" applyFill="1"/>
    <xf numFmtId="168" fontId="16" fillId="8" borderId="0" xfId="1" applyNumberFormat="1" applyFont="1" applyFill="1"/>
    <xf numFmtId="0" fontId="13" fillId="14" borderId="126" xfId="0" applyFont="1" applyFill="1" applyBorder="1" applyAlignment="1">
      <alignment horizontal="center" vertical="center"/>
    </xf>
    <xf numFmtId="0" fontId="18" fillId="14" borderId="33" xfId="0" applyFont="1" applyFill="1" applyBorder="1" applyAlignment="1">
      <alignment vertical="center" wrapText="1"/>
    </xf>
    <xf numFmtId="168" fontId="16" fillId="14" borderId="37" xfId="1" applyNumberFormat="1" applyFont="1" applyFill="1" applyBorder="1" applyAlignment="1">
      <alignment vertical="center" wrapText="1"/>
    </xf>
    <xf numFmtId="168" fontId="16" fillId="14" borderId="33" xfId="1" applyNumberFormat="1" applyFont="1" applyFill="1" applyBorder="1" applyAlignment="1">
      <alignment vertical="center" wrapText="1"/>
    </xf>
    <xf numFmtId="168" fontId="16" fillId="14" borderId="127" xfId="1" applyNumberFormat="1" applyFont="1" applyFill="1" applyBorder="1" applyAlignment="1">
      <alignment vertical="center" wrapText="1"/>
    </xf>
    <xf numFmtId="168" fontId="16" fillId="14" borderId="2" xfId="1" applyNumberFormat="1" applyFont="1" applyFill="1" applyBorder="1" applyAlignment="1">
      <alignment vertical="center" wrapText="1"/>
    </xf>
    <xf numFmtId="10" fontId="18" fillId="14" borderId="37" xfId="3" applyNumberFormat="1" applyFont="1" applyFill="1" applyBorder="1" applyAlignment="1">
      <alignment horizontal="center" vertical="center" wrapText="1"/>
    </xf>
    <xf numFmtId="168" fontId="18" fillId="14" borderId="33" xfId="1" applyNumberFormat="1" applyFont="1" applyFill="1" applyBorder="1" applyAlignment="1">
      <alignment vertical="center" wrapText="1"/>
    </xf>
    <xf numFmtId="168" fontId="18" fillId="14" borderId="128" xfId="1" applyNumberFormat="1" applyFont="1" applyFill="1" applyBorder="1" applyAlignment="1">
      <alignment vertical="center" wrapText="1"/>
    </xf>
    <xf numFmtId="168" fontId="15" fillId="14" borderId="129" xfId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 vertical="center"/>
    </xf>
    <xf numFmtId="0" fontId="18" fillId="14" borderId="29" xfId="0" applyFont="1" applyFill="1" applyBorder="1" applyAlignment="1">
      <alignment vertical="center" wrapText="1"/>
    </xf>
    <xf numFmtId="168" fontId="16" fillId="14" borderId="105" xfId="1" applyNumberFormat="1" applyFont="1" applyFill="1" applyBorder="1" applyAlignment="1">
      <alignment vertical="center" wrapText="1"/>
    </xf>
    <xf numFmtId="168" fontId="16" fillId="14" borderId="29" xfId="1" applyNumberFormat="1" applyFont="1" applyFill="1" applyBorder="1" applyAlignment="1">
      <alignment vertical="center" wrapText="1"/>
    </xf>
    <xf numFmtId="168" fontId="16" fillId="14" borderId="66" xfId="1" applyNumberFormat="1" applyFont="1" applyFill="1" applyBorder="1" applyAlignment="1">
      <alignment vertical="center" wrapText="1"/>
    </xf>
    <xf numFmtId="168" fontId="16" fillId="14" borderId="107" xfId="1" applyNumberFormat="1" applyFont="1" applyFill="1" applyBorder="1" applyAlignment="1">
      <alignment vertical="center" wrapText="1"/>
    </xf>
    <xf numFmtId="10" fontId="18" fillId="14" borderId="105" xfId="3" applyNumberFormat="1" applyFont="1" applyFill="1" applyBorder="1" applyAlignment="1">
      <alignment horizontal="center" vertical="center" wrapText="1"/>
    </xf>
    <xf numFmtId="168" fontId="18" fillId="14" borderId="29" xfId="1" applyNumberFormat="1" applyFont="1" applyFill="1" applyBorder="1" applyAlignment="1">
      <alignment vertical="center" wrapText="1"/>
    </xf>
    <xf numFmtId="168" fontId="18" fillId="14" borderId="41" xfId="1" applyNumberFormat="1" applyFont="1" applyFill="1" applyBorder="1" applyAlignment="1">
      <alignment vertical="center" wrapText="1"/>
    </xf>
    <xf numFmtId="168" fontId="15" fillId="14" borderId="119" xfId="1" applyNumberFormat="1" applyFont="1" applyFill="1" applyBorder="1" applyAlignment="1">
      <alignment vertical="center"/>
    </xf>
    <xf numFmtId="0" fontId="12" fillId="8" borderId="0" xfId="0" applyFont="1" applyFill="1" applyBorder="1" applyAlignment="1">
      <alignment horizontal="center" vertical="center" wrapText="1"/>
    </xf>
    <xf numFmtId="167" fontId="15" fillId="5" borderId="1" xfId="2" applyNumberFormat="1" applyFont="1" applyFill="1" applyBorder="1" applyAlignment="1">
      <alignment horizontal="center" vertical="center" wrapText="1"/>
    </xf>
    <xf numFmtId="167" fontId="15" fillId="5" borderId="3" xfId="2" applyNumberFormat="1" applyFont="1" applyFill="1" applyBorder="1" applyAlignment="1">
      <alignment horizontal="center" vertical="center" wrapText="1"/>
    </xf>
    <xf numFmtId="168" fontId="13" fillId="8" borderId="0" xfId="1" applyNumberFormat="1" applyFont="1" applyFill="1"/>
    <xf numFmtId="168" fontId="16" fillId="0" borderId="0" xfId="1" applyNumberFormat="1" applyFont="1" applyFill="1"/>
    <xf numFmtId="168" fontId="16" fillId="8" borderId="0" xfId="1" applyNumberFormat="1" applyFont="1" applyFill="1" applyBorder="1"/>
    <xf numFmtId="9" fontId="13" fillId="8" borderId="0" xfId="3" applyFont="1" applyFill="1" applyAlignment="1">
      <alignment vertical="center"/>
    </xf>
    <xf numFmtId="168" fontId="13" fillId="8" borderId="0" xfId="1" applyNumberFormat="1" applyFont="1" applyFill="1" applyAlignment="1">
      <alignment vertical="center"/>
    </xf>
    <xf numFmtId="0" fontId="12" fillId="8" borderId="0" xfId="0" applyFont="1" applyFill="1" applyBorder="1" applyAlignment="1">
      <alignment horizontal="center" vertical="center" wrapText="1"/>
    </xf>
    <xf numFmtId="167" fontId="15" fillId="5" borderId="1" xfId="2" applyNumberFormat="1" applyFont="1" applyFill="1" applyBorder="1" applyAlignment="1">
      <alignment horizontal="center" vertical="center" wrapText="1"/>
    </xf>
    <xf numFmtId="167" fontId="15" fillId="5" borderId="3" xfId="2" applyNumberFormat="1" applyFont="1" applyFill="1" applyBorder="1" applyAlignment="1">
      <alignment horizontal="center" vertical="center" wrapText="1"/>
    </xf>
    <xf numFmtId="168" fontId="16" fillId="15" borderId="45" xfId="1" applyNumberFormat="1" applyFont="1" applyFill="1" applyBorder="1" applyAlignment="1">
      <alignment vertical="center" wrapText="1"/>
    </xf>
    <xf numFmtId="169" fontId="15" fillId="9" borderId="130" xfId="0" applyNumberFormat="1" applyFont="1" applyFill="1" applyBorder="1" applyAlignment="1">
      <alignment vertical="center"/>
    </xf>
    <xf numFmtId="0" fontId="16" fillId="19" borderId="28" xfId="0" applyFont="1" applyFill="1" applyBorder="1" applyAlignment="1">
      <alignment horizontal="center" vertical="center"/>
    </xf>
    <xf numFmtId="0" fontId="16" fillId="19" borderId="29" xfId="0" applyFont="1" applyFill="1" applyBorder="1" applyAlignment="1">
      <alignment horizontal="center" vertical="center" wrapText="1"/>
    </xf>
    <xf numFmtId="0" fontId="16" fillId="19" borderId="29" xfId="0" applyFont="1" applyFill="1" applyBorder="1" applyAlignment="1">
      <alignment horizontal="left" vertical="center" wrapText="1"/>
    </xf>
    <xf numFmtId="168" fontId="16" fillId="19" borderId="29" xfId="1" applyNumberFormat="1" applyFont="1" applyFill="1" applyBorder="1" applyAlignment="1">
      <alignment vertical="center" wrapText="1"/>
    </xf>
    <xf numFmtId="168" fontId="16" fillId="19" borderId="66" xfId="1" applyNumberFormat="1" applyFont="1" applyFill="1" applyBorder="1" applyAlignment="1">
      <alignment vertical="center" wrapText="1"/>
    </xf>
    <xf numFmtId="168" fontId="16" fillId="19" borderId="107" xfId="1" applyNumberFormat="1" applyFont="1" applyFill="1" applyBorder="1" applyAlignment="1">
      <alignment vertical="center" wrapText="1"/>
    </xf>
    <xf numFmtId="10" fontId="16" fillId="19" borderId="105" xfId="3" applyNumberFormat="1" applyFont="1" applyFill="1" applyBorder="1" applyAlignment="1">
      <alignment horizontal="center" vertical="center"/>
    </xf>
    <xf numFmtId="168" fontId="16" fillId="19" borderId="29" xfId="1" applyNumberFormat="1" applyFont="1" applyFill="1" applyBorder="1" applyAlignment="1">
      <alignment vertical="center"/>
    </xf>
    <xf numFmtId="168" fontId="16" fillId="19" borderId="41" xfId="1" applyNumberFormat="1" applyFont="1" applyFill="1" applyBorder="1" applyAlignment="1">
      <alignment vertical="center" wrapText="1"/>
    </xf>
    <xf numFmtId="0" fontId="16" fillId="19" borderId="16" xfId="0" applyFont="1" applyFill="1" applyBorder="1" applyAlignment="1">
      <alignment horizontal="center" vertical="center"/>
    </xf>
    <xf numFmtId="0" fontId="16" fillId="19" borderId="17" xfId="0" applyFont="1" applyFill="1" applyBorder="1" applyAlignment="1">
      <alignment horizontal="center" vertical="center"/>
    </xf>
    <xf numFmtId="0" fontId="17" fillId="19" borderId="17" xfId="4" applyFont="1" applyFill="1" applyBorder="1" applyAlignment="1">
      <alignment horizontal="left" vertical="center" wrapText="1"/>
    </xf>
    <xf numFmtId="168" fontId="16" fillId="19" borderId="17" xfId="1" applyNumberFormat="1" applyFont="1" applyFill="1" applyBorder="1" applyAlignment="1">
      <alignment vertical="center" wrapText="1"/>
    </xf>
    <xf numFmtId="168" fontId="16" fillId="19" borderId="67" xfId="1" applyNumberFormat="1" applyFont="1" applyFill="1" applyBorder="1" applyAlignment="1">
      <alignment vertical="center" wrapText="1"/>
    </xf>
    <xf numFmtId="168" fontId="16" fillId="19" borderId="108" xfId="1" applyNumberFormat="1" applyFont="1" applyFill="1" applyBorder="1" applyAlignment="1">
      <alignment vertical="center" wrapText="1"/>
    </xf>
    <xf numFmtId="10" fontId="16" fillId="19" borderId="39" xfId="3" applyNumberFormat="1" applyFont="1" applyFill="1" applyBorder="1" applyAlignment="1">
      <alignment horizontal="center" vertical="center"/>
    </xf>
    <xf numFmtId="168" fontId="16" fillId="19" borderId="17" xfId="1" applyNumberFormat="1" applyFont="1" applyFill="1" applyBorder="1" applyAlignment="1">
      <alignment vertical="center"/>
    </xf>
    <xf numFmtId="168" fontId="16" fillId="19" borderId="44" xfId="1" applyNumberFormat="1" applyFont="1" applyFill="1" applyBorder="1" applyAlignment="1">
      <alignment vertical="center" wrapText="1"/>
    </xf>
    <xf numFmtId="0" fontId="16" fillId="19" borderId="17" xfId="0" applyFont="1" applyFill="1" applyBorder="1" applyAlignment="1">
      <alignment horizontal="center" vertical="center" wrapText="1"/>
    </xf>
    <xf numFmtId="0" fontId="16" fillId="19" borderId="17" xfId="0" applyFont="1" applyFill="1" applyBorder="1" applyAlignment="1">
      <alignment horizontal="left" vertical="center" wrapText="1"/>
    </xf>
    <xf numFmtId="0" fontId="16" fillId="19" borderId="19" xfId="0" applyFont="1" applyFill="1" applyBorder="1" applyAlignment="1">
      <alignment horizontal="center" vertical="center"/>
    </xf>
    <xf numFmtId="0" fontId="16" fillId="19" borderId="20" xfId="0" applyFont="1" applyFill="1" applyBorder="1" applyAlignment="1">
      <alignment horizontal="center" vertical="center" wrapText="1"/>
    </xf>
    <xf numFmtId="0" fontId="16" fillId="19" borderId="20" xfId="0" applyFont="1" applyFill="1" applyBorder="1" applyAlignment="1">
      <alignment horizontal="left" vertical="center" wrapText="1"/>
    </xf>
    <xf numFmtId="168" fontId="16" fillId="19" borderId="20" xfId="1" applyNumberFormat="1" applyFont="1" applyFill="1" applyBorder="1" applyAlignment="1">
      <alignment vertical="center" wrapText="1"/>
    </xf>
    <xf numFmtId="168" fontId="16" fillId="19" borderId="68" xfId="1" applyNumberFormat="1" applyFont="1" applyFill="1" applyBorder="1" applyAlignment="1">
      <alignment vertical="center" wrapText="1"/>
    </xf>
    <xf numFmtId="168" fontId="16" fillId="19" borderId="109" xfId="1" applyNumberFormat="1" applyFont="1" applyFill="1" applyBorder="1" applyAlignment="1">
      <alignment vertical="center" wrapText="1"/>
    </xf>
    <xf numFmtId="10" fontId="16" fillId="19" borderId="40" xfId="3" applyNumberFormat="1" applyFont="1" applyFill="1" applyBorder="1" applyAlignment="1">
      <alignment horizontal="center" vertical="center"/>
    </xf>
    <xf numFmtId="168" fontId="16" fillId="19" borderId="20" xfId="1" applyNumberFormat="1" applyFont="1" applyFill="1" applyBorder="1" applyAlignment="1">
      <alignment vertical="center"/>
    </xf>
    <xf numFmtId="168" fontId="16" fillId="19" borderId="45" xfId="1" applyNumberFormat="1" applyFont="1" applyFill="1" applyBorder="1" applyAlignment="1">
      <alignment vertical="center" wrapText="1"/>
    </xf>
    <xf numFmtId="0" fontId="18" fillId="11" borderId="72" xfId="0" applyFont="1" applyFill="1" applyBorder="1" applyAlignment="1">
      <alignment vertical="center" wrapText="1"/>
    </xf>
    <xf numFmtId="168" fontId="16" fillId="11" borderId="109" xfId="1" applyNumberFormat="1" applyFont="1" applyFill="1" applyBorder="1" applyAlignment="1">
      <alignment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5" fillId="23" borderId="10" xfId="0" applyFont="1" applyFill="1" applyBorder="1" applyAlignment="1">
      <alignment horizontal="center" wrapText="1"/>
    </xf>
    <xf numFmtId="0" fontId="26" fillId="23" borderId="11" xfId="0" applyFont="1" applyFill="1" applyBorder="1" applyAlignment="1">
      <alignment horizontal="center" vertical="top" wrapText="1"/>
    </xf>
    <xf numFmtId="0" fontId="26" fillId="23" borderId="12" xfId="0" applyFont="1" applyFill="1" applyBorder="1" applyAlignment="1">
      <alignment horizontal="center" vertical="top" wrapText="1"/>
    </xf>
    <xf numFmtId="0" fontId="25" fillId="0" borderId="10" xfId="0" applyFont="1" applyBorder="1" applyAlignment="1">
      <alignment horizontal="center" wrapText="1"/>
    </xf>
    <xf numFmtId="0" fontId="26" fillId="0" borderId="11" xfId="0" applyFont="1" applyBorder="1" applyAlignment="1">
      <alignment horizontal="center" vertical="top" wrapText="1"/>
    </xf>
    <xf numFmtId="0" fontId="26" fillId="0" borderId="12" xfId="0" applyFont="1" applyBorder="1" applyAlignment="1">
      <alignment horizontal="center" vertical="top" wrapText="1"/>
    </xf>
    <xf numFmtId="0" fontId="24" fillId="0" borderId="2" xfId="0" applyFont="1" applyBorder="1" applyAlignment="1">
      <alignment horizontal="center" wrapText="1"/>
    </xf>
    <xf numFmtId="0" fontId="27" fillId="0" borderId="13" xfId="0" applyFont="1" applyBorder="1" applyAlignment="1">
      <alignment horizontal="center" vertical="top" wrapText="1"/>
    </xf>
    <xf numFmtId="0" fontId="27" fillId="0" borderId="14" xfId="0" applyFont="1" applyBorder="1" applyAlignment="1">
      <alignment horizontal="center" vertical="top" wrapText="1"/>
    </xf>
    <xf numFmtId="0" fontId="27" fillId="0" borderId="15" xfId="0" applyFont="1" applyBorder="1" applyAlignment="1">
      <alignment horizontal="center" vertical="top" wrapText="1"/>
    </xf>
    <xf numFmtId="0" fontId="25" fillId="0" borderId="0" xfId="0" applyFont="1" applyAlignment="1">
      <alignment horizontal="center" wrapText="1"/>
    </xf>
    <xf numFmtId="0" fontId="29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6" fillId="23" borderId="0" xfId="0" applyFont="1" applyFill="1" applyBorder="1" applyAlignment="1">
      <alignment horizontal="center" vertical="top" wrapText="1"/>
    </xf>
    <xf numFmtId="0" fontId="26" fillId="0" borderId="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5" fillId="0" borderId="3" xfId="3" applyNumberFormat="1" applyFont="1" applyBorder="1" applyAlignment="1">
      <alignment horizontal="center" vertical="center"/>
    </xf>
    <xf numFmtId="165" fontId="5" fillId="0" borderId="4" xfId="3" applyNumberFormat="1" applyFont="1" applyBorder="1" applyAlignment="1">
      <alignment horizontal="center" vertical="center"/>
    </xf>
    <xf numFmtId="165" fontId="5" fillId="0" borderId="5" xfId="3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6" xfId="5" applyFill="1" applyBorder="1" applyAlignment="1">
      <alignment horizontal="center" vertical="center"/>
    </xf>
    <xf numFmtId="0" fontId="11" fillId="0" borderId="10" xfId="5" applyFill="1" applyBorder="1" applyAlignment="1">
      <alignment horizontal="center" vertical="center"/>
    </xf>
    <xf numFmtId="0" fontId="11" fillId="0" borderId="2" xfId="5" applyFill="1" applyBorder="1" applyAlignment="1">
      <alignment horizontal="center" vertical="center"/>
    </xf>
    <xf numFmtId="0" fontId="11" fillId="0" borderId="7" xfId="5" applyFill="1" applyBorder="1" applyAlignment="1">
      <alignment horizontal="left" vertical="center" wrapText="1"/>
    </xf>
    <xf numFmtId="0" fontId="11" fillId="0" borderId="8" xfId="5" applyFill="1" applyBorder="1" applyAlignment="1">
      <alignment horizontal="left" vertical="center" wrapText="1"/>
    </xf>
    <xf numFmtId="0" fontId="11" fillId="0" borderId="9" xfId="5" applyFill="1" applyBorder="1" applyAlignment="1">
      <alignment horizontal="left" vertical="center" wrapText="1"/>
    </xf>
    <xf numFmtId="0" fontId="11" fillId="0" borderId="11" xfId="5" applyFill="1" applyBorder="1" applyAlignment="1">
      <alignment horizontal="left" vertical="center" wrapText="1"/>
    </xf>
    <xf numFmtId="0" fontId="11" fillId="0" borderId="0" xfId="5" applyFill="1" applyBorder="1" applyAlignment="1">
      <alignment horizontal="left" vertical="center" wrapText="1"/>
    </xf>
    <xf numFmtId="0" fontId="11" fillId="0" borderId="12" xfId="5" applyFill="1" applyBorder="1" applyAlignment="1">
      <alignment horizontal="left" vertical="center" wrapText="1"/>
    </xf>
    <xf numFmtId="0" fontId="11" fillId="0" borderId="13" xfId="5" applyFill="1" applyBorder="1" applyAlignment="1">
      <alignment horizontal="left" vertical="center" wrapText="1"/>
    </xf>
    <xf numFmtId="0" fontId="11" fillId="0" borderId="14" xfId="5" applyFill="1" applyBorder="1" applyAlignment="1">
      <alignment horizontal="left" vertical="center" wrapText="1"/>
    </xf>
    <xf numFmtId="0" fontId="11" fillId="0" borderId="15" xfId="5" applyFill="1" applyBorder="1" applyAlignment="1">
      <alignment horizontal="left" vertical="center" wrapText="1"/>
    </xf>
    <xf numFmtId="0" fontId="11" fillId="0" borderId="3" xfId="5" applyFill="1" applyBorder="1" applyAlignment="1">
      <alignment horizontal="left" vertical="center" wrapText="1"/>
    </xf>
    <xf numFmtId="0" fontId="11" fillId="0" borderId="4" xfId="5" applyFill="1" applyBorder="1" applyAlignment="1">
      <alignment horizontal="left" vertical="center" wrapText="1"/>
    </xf>
    <xf numFmtId="0" fontId="11" fillId="0" borderId="5" xfId="5" applyFill="1" applyBorder="1" applyAlignment="1">
      <alignment horizontal="left" vertical="center" wrapText="1"/>
    </xf>
    <xf numFmtId="9" fontId="11" fillId="0" borderId="3" xfId="5" applyNumberFormat="1" applyFill="1" applyBorder="1" applyAlignment="1">
      <alignment horizontal="left" vertical="center" wrapText="1"/>
    </xf>
    <xf numFmtId="9" fontId="11" fillId="0" borderId="4" xfId="5" applyNumberFormat="1" applyFill="1" applyBorder="1" applyAlignment="1">
      <alignment horizontal="left" vertical="center" wrapText="1"/>
    </xf>
    <xf numFmtId="9" fontId="11" fillId="0" borderId="5" xfId="5" applyNumberFormat="1" applyFill="1" applyBorder="1" applyAlignment="1">
      <alignment horizontal="left" vertical="center" wrapText="1"/>
    </xf>
    <xf numFmtId="165" fontId="5" fillId="0" borderId="3" xfId="3" applyNumberFormat="1" applyFont="1" applyBorder="1" applyAlignment="1">
      <alignment horizontal="left" vertical="center"/>
    </xf>
    <xf numFmtId="165" fontId="5" fillId="0" borderId="4" xfId="3" applyNumberFormat="1" applyFont="1" applyBorder="1" applyAlignment="1">
      <alignment horizontal="left" vertical="center"/>
    </xf>
    <xf numFmtId="165" fontId="5" fillId="0" borderId="5" xfId="3" applyNumberFormat="1" applyFont="1" applyBorder="1" applyAlignment="1">
      <alignment horizontal="left" vertical="center"/>
    </xf>
    <xf numFmtId="167" fontId="2" fillId="4" borderId="6" xfId="2" applyNumberFormat="1" applyFont="1" applyFill="1" applyBorder="1" applyAlignment="1">
      <alignment horizontal="center" vertical="center" wrapText="1"/>
    </xf>
    <xf numFmtId="167" fontId="2" fillId="4" borderId="2" xfId="2" applyNumberFormat="1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5" fillId="8" borderId="29" xfId="0" applyFont="1" applyFill="1" applyBorder="1" applyAlignment="1">
      <alignment horizontal="center" vertical="center" wrapText="1"/>
    </xf>
    <xf numFmtId="0" fontId="15" fillId="8" borderId="31" xfId="0" applyFont="1" applyFill="1" applyBorder="1" applyAlignment="1">
      <alignment horizontal="center" vertical="center" wrapText="1"/>
    </xf>
    <xf numFmtId="0" fontId="15" fillId="8" borderId="28" xfId="0" applyFont="1" applyFill="1" applyBorder="1" applyAlignment="1">
      <alignment horizontal="center" vertical="center"/>
    </xf>
    <xf numFmtId="0" fontId="15" fillId="8" borderId="30" xfId="0" applyFont="1" applyFill="1" applyBorder="1" applyAlignment="1">
      <alignment horizontal="center" vertical="center"/>
    </xf>
    <xf numFmtId="167" fontId="15" fillId="8" borderId="41" xfId="2" applyNumberFormat="1" applyFont="1" applyFill="1" applyBorder="1" applyAlignment="1">
      <alignment horizontal="center" vertical="center" wrapText="1"/>
    </xf>
    <xf numFmtId="167" fontId="15" fillId="8" borderId="42" xfId="2" applyNumberFormat="1" applyFont="1" applyFill="1" applyBorder="1" applyAlignment="1">
      <alignment horizontal="center" vertical="center" wrapText="1"/>
    </xf>
    <xf numFmtId="167" fontId="15" fillId="8" borderId="66" xfId="2" applyNumberFormat="1" applyFont="1" applyFill="1" applyBorder="1" applyAlignment="1">
      <alignment horizontal="center" vertical="center" wrapText="1"/>
    </xf>
    <xf numFmtId="167" fontId="15" fillId="8" borderId="70" xfId="2" applyNumberFormat="1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horizontal="center" vertical="center" wrapText="1"/>
    </xf>
    <xf numFmtId="0" fontId="12" fillId="8" borderId="24" xfId="0" applyFont="1" applyFill="1" applyBorder="1" applyAlignment="1">
      <alignment horizontal="center" vertical="center" wrapText="1"/>
    </xf>
    <xf numFmtId="167" fontId="15" fillId="8" borderId="29" xfId="2" applyNumberFormat="1" applyFont="1" applyFill="1" applyBorder="1" applyAlignment="1">
      <alignment horizontal="center" vertical="center" wrapText="1"/>
    </xf>
    <xf numFmtId="167" fontId="15" fillId="8" borderId="31" xfId="2" applyNumberFormat="1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2" fillId="8" borderId="49" xfId="0" applyFont="1" applyFill="1" applyBorder="1" applyAlignment="1">
      <alignment horizontal="center" vertical="center" wrapText="1"/>
    </xf>
    <xf numFmtId="0" fontId="12" fillId="8" borderId="50" xfId="0" applyFont="1" applyFill="1" applyBorder="1" applyAlignment="1">
      <alignment horizontal="center" vertical="center" wrapText="1"/>
    </xf>
    <xf numFmtId="0" fontId="12" fillId="8" borderId="51" xfId="0" applyFont="1" applyFill="1" applyBorder="1" applyAlignment="1">
      <alignment horizontal="center" vertical="center" wrapText="1"/>
    </xf>
    <xf numFmtId="167" fontId="15" fillId="8" borderId="35" xfId="2" applyNumberFormat="1" applyFont="1" applyFill="1" applyBorder="1" applyAlignment="1">
      <alignment horizontal="center" vertical="center" wrapText="1"/>
    </xf>
    <xf numFmtId="167" fontId="15" fillId="8" borderId="65" xfId="2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/>
    </xf>
    <xf numFmtId="0" fontId="15" fillId="9" borderId="52" xfId="0" applyFont="1" applyFill="1" applyBorder="1" applyAlignment="1">
      <alignment horizontal="center" vertical="center"/>
    </xf>
    <xf numFmtId="0" fontId="15" fillId="8" borderId="35" xfId="0" applyFont="1" applyFill="1" applyBorder="1" applyAlignment="1">
      <alignment horizontal="center" vertical="center" wrapText="1"/>
    </xf>
    <xf numFmtId="0" fontId="16" fillId="8" borderId="53" xfId="0" applyFont="1" applyFill="1" applyBorder="1" applyAlignment="1">
      <alignment horizontal="center" vertical="center"/>
    </xf>
    <xf numFmtId="0" fontId="15" fillId="8" borderId="36" xfId="0" applyFont="1" applyFill="1" applyBorder="1" applyAlignment="1">
      <alignment horizontal="center" vertical="center"/>
    </xf>
    <xf numFmtId="0" fontId="15" fillId="8" borderId="35" xfId="0" applyFont="1" applyFill="1" applyBorder="1" applyAlignment="1">
      <alignment horizontal="center" vertical="center"/>
    </xf>
    <xf numFmtId="0" fontId="15" fillId="8" borderId="32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5" fillId="5" borderId="28" xfId="0" applyFont="1" applyFill="1" applyBorder="1" applyAlignment="1">
      <alignment horizontal="center" vertical="center"/>
    </xf>
    <xf numFmtId="0" fontId="15" fillId="5" borderId="30" xfId="0" applyFont="1" applyFill="1" applyBorder="1" applyAlignment="1">
      <alignment horizontal="center" vertical="center"/>
    </xf>
    <xf numFmtId="0" fontId="15" fillId="5" borderId="29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167" fontId="15" fillId="5" borderId="29" xfId="2" applyNumberFormat="1" applyFont="1" applyFill="1" applyBorder="1" applyAlignment="1">
      <alignment horizontal="center" vertical="center" wrapText="1"/>
    </xf>
    <xf numFmtId="167" fontId="15" fillId="5" borderId="31" xfId="2" applyNumberFormat="1" applyFont="1" applyFill="1" applyBorder="1" applyAlignment="1">
      <alignment horizontal="center" vertical="center" wrapText="1"/>
    </xf>
    <xf numFmtId="167" fontId="15" fillId="5" borderId="41" xfId="2" applyNumberFormat="1" applyFont="1" applyFill="1" applyBorder="1" applyAlignment="1">
      <alignment horizontal="center" vertical="center" wrapText="1"/>
    </xf>
    <xf numFmtId="167" fontId="15" fillId="5" borderId="42" xfId="2" applyNumberFormat="1" applyFont="1" applyFill="1" applyBorder="1" applyAlignment="1">
      <alignment horizontal="center" vertical="center" wrapText="1"/>
    </xf>
    <xf numFmtId="0" fontId="15" fillId="5" borderId="36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center" vertical="center"/>
    </xf>
    <xf numFmtId="0" fontId="15" fillId="5" borderId="32" xfId="0" applyFont="1" applyFill="1" applyBorder="1" applyAlignment="1">
      <alignment horizontal="center" vertical="center"/>
    </xf>
    <xf numFmtId="0" fontId="12" fillId="5" borderId="49" xfId="0" applyFont="1" applyFill="1" applyBorder="1" applyAlignment="1">
      <alignment horizontal="center" vertical="center" wrapText="1"/>
    </xf>
    <xf numFmtId="0" fontId="12" fillId="5" borderId="50" xfId="0" applyFont="1" applyFill="1" applyBorder="1" applyAlignment="1">
      <alignment horizontal="center" vertical="center" wrapText="1"/>
    </xf>
    <xf numFmtId="0" fontId="12" fillId="5" borderId="51" xfId="0" applyFont="1" applyFill="1" applyBorder="1" applyAlignment="1">
      <alignment horizontal="center" vertical="center" wrapText="1"/>
    </xf>
    <xf numFmtId="0" fontId="16" fillId="5" borderId="53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center" vertical="center" wrapText="1"/>
    </xf>
    <xf numFmtId="167" fontId="15" fillId="5" borderId="35" xfId="2" applyNumberFormat="1" applyFont="1" applyFill="1" applyBorder="1" applyAlignment="1">
      <alignment horizontal="center" vertical="center" wrapText="1"/>
    </xf>
    <xf numFmtId="167" fontId="15" fillId="5" borderId="65" xfId="2" applyNumberFormat="1" applyFont="1" applyFill="1" applyBorder="1" applyAlignment="1">
      <alignment horizontal="center" vertical="center" wrapText="1"/>
    </xf>
    <xf numFmtId="167" fontId="15" fillId="5" borderId="66" xfId="2" applyNumberFormat="1" applyFont="1" applyFill="1" applyBorder="1" applyAlignment="1">
      <alignment horizontal="center" vertical="center" wrapText="1"/>
    </xf>
    <xf numFmtId="167" fontId="15" fillId="5" borderId="70" xfId="2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5" fillId="5" borderId="52" xfId="0" applyFont="1" applyFill="1" applyBorder="1" applyAlignment="1">
      <alignment horizontal="center" vertical="center"/>
    </xf>
    <xf numFmtId="0" fontId="16" fillId="5" borderId="94" xfId="0" applyFont="1" applyFill="1" applyBorder="1" applyAlignment="1">
      <alignment horizontal="center" vertical="center"/>
    </xf>
    <xf numFmtId="0" fontId="15" fillId="5" borderId="95" xfId="0" applyFont="1" applyFill="1" applyBorder="1" applyAlignment="1">
      <alignment horizontal="center" vertical="center" wrapText="1"/>
    </xf>
    <xf numFmtId="167" fontId="15" fillId="5" borderId="95" xfId="2" applyNumberFormat="1" applyFont="1" applyFill="1" applyBorder="1" applyAlignment="1">
      <alignment horizontal="center" vertical="center" wrapText="1"/>
    </xf>
    <xf numFmtId="167" fontId="15" fillId="5" borderId="96" xfId="2" applyNumberFormat="1" applyFont="1" applyFill="1" applyBorder="1" applyAlignment="1">
      <alignment horizontal="center" vertical="center" wrapText="1"/>
    </xf>
    <xf numFmtId="167" fontId="15" fillId="5" borderId="74" xfId="2" applyNumberFormat="1" applyFont="1" applyFill="1" applyBorder="1" applyAlignment="1">
      <alignment horizontal="center" vertical="center" wrapText="1"/>
    </xf>
    <xf numFmtId="167" fontId="15" fillId="5" borderId="1" xfId="2" applyNumberFormat="1" applyFont="1" applyFill="1" applyBorder="1" applyAlignment="1">
      <alignment horizontal="center" vertical="center" wrapText="1"/>
    </xf>
    <xf numFmtId="167" fontId="15" fillId="5" borderId="3" xfId="2" applyNumberFormat="1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/>
    </xf>
    <xf numFmtId="0" fontId="15" fillId="5" borderId="106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 wrapText="1"/>
    </xf>
    <xf numFmtId="0" fontId="16" fillId="5" borderId="106" xfId="0" applyFont="1" applyFill="1" applyBorder="1" applyAlignment="1">
      <alignment horizontal="center" vertical="center"/>
    </xf>
    <xf numFmtId="0" fontId="19" fillId="0" borderId="0" xfId="7" applyAlignment="1">
      <alignment horizontal="left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21" fillId="20" borderId="7" xfId="0" applyFont="1" applyFill="1" applyBorder="1" applyAlignment="1">
      <alignment horizontal="center" vertical="top"/>
    </xf>
    <xf numFmtId="0" fontId="21" fillId="20" borderId="8" xfId="0" applyFont="1" applyFill="1" applyBorder="1" applyAlignment="1">
      <alignment horizontal="center" vertical="top"/>
    </xf>
    <xf numFmtId="0" fontId="21" fillId="20" borderId="9" xfId="0" applyFont="1" applyFill="1" applyBorder="1" applyAlignment="1">
      <alignment horizontal="center" vertical="top"/>
    </xf>
    <xf numFmtId="0" fontId="21" fillId="20" borderId="11" xfId="0" applyFont="1" applyFill="1" applyBorder="1" applyAlignment="1">
      <alignment horizontal="center" vertical="top"/>
    </xf>
    <xf numFmtId="0" fontId="21" fillId="20" borderId="0" xfId="0" applyFont="1" applyFill="1" applyBorder="1" applyAlignment="1">
      <alignment horizontal="center" vertical="top"/>
    </xf>
    <xf numFmtId="0" fontId="21" fillId="20" borderId="12" xfId="0" applyFont="1" applyFill="1" applyBorder="1" applyAlignment="1">
      <alignment horizontal="center" vertical="top"/>
    </xf>
    <xf numFmtId="0" fontId="22" fillId="21" borderId="11" xfId="0" applyFont="1" applyFill="1" applyBorder="1" applyAlignment="1">
      <alignment horizontal="center" vertical="center" wrapText="1"/>
    </xf>
    <xf numFmtId="0" fontId="22" fillId="21" borderId="0" xfId="0" applyFont="1" applyFill="1" applyBorder="1" applyAlignment="1">
      <alignment horizontal="center" vertical="center" wrapText="1"/>
    </xf>
    <xf numFmtId="0" fontId="22" fillId="21" borderId="12" xfId="0" applyFont="1" applyFill="1" applyBorder="1" applyAlignment="1">
      <alignment horizontal="center" vertical="center" wrapText="1"/>
    </xf>
    <xf numFmtId="0" fontId="22" fillId="21" borderId="13" xfId="0" applyFont="1" applyFill="1" applyBorder="1" applyAlignment="1">
      <alignment horizontal="center" vertical="center" wrapText="1"/>
    </xf>
    <xf numFmtId="0" fontId="22" fillId="21" borderId="14" xfId="0" applyFont="1" applyFill="1" applyBorder="1" applyAlignment="1">
      <alignment horizontal="center" vertical="center" wrapText="1"/>
    </xf>
    <xf numFmtId="0" fontId="22" fillId="21" borderId="15" xfId="0" applyFont="1" applyFill="1" applyBorder="1" applyAlignment="1">
      <alignment horizontal="center" vertical="center" wrapText="1"/>
    </xf>
    <xf numFmtId="0" fontId="23" fillId="22" borderId="3" xfId="0" applyFont="1" applyFill="1" applyBorder="1" applyAlignment="1">
      <alignment horizontal="center"/>
    </xf>
    <xf numFmtId="0" fontId="23" fillId="22" borderId="4" xfId="0" applyFont="1" applyFill="1" applyBorder="1" applyAlignment="1">
      <alignment horizontal="center"/>
    </xf>
    <xf numFmtId="0" fontId="23" fillId="22" borderId="5" xfId="0" applyFont="1" applyFill="1" applyBorder="1" applyAlignment="1">
      <alignment horizontal="center"/>
    </xf>
    <xf numFmtId="0" fontId="24" fillId="0" borderId="6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168" fontId="15" fillId="24" borderId="121" xfId="1" applyNumberFormat="1" applyFont="1" applyFill="1" applyBorder="1" applyAlignment="1">
      <alignment vertical="center"/>
    </xf>
    <xf numFmtId="168" fontId="15" fillId="24" borderId="120" xfId="1" applyNumberFormat="1" applyFont="1" applyFill="1" applyBorder="1" applyAlignment="1">
      <alignment vertical="center"/>
    </xf>
    <xf numFmtId="168" fontId="15" fillId="24" borderId="119" xfId="1" applyNumberFormat="1" applyFont="1" applyFill="1" applyBorder="1" applyAlignment="1">
      <alignment vertical="center"/>
    </xf>
    <xf numFmtId="169" fontId="15" fillId="24" borderId="119" xfId="0" applyNumberFormat="1" applyFont="1" applyFill="1" applyBorder="1" applyAlignment="1">
      <alignment vertical="center"/>
    </xf>
    <xf numFmtId="168" fontId="15" fillId="24" borderId="124" xfId="1" applyNumberFormat="1" applyFont="1" applyFill="1" applyBorder="1" applyAlignment="1">
      <alignment vertical="center"/>
    </xf>
    <xf numFmtId="168" fontId="15" fillId="24" borderId="131" xfId="1" applyNumberFormat="1" applyFont="1" applyFill="1" applyBorder="1" applyAlignment="1">
      <alignment vertical="center"/>
    </xf>
    <xf numFmtId="168" fontId="15" fillId="24" borderId="130" xfId="1" applyNumberFormat="1" applyFont="1" applyFill="1" applyBorder="1" applyAlignment="1">
      <alignment vertical="center"/>
    </xf>
  </cellXfs>
  <cellStyles count="8">
    <cellStyle name="Hipervínculo" xfId="7" builtinId="8"/>
    <cellStyle name="Millares" xfId="1" builtinId="3"/>
    <cellStyle name="Millares 2" xfId="6" xr:uid="{00000000-0005-0000-0000-000002000000}"/>
    <cellStyle name="Moneda" xfId="2" builtinId="4"/>
    <cellStyle name="Normal" xfId="0" builtinId="0"/>
    <cellStyle name="Normal 2" xfId="5" xr:uid="{00000000-0005-0000-0000-000005000000}"/>
    <cellStyle name="Normal 2 2" xfId="4" xr:uid="{00000000-0005-0000-0000-000006000000}"/>
    <cellStyle name="Porcentaje" xfId="3" builtinId="5"/>
  </cellStyles>
  <dxfs count="0"/>
  <tableStyles count="0" defaultTableStyle="TableStyleMedium2" defaultPivotStyle="PivotStyleLight16"/>
  <colors>
    <mruColors>
      <color rgb="FFFFCCCC"/>
      <color rgb="FFFFFFCC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11906</xdr:colOff>
      <xdr:row>11</xdr:row>
      <xdr:rowOff>83341</xdr:rowOff>
    </xdr:from>
    <xdr:to>
      <xdr:col>20</xdr:col>
      <xdr:colOff>59530</xdr:colOff>
      <xdr:row>19</xdr:row>
      <xdr:rowOff>245940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35125" y="3155154"/>
          <a:ext cx="4619624" cy="2258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381000</xdr:colOff>
      <xdr:row>4</xdr:row>
      <xdr:rowOff>345281</xdr:rowOff>
    </xdr:from>
    <xdr:to>
      <xdr:col>19</xdr:col>
      <xdr:colOff>428624</xdr:colOff>
      <xdr:row>13</xdr:row>
      <xdr:rowOff>305473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7969" y="1738312"/>
          <a:ext cx="4619624" cy="22580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73" name="AutoShape 1" descr="data:image/png;base64,iVBORw0KGgoAAAANSUhEUgAAAG8AAAAuCAYAAAAmwUepAAAAAXNSR0IArs4c6QAAHMBJREFUeF7lfHl8nVW19rPWfs+Q4eQkadKm6UBbZhEFSwsdwELp3IQKt/30u6KfWBCQD/FT7u8nDpeLoKCioDgwyXW6FymWkqQjlYYO1LaUUWuBIlObDplOcjKdc9691vfbJznpaUhJ0la91/v+0+F93/3uvZ691nrWsA+tLKm8O0h0fUo1jKFcqq0Av86qzytho5/U5xDHOxWo7gSgQxlqoGfXFFSewh5fp6Rvs7T/Ylbz+paB3jna/bUlFQtVtNKC1u5tqqv6HHamjnUs996tAE8urphsiB4QwtmZhRuFb0lfVLJXz69f9dL6osVjlFMPgnS2fxziCYBBwJNhyJV0HOApgaxhtlD1RbEX0DVs9QmKhV+chWXHLOBsYSpATxUu+qQY3ATV/QGi22Y2rth+rAJfW1SxUBi3ESipVu7SmF01H6sTxzref0/w+qyWlMQwUiL6LsDLSVK/eqv5wKvHu7OfLKksD4jc7pFZrIoGUfluHJ2/WXKM2reyqGKhMXQHKc4AdKequXt/U2zlZ1DbdSwA/kOAl1m4MxcAxUn1KVF73/7m9h3HKhg35rpo5WIx+CqIzgZpCtDlaunOec1VLx+LsB143A3e2QTqAnS7qv4o1BRfefExAPh3BW9VScUPwuRdl1IJDVYY2mOznX3vz7kxoAzqsoINIqm7KKbbjsU0rSmZM5Js+F+V9RNKKDAg9+ndavWulljr75agtm2wc848lwEPwIfcaAbURYodSeBHOU0tNUMF8ESAZ9KTo0Etxfk8hVSFoJ+kNSULl4YpNM+KeIN6GwKrkmOJiqA6UgklDAoKHfl1NxUnGBU8qWK/3RrL+eMSLLOD+0b3U2uLL/snZXxVFB8CKbsxCUhA8RslfGdeQ9WrQxnPPZsNntt4rFAiJFRoh7VyL7X4NUPZaMcHnqoA7Z7FZjA3QXVABJXZ80S3ewVF91F1pKIkEKbCQaud0zZNGp84R8UUAzhDieZDaBoIBULKGYGmha3UApXvJxId91/W/vuDgxV2WuskeDMxXynQYdKzNT03IvCiFbmztamhegm2OnY76KsveOk97wAEOiG6nZV/OD6WXHXqIEnMcYGnEKO016q9IaTBlxkyIHhJtWR86pjZXnUo8/CAL/VhgOk178RE01UyKhxL2VLD5gpivRqg8ULo1WLjsBZ9RX3+F21N1g52V68prZyrIl8HaLISHWEVDOBM3UPWJu+eF1vz1qCR60fzejdaWgM1QaDtCrm/taHxicFsjOMFzxN+SwVL5rSs2DmUdQze0A5i1A2Fiwo7PbuEQDdDMU6zAVRKkug9SODe2R1VdQMNtyFSUdIVpC8w0WcVWpbRul5SBHLaslOt3N4SC69agmXJgcbsz+f1568J2sWglwD5EUxyxZyD69rfb+wTA15qyZyWlX8/8NwC10dmDvMDebeA8UkBhmcW7cJKUmzzQDc2NgZ2DuT7VhctnA7mfyXgo0II9Cc8UrSp6s8A/975Tav3njjwuk0oET2nivvzodXTG6riRxv/HwY8t8A1JQs/AjE/UNIpmiV4BtpI7Q1W5Yn5TatbjyYMp8FJo9cy4ToLHStHeTDNO4FtntKtzU3B9QNtiF7NK6lYyKA7HNs8WhqIutlyJwgvqOCBfNInjgbgPxR4azE7zxaFv+EZusqHlhzWPqiIfF9FfrQgturto4G3tmTBRNbArUI6y0Lfn0cpYqS4l9i7f27D8v2D0b7+CEu/mt0NYIdAnyPSn6TqUVOB6o6+z/5DgeeIzMqiigVBw9/zoadndneaEQnWpqzcUtlS83x/AtuAGfnJ4ujVzPi/PnT8Yc1QC0ULEQUUiPS+69gasAnCd81pXrH6RILnxnLxKkCdBN2hoj8paULNeX0APBHgifiL5x5FJu+3piGxzMEIxz2zrmDhqRowvxDo+UpOBt0XKV6z1l67MLZyQ39jPVV02dmWcZuSzlOgV+sIWi+KNQZUBsJFknWPFY2APmS77D0L2lcdGGiO/WqewlnndlYklTSazW57BNRJgh2k5qdBz6u5uH5Zb3Lg+MBTJeV9HugmEO0aaO6ewCSD7YfmHFx3KC3PqvDCscE8lNmsGCOohpqT/hu72lY33ur0ZYjX+rzKERKih4VxqWSbPtV6tfbq9tiqmiXAEQH7KswLcXHwSiXcDOipLuudnmD3tzeR6H1gGmNAn7fAeOnJ7ZDCMmGzKt0+t/HJ9QNNtT/w2KX0iF6ByosAJinRBzSteIcvAtpJaauK/DzeHK/OZHeOGzxQhwGeU0FsoLmHyISU9DczGlf8BwFCa4YtvCFE5rIUtJfVheFRp03dWdcc33Asecn1kY8NswF7HxgVFsjrnZQgDsV1aE493jfeqx5WcUYA+LqCFikhN8s0OrN1b8rHAwGjZYb566KYlYkluxMBOGgVP/MT+Oll7VXvmwjoHzzyGfQ0kfzQWhoHwlKh7qzOewAEv6BW7veaO6pnYX3L8YDn3AKpS6uQuD8HAi+HA56FfHNjQ+y2W1Hr08qSiu935zZtOPN2DjwkVT6TaLSP9eekB/pITXRBkfH4B0x8uYX2+ihSdJDKDQVNOY9OxbLezIgTwAUlldeQ4gsCnJ7RurTkhF4UxTfQnFzXlW+jOeHw9QZ0tYWWZ+bLSimB1lor36qI1TzzfvXE/jMsZD3CU6GU+Wp9qn1/Xji8QEk/R0Tnikt/Zsx+T86Woc/7yg+FLVY8E1vR+req5+VzEAm1d2ypb761B7z3FmPDMPBVjws8z6N7iMzH+oInKje0NzU+mp29qBm+YIIn5ttQzBdC/mFhuR2JRy1SP5SkeUNyyISszgboJgWd4xxGxrSS0tuich/7yZ/PbV3bdLQNdjTwDLA+TOaWpxuWv3hB7pwRmhusZNBSVZyTnTFyJCYdBwI7FHiww+eVEWNPtaCH/9rF2L8JeN1m0/+xMlUIDptAVrRakeveaLa/u7End7gYi81nixNXEeFmAZ2cAaRb+GoJ2GosvWhJu1zNUIFyJZ2qROMoiwwxkGClVQJ759zGmqMWawcC76KG5c87irkuf3YpB4MLhMznFJgopL0pOhcHdgNIO9W3D8GYOkP4rg8951gr6YNhjg68rr+25q3Mm19mQuYRJbpECcGMFrDzTaJLdzRXr8oQIad1xufbiblCoL1a1wOeklInKyWdY0vDCbAAYZDz0dS7ZpfFYcUegb2nVbp+fbRi7WDAy1jJDZGKYcmgt0BVrgfJRxwLzXZMxgXyqi+oYgcx5lvg1MxaB9kG4YZLkOBVl8Tomwbsaz1CbDyB//DmhuqHnPz6bYM4brM5bMGZQZhHLGhStiaRYBcLrpsTq9roJvYYFptISWIxgK9AcZYSev1LH6JwxDr6z0mmS1AdpHjCWvvdubEaV6x9z6NDAC9tkZ/MqxweDNIisFxD4LOV1MWavZfTQFU9BFCRq6oMCbw0WeGDovZOo7zHphX66BcxPAPsntNY7UphesLBcyZndfHCKwJsvu1DTzkiSFepIotvzI3VvOSmuKJ49pgwhW8B8L+EUJRFDNJBwkCmxGXI+miCI4i7Uyp3t5uWR5fUv7dYO0Tw0lNanj97eG4wWCnESwk4N9uaZOacZo5Zch+U5inEVRWM+ItnHkuQ3l8D0vFo3qrieQUG3jdBdKXNAoRBAugdAZX7ZzbW7Ev7lWHzLgMCX1UcJgXdlJmSBEo433L0ErPCEgKqCGV8X7fwqJOUfmtA35nV+MTuvtp3LOC5UV3d0wvSAiVcxYopR0uYD03zusFTOcaqwokGb3XJohms8m2BnpedqWDVJlK9vsW0rXQa4XZzXjD4ZWLzaQsd3ouSajuEngfpawB8Ah0Rax3e6c7maBlA54EwMuP/HIAMelGs3hVubl3Rt63hWMFLm/n8eaWRQGAOMa4DYWJ2pqevsetP84RTD1J261+P5v2XAO+pooVjU4a/xorLhTDsMFFxItUN8OXLrS05L+3CMp1UXDk7yPQ1UUy2afLRk9JQ7FLV7yf95DNBJp810K/1FEqpInASDN2ghAUE5Bz+HtoI9Ev48r05LdVvZgv2eMBz4zxVdGlUkDuPmD6npBdYR576uf6u4CVUP+MPMkhPm8BoxTg1uFKJljo6jx7ykdYEJVcPuwsJfnBO2xOHuk0QvuQRf8aHjshonetPEcVvHd1f2Ljyz+/nvN29DZgR7hoWvYqAG5WOTIKT4gUGfTPWGKzKLhcdL3hpAHFpNFWcN8uQXqeEqQr0JjiOxWyecJ+XFFyVYPt4ZUNV+7L3tDYtxgT8hfejPIAIcjloT2bwZQCWAHTSkebSFWJ1C4l+NRYLb12MZanVRZVTjcFtqjRdSNOhRE+a610VuiOO9kcH25dZE100MWD0ZhAuz2hwejxFnJQfJOg9c5qefDcj1BMBXrcGLo4KEvOEcAMzJvbVwKEQFmb7cdMYf2Ggzdr3PlWXVN4d7tPuHgQjpbidSJ5Wka6+peyUwghJPqtXAsY4QzpVFFMUVJBdRXDOipTqoPheMiW/qohXNzhCQxT4vAFfb0lG97JFxz+U1vpE/1YxhI7oDVicnyxKfgqMm4V0XBa7dX99DsD3ww2tj1+MWt8t/kSB58bqJmfBeQr9vDKdB2jOkIJ0VWWlA5blNlJ6jQYIFbLBU2v9fsFzQheiVzzoAZe174u4KBuCRIQwQhQjGBTO7hrL+C8C6iH6n8L0k3hDaI8zX2uiCz+invkWkc44wuELGkjpbk0lH57ftrp+sLvQmey10YXnsme+okCl7dHk9BwUMYX+B2vizjlN69LadyLBywBI6CYxBJzvMkoOwEFpHtLMuouB3QzENSvpMND6RWwHrSqp/F6A6PN9D5qkMxYDjODKMv3Vi1zHGAGNVrES0B/HG8MvuSahRzAjXDYs/xqG+WIfLXFmcxOr/FusMad2sC0Nmem5RHggQEtJzY1CGJ1dLoLLfpB/Z2tjXo0b90SD16uBHJgPxdUgXOAAdGWmwR40MemYdqCo9kgwfLXxo4I3EPJHu09KSY90ryit8X19pL0l9HKmu2tt0cc+qMZ+W4FZ2cXWdJoJepeV1MNDaSbKzMFlaqKliWms9BVRXGp78pA9TboNUPwclLhnbsPa/X8N8Nw8niypjIQsLiKmG0E6DUDI4sSfEuqVuwu9XJwXIro+OdQjXkcYYHXtzAkoN0DVBcY18LEy1Nr6VsbXPIbFweiw5P8j0LWW5KTeck56x+kLpPrltxrrNh3rwZSVpfPLjDXXEbGj8COcRehhuikifVbEv/MPTavWTSqqmG+I7lDubkDqaQy2BrQ+RHyLS0wf68Z9DFNyIsXDL2LWLzAwLQV5HWSvnle/+kV3xEs49RATZqWGXt/uZ0raTCuLK78TYv6cj8GfVXDSdukSVqRALrcnLQx6G0rPsq9rUt6hXfObtrnwoJePrI9ePsH3/B8AuEiJ0i0OzkEzyFfgZxD8MJsVDlWA92NiYFxR+RwyfLOrhnfnCV3NyHWzo04s7u9UfiBMOpVYv0lEZ3Un15x7IMvQDQHSr3+0vmrIrC97rs9icU5rUeISGPkiQCEh/0YHXnXR4jEhk/iZAV/inwDwBNpCa4ovWxogVFg6XHQcWHBkLWmSLJoBvCuQP6dS/EppPPROdpE1e5x1RZdPs579hBVbzhlvSkQEiUP1F+HGti1DPeTRd54rC+efZDz6J1VzgcKVcFwpwoGnPgu2i/rLyISHE/TTIIyjbsLgGLEa1+aXwi9mtqx4Y+D1v/8TTgPzikune8Tn+0SPzW944vVN+fNKukLBm1TxEWId0pmN/r4m0HbagEWFyWKNJNKls8FdeQybSOQkTVtLx1ZM7bwVtw7Y57J2xOw8SybXtdpnf0W6OnwTz4kPtg3+/WboKvLnYlpeOD8vx8/xjuBboa5QqizuxetRzx15pYU22NlbqgqR0ZxksOtA259almDXoLuv328ujwEmv3heXltTfpfz+e7fXv7HhkUCqfCQDlcc5SMOg0EDNjhY/+ZP8QcAbzggtXDnAv9nXf+twbswv6zUenaUGqnf2ti4738WdN1ky5kxnQFwP7vX3ZMZgIkDFAE06xkzBaOD9dgrewB3KD9N8DLP7uzWhOySTnbpLZ0HyBJ2+jt9yzcTgUAQo70W7LW7DmuWGycdB18ULZ9JglE+8OyWeJ0rUPZEB+n72aVE9/9HfG8iwDu7/y/jfzLvZp5Lr8XNsbb7mT412LTj7uu7jBvXvdMjq/R7MwAvjvJgC+rsHsCZZTcWT+wZf2f3ONnzo3lA8BDKTQR1yWxcTgFCpRjNW7G3iy4uLjuri1Ix0xUuaW3397yMg+lTMRNRnhuJJMaaeLi+M5I6DaoBoxTraD+0J4URVFDonUKiZ6qxbb7SH1tjB+qCheNyo9J1qqoEwLS/ruVgXbSoKOwlA+HG9kOxPUDiFJwSGlESG9bVEIztRF26fXxapOT0pFDLjvZ6l1lxC+GJkfLiXOB0YYxW0v1eIvGmL17QJLh1Pw60lkVKTvI4cLEweVbMtkCwa7efTAYY4UJBV2xzS4sjUzQ9Gi20npeLxsamrUDnFIzOyY3omBRSJVa5JeB17auNxVqnoKCQwnmRQ137DzgBT45EinMob4J1pDpp9nd11e3fCaQcEMgrLfE9yt3ccugvmQ3ohDq6oHSMMMoVhoz67R0SejPIbaKaf7oxcjJZbfKD/kvNDQ0NeXmlxTlME9Lvk9bbVj2wBQ3x9Pg5o8ooYD+shorUeq/6rZ273b1LURRNFYSm+mQiSPFmmllc/lCnyhNsaRZYn/didnkt6tumR4dP8DRwo4LWqrE3iepeC3rZakdVGHmXADSJCfUKjRLU+opfM3l5JLJUIB5Dmy3LA+qZgFE+y/NTm59uOfTW1OiYcR77M62femZLvOFVB2Z5QcdXlHRfl+9X72ivP3BJeORJyTBfwUInMTSusEllvC3AOIBe9lyVgmiu28CqLpOHXFHaqGQPEuhCFdojrcmVB9GQLC8ceT5Ap7DwxtrWvXsmR0eMDyldSYzzFHTQ9Z8kfL8qhwOTifUshTza0HJwX1H+qGlk9BpOd9TzO0L0q82xfS/NyCst00BgMUCBZ2L77s1o3/RotMjT8Bwhc7mSjlKym6C8xpA5E4RJEOwF2UKoC438XwGh8QJ7JQStLqYxoG2p1uQvuYjHG+VrBKwMbhTiU0j97ckYP+gVylKITGPwISF9mWYMK/+1Tcl/EvhKEJUxUrcfajm0cXhB6Vih4JfU0no2Mldhv+U0aUSkdLLhwKetsQ91NR3cORzgtsJR1zHARFqnwmPI16c0oK4t/R0oeWB7BVn8KtV6YIMpHDkXgkWq/oNb4vXPXpg78hwEcC0UuVbtj+vih14YU1S+iMDjOJWqqW07+KdxGBcamdd5KgdoMRElXGwoRH/p1NA6NBd15BYenGpULlDSJKDn9lTXf1YfO7CjtLBsEqk53Qie/n1832tTCkpP8Ti4kJXaQbpHgA+L2FcNeDIxzoHIA8lWr9YU4nxVO8Uj/QMbPRs+79OW0Eoq6PywT3wrlHebpL23tutA7+FOp31us4jKbJv0fxoMBD6khi9JMR7e2li3ewYKC7Ug90qQjmTy9vgqwUQ+loUSchKn6PMK3WaYCkXRtS9Wd79zRxcVjD6ZWL6iRmvE0lQDvF0fSD0ysisYoouHlf/at1hmIOdATEDSZ8zlIQmaFk3qFyG8llwDKssfSHS7S22JMS90oL16Z3Nz+rdWLiwa/iES7xNsqAGC0VblT6w0hoQ3iMHJRPpJQKoJupyIrhHQmQA/0Nyc2lgQ5X9Ot9IRnwXFs7DyCgfoElHzboLba7c1NaWPg11UUHqqwPsUMxW5RiZSPF0br3PZHHwof8TwAuY5bMhlTYQ1XZiNCfj3RiVAoAksqHXgTY0OP9lDcDFDS1TpHSGEVeVdJpxE0Ag5i5HyfyPB0BkGuIyAt41BLnxs9az/xyQHZgvpNGH7CgsaNrYceOwI01lUPimlmEXq/QIkC0nk0KbWumU9GupNzR9xhme8j3swnk/6Wnvs3UcjQNKPln3MU7oRhtd4Sb9qffvBVzLjTo2OvCLIdIH62EhEVyjLSx2JxONp8NTicTDO8a1We6QfVOXJUK5R0kUqvJrZfppY14L4RRL9377KxmRLct02dAv2/ILSU3NM4LMCblaV6aoYDejj1jP/TlYuD5CWEciI0F+UcAaRJkV1G8N/C/AuJ8Y7sFQIQg4RPa9K4y3b1zub9m/cCaT9ogNPyfs/ABcR8JIINmyO73OtEpgYKS/JIcwy0EnE1Coi25VoFJhOIaCJhWJGsOEweOYzRHQ2Kbaq4E/KNJJcSwVJvRKdpsAateTiqC8xaS6xVvu282Egd4Ih+jSp7hJCiESjydaO+7aiNd3km/Z73eDNlgD/0qS0EqA3N8f2rsiQrPMLSieEOfBJAxOxwCttsXd/mwYvMmouG7mNCb8zPi9zc82Ad1FB2Xwwz9sYq7vpo7llripzFUB+GjxYLANjolqtqm3Z//yM6Oh/sSrTiKhDLZaxpxd2Wrpte3xf4/SCsk+R8c6WTvnRlq66d9KCjZYtUeIPgvkdVTkZ0CJYehlK6w3rIp90D4POcY07IK4iaDzNSlQCSjrdtasTs/VJhoG0BpYjqpRIJbFqW+e+9KnX6ZGS08h4/wziHANusupv3RQ7sMX1uVw0bOSZYnkeKUoceArZJCb5ZsAGPyUql6rqNqPySG1r/R5nNgNsLlM17R0t+stwsYw3wteSUjlU91nCCCLsJjVbFLLIQDuEsItTqVW+CVzChpYS6I+k6n48wYOPn2yM1z3bFzyTwIMc0I+CeRxi7ffVIhabAYRtYflcgswkBFx7RnNbzP62DUlTVhi82YpGXWnIMp7fEtu/3I1ZUV6eG0/wN0TdDx5IVZA6/xIPBMLBZKCaLi4e9aiI/JYIE63Vqk2tB3aOAMKnRUfeAqXxLPQEG5mpQl+rjdc19Njt29zJQyhtUqXhDJkCg0eZTFKsfthAn7OMS1nRaVVzVVBDnkQhuCIp8vMAU9hjM0cVOar6Mvn+DnCgS1kuFqKQOlOlPIlIOqziz4Y4IiIpIXwQqn/2iILKdK6I/JEEHTDeeUbxLmDf0PQPGuj2jbH9m2ZGx473YT+uogVMqYcceM5KBNirYGgjo+tJldA8Z7Kt0Gplf78H/ggpTVHGOwouUMWrTHSmqriTsvkEeiOpqc1BmCLLPAuqbR2xuoedhXCaN7xw5PnGYm6bxn8QMXn5ZMxNLOongS0sPNYYPd8XWR6AISKZRUSvpxSnKaGjK5n6liNOMPQpJa31fPsOjJktMDnWk7uML9cCJgZoGxST6OLCkZcnPfqT50t5MuG9trVzrzvwrxOBaG5R2XQLfduzgbHtrVKbofYzUFpmC0KXAvZcZekgP7Deb8P2vHCw1Ob4Y9p9uztoMNqZJlhttuLvSLQlE7nFoVEdmtjndVEkFAxPA3HKh935bGy/C7D9GTmjRpOxJ5P19qgn+T7BMeAJrPw6JfGCGOQa0n2tXueBCOVNUehUsRoi5pdTjNqQKgl0rFXs3dKctgp8YW7JCA2GhqdSqQPb2g8dnI6xRSiQ08igM9Tc/rZfEDxTQfaZ1gOu6q4zIuUl6umZbLnAV435fuKtUJBGCnlnKTjWGGvbtAutTR8AgtFI+YQw06gU2p7vCU3MxHD5qPywnNwWO7BtJ5CYHB4xNhTy5oLsB5S5waRoXVt833N5eSPO4ABfku4At/RmB+Kbd8bjDS62jRaOdK2Fs63VKBvs8pKy/Pfthw5eXDjqw6r6CTfPVAD//v8BYFkqqN6EPWMAAAAASUVORK5CYII=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22860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3074" name="AutoShape 2" descr="data:image/png;base64,iVBORw0KGgoAAAANSUhEUgAAAG8AAAAuCAYAAAAmwUepAAAAAXNSR0IArs4c6QAAHMBJREFUeF7lfHl8nVW19rPWfs+Q4eQkadKm6UBbZhEFSwsdwELp3IQKt/30u6KfWBCQD/FT7u8nDpeLoKCioDgwyXW6FymWkqQjlYYO1LaUUWuBIlObDplOcjKdc9691vfbJznpaUhJ0la91/v+0+F93/3uvZ691nrWsA+tLKm8O0h0fUo1jKFcqq0Av86qzytho5/U5xDHOxWo7gSgQxlqoGfXFFSewh5fp6Rvs7T/Ylbz+paB3jna/bUlFQtVtNKC1u5tqqv6HHamjnUs996tAE8urphsiB4QwtmZhRuFb0lfVLJXz69f9dL6osVjlFMPgnS2fxziCYBBwJNhyJV0HOApgaxhtlD1RbEX0DVs9QmKhV+chWXHLOBsYSpATxUu+qQY3ATV/QGi22Y2rth+rAJfW1SxUBi3ESipVu7SmF01H6sTxzref0/w+qyWlMQwUiL6LsDLSVK/eqv5wKvHu7OfLKksD4jc7pFZrIoGUfluHJ2/WXKM2reyqGKhMXQHKc4AdKequXt/U2zlZ1DbdSwA/kOAl1m4MxcAxUn1KVF73/7m9h3HKhg35rpo5WIx+CqIzgZpCtDlaunOec1VLx+LsB143A3e2QTqAnS7qv4o1BRfefExAPh3BW9VScUPwuRdl1IJDVYY2mOznX3vz7kxoAzqsoINIqm7KKbbjsU0rSmZM5Js+F+V9RNKKDAg9+ndavWulljr75agtm2wc848lwEPwIfcaAbURYodSeBHOU0tNUMF8ESAZ9KTo0Etxfk8hVSFoJ+kNSULl4YpNM+KeIN6GwKrkmOJiqA6UgklDAoKHfl1NxUnGBU8qWK/3RrL+eMSLLOD+0b3U2uLL/snZXxVFB8CKbsxCUhA8RslfGdeQ9WrQxnPPZsNntt4rFAiJFRoh7VyL7X4NUPZaMcHnqoA7Z7FZjA3QXVABJXZ80S3ewVF91F1pKIkEKbCQaud0zZNGp84R8UUAzhDieZDaBoIBULKGYGmha3UApXvJxId91/W/vuDgxV2WuskeDMxXynQYdKzNT03IvCiFbmztamhegm2OnY76KsveOk97wAEOiG6nZV/OD6WXHXqIEnMcYGnEKO016q9IaTBlxkyIHhJtWR86pjZXnUo8/CAL/VhgOk178RE01UyKhxL2VLD5gpivRqg8ULo1WLjsBZ9RX3+F21N1g52V68prZyrIl8HaLISHWEVDOBM3UPWJu+eF1vz1qCR60fzejdaWgM1QaDtCrm/taHxicFsjOMFzxN+SwVL5rSs2DmUdQze0A5i1A2Fiwo7PbuEQDdDMU6zAVRKkug9SODe2R1VdQMNtyFSUdIVpC8w0WcVWpbRul5SBHLaslOt3N4SC69agmXJgcbsz+f1568J2sWglwD5EUxyxZyD69rfb+wTA15qyZyWlX8/8NwC10dmDvMDebeA8UkBhmcW7cJKUmzzQDc2NgZ2DuT7VhctnA7mfyXgo0II9Cc8UrSp6s8A/975Tav3njjwuk0oET2nivvzodXTG6riRxv/HwY8t8A1JQs/AjE/UNIpmiV4BtpI7Q1W5Yn5TatbjyYMp8FJo9cy4ToLHStHeTDNO4FtntKtzU3B9QNtiF7NK6lYyKA7HNs8WhqIutlyJwgvqOCBfNInjgbgPxR4azE7zxaFv+EZusqHlhzWPqiIfF9FfrQgturto4G3tmTBRNbArUI6y0Lfn0cpYqS4l9i7f27D8v2D0b7+CEu/mt0NYIdAnyPSn6TqUVOB6o6+z/5DgeeIzMqiigVBw9/zoadndneaEQnWpqzcUtlS83x/AtuAGfnJ4ujVzPi/PnT8Yc1QC0ULEQUUiPS+69gasAnCd81pXrH6RILnxnLxKkCdBN2hoj8paULNeX0APBHgifiL5x5FJu+3piGxzMEIxz2zrmDhqRowvxDo+UpOBt0XKV6z1l67MLZyQ39jPVV02dmWcZuSzlOgV+sIWi+KNQZUBsJFknWPFY2APmS77D0L2lcdGGiO/WqewlnndlYklTSazW57BNRJgh2k5qdBz6u5uH5Zb3Lg+MBTJeV9HugmEO0aaO6ewCSD7YfmHFx3KC3PqvDCscE8lNmsGCOohpqT/hu72lY33ur0ZYjX+rzKERKih4VxqWSbPtV6tfbq9tiqmiXAEQH7KswLcXHwSiXcDOipLuudnmD3tzeR6H1gGmNAn7fAeOnJ7ZDCMmGzKt0+t/HJ9QNNtT/w2KX0iF6ByosAJinRBzSteIcvAtpJaauK/DzeHK/OZHeOGzxQhwGeU0FsoLmHyISU9DczGlf8BwFCa4YtvCFE5rIUtJfVheFRp03dWdcc33Asecn1kY8NswF7HxgVFsjrnZQgDsV1aE493jfeqx5WcUYA+LqCFikhN8s0OrN1b8rHAwGjZYb566KYlYkluxMBOGgVP/MT+Oll7VXvmwjoHzzyGfQ0kfzQWhoHwlKh7qzOewAEv6BW7veaO6pnYX3L8YDn3AKpS6uQuD8HAi+HA56FfHNjQ+y2W1Hr08qSiu935zZtOPN2DjwkVT6TaLSP9eekB/pITXRBkfH4B0x8uYX2+ihSdJDKDQVNOY9OxbLezIgTwAUlldeQ4gsCnJ7RurTkhF4UxTfQnFzXlW+jOeHw9QZ0tYWWZ+bLSimB1lor36qI1TzzfvXE/jMsZD3CU6GU+Wp9qn1/Xji8QEk/R0Tnikt/Zsx+T86Woc/7yg+FLVY8E1vR+req5+VzEAm1d2ypb761B7z3FmPDMPBVjws8z6N7iMzH+oInKje0NzU+mp29qBm+YIIn5ttQzBdC/mFhuR2JRy1SP5SkeUNyyISszgboJgWd4xxGxrSS0tuich/7yZ/PbV3bdLQNdjTwDLA+TOaWpxuWv3hB7pwRmhusZNBSVZyTnTFyJCYdBwI7FHiww+eVEWNPtaCH/9rF2L8JeN1m0/+xMlUIDptAVrRakeveaLa/u7End7gYi81nixNXEeFmAZ2cAaRb+GoJ2GosvWhJu1zNUIFyJZ2qROMoiwwxkGClVQJ759zGmqMWawcC76KG5c87irkuf3YpB4MLhMznFJgopL0pOhcHdgNIO9W3D8GYOkP4rg8951gr6YNhjg68rr+25q3Mm19mQuYRJbpECcGMFrDzTaJLdzRXr8oQIad1xufbiblCoL1a1wOeklInKyWdY0vDCbAAYZDz0dS7ZpfFYcUegb2nVbp+fbRi7WDAy1jJDZGKYcmgt0BVrgfJRxwLzXZMxgXyqi+oYgcx5lvg1MxaB9kG4YZLkOBVl8Tomwbsaz1CbDyB//DmhuqHnPz6bYM4brM5bMGZQZhHLGhStiaRYBcLrpsTq9roJvYYFptISWIxgK9AcZYSev1LH6JwxDr6z0mmS1AdpHjCWvvdubEaV6x9z6NDAC9tkZ/MqxweDNIisFxD4LOV1MWavZfTQFU9BFCRq6oMCbw0WeGDovZOo7zHphX66BcxPAPsntNY7UphesLBcyZndfHCKwJsvu1DTzkiSFepIotvzI3VvOSmuKJ49pgwhW8B8L+EUJRFDNJBwkCmxGXI+miCI4i7Uyp3t5uWR5fUv7dYO0Tw0lNanj97eG4wWCnESwk4N9uaZOacZo5Zch+U5inEVRWM+ItnHkuQ3l8D0vFo3qrieQUG3jdBdKXNAoRBAugdAZX7ZzbW7Ev7lWHzLgMCX1UcJgXdlJmSBEo433L0ErPCEgKqCGV8X7fwqJOUfmtA35nV+MTuvtp3LOC5UV3d0wvSAiVcxYopR0uYD03zusFTOcaqwokGb3XJohms8m2BnpedqWDVJlK9vsW0rXQa4XZzXjD4ZWLzaQsd3ouSajuEngfpawB8Ah0Rax3e6c7maBlA54EwMuP/HIAMelGs3hVubl3Rt63hWMFLm/n8eaWRQGAOMa4DYWJ2pqevsetP84RTD1J261+P5v2XAO+pooVjU4a/xorLhTDsMFFxItUN8OXLrS05L+3CMp1UXDk7yPQ1UUy2afLRk9JQ7FLV7yf95DNBJp810K/1FEqpInASDN2ghAUE5Bz+HtoI9Ev48r05LdVvZgv2eMBz4zxVdGlUkDuPmD6npBdYR576uf6u4CVUP+MPMkhPm8BoxTg1uFKJljo6jx7ykdYEJVcPuwsJfnBO2xOHuk0QvuQRf8aHjshonetPEcVvHd1f2Ljyz+/nvN29DZgR7hoWvYqAG5WOTIKT4gUGfTPWGKzKLhcdL3hpAHFpNFWcN8uQXqeEqQr0JjiOxWyecJ+XFFyVYPt4ZUNV+7L3tDYtxgT8hfejPIAIcjloT2bwZQCWAHTSkebSFWJ1C4l+NRYLb12MZanVRZVTjcFtqjRdSNOhRE+a610VuiOO9kcH25dZE100MWD0ZhAuz2hwejxFnJQfJOg9c5qefDcj1BMBXrcGLo4KEvOEcAMzJvbVwKEQFmb7cdMYf2Ggzdr3PlWXVN4d7tPuHgQjpbidSJ5Wka6+peyUwghJPqtXAsY4QzpVFFMUVJBdRXDOipTqoPheMiW/qohXNzhCQxT4vAFfb0lG97JFxz+U1vpE/1YxhI7oDVicnyxKfgqMm4V0XBa7dX99DsD3ww2tj1+MWt8t/kSB58bqJmfBeQr9vDKdB2jOkIJ0VWWlA5blNlJ6jQYIFbLBU2v9fsFzQheiVzzoAZe174u4KBuCRIQwQhQjGBTO7hrL+C8C6iH6n8L0k3hDaI8zX2uiCz+invkWkc44wuELGkjpbk0lH57ftrp+sLvQmey10YXnsme+okCl7dHk9BwUMYX+B2vizjlN69LadyLBywBI6CYxBJzvMkoOwEFpHtLMuouB3QzENSvpMND6RWwHrSqp/F6A6PN9D5qkMxYDjODKMv3Vi1zHGAGNVrES0B/HG8MvuSahRzAjXDYs/xqG+WIfLXFmcxOr/FusMad2sC0Nmem5RHggQEtJzY1CGJ1dLoLLfpB/Z2tjXo0b90SD16uBHJgPxdUgXOAAdGWmwR40MemYdqCo9kgwfLXxo4I3EPJHu09KSY90ryit8X19pL0l9HKmu2tt0cc+qMZ+W4FZ2cXWdJoJepeV1MNDaSbKzMFlaqKliWms9BVRXGp78pA9TboNUPwclLhnbsPa/X8N8Nw8niypjIQsLiKmG0E6DUDI4sSfEuqVuwu9XJwXIro+OdQjXkcYYHXtzAkoN0DVBcY18LEy1Nr6VsbXPIbFweiw5P8j0LWW5KTeck56x+kLpPrltxrrNh3rwZSVpfPLjDXXEbGj8COcRehhuikifVbEv/MPTavWTSqqmG+I7lDubkDqaQy2BrQ+RHyLS0wf68Z9DFNyIsXDL2LWLzAwLQV5HWSvnle/+kV3xEs49RATZqWGXt/uZ0raTCuLK78TYv6cj8GfVXDSdukSVqRALrcnLQx6G0rPsq9rUt6hXfObtrnwoJePrI9ePsH3/B8AuEiJ0i0OzkEzyFfgZxD8MJsVDlWA92NiYFxR+RwyfLOrhnfnCV3NyHWzo04s7u9UfiBMOpVYv0lEZ3Un15x7IMvQDQHSr3+0vmrIrC97rs9icU5rUeISGPkiQCEh/0YHXnXR4jEhk/iZAV/inwDwBNpCa4ovWxogVFg6XHQcWHBkLWmSLJoBvCuQP6dS/EppPPROdpE1e5x1RZdPs579hBVbzhlvSkQEiUP1F+HGti1DPeTRd54rC+efZDz6J1VzgcKVcFwpwoGnPgu2i/rLyISHE/TTIIyjbsLgGLEa1+aXwi9mtqx4Y+D1v/8TTgPzikune8Tn+0SPzW944vVN+fNKukLBm1TxEWId0pmN/r4m0HbagEWFyWKNJNKls8FdeQybSOQkTVtLx1ZM7bwVtw7Y57J2xOw8SybXtdpnf0W6OnwTz4kPtg3+/WboKvLnYlpeOD8vx8/xjuBboa5QqizuxetRzx15pYU22NlbqgqR0ZxksOtA259almDXoLuv328ujwEmv3heXltTfpfz+e7fXv7HhkUCqfCQDlcc5SMOg0EDNjhY/+ZP8QcAbzggtXDnAv9nXf+twbswv6zUenaUGqnf2ti4738WdN1ky5kxnQFwP7vX3ZMZgIkDFAE06xkzBaOD9dgrewB3KD9N8DLP7uzWhOySTnbpLZ0HyBJ2+jt9yzcTgUAQo70W7LW7DmuWGycdB18ULZ9JglE+8OyWeJ0rUPZEB+n72aVE9/9HfG8iwDu7/y/jfzLvZp5Lr8XNsbb7mT412LTj7uu7jBvXvdMjq/R7MwAvjvJgC+rsHsCZZTcWT+wZf2f3ONnzo3lA8BDKTQR1yWxcTgFCpRjNW7G3iy4uLjuri1Ix0xUuaW3397yMg+lTMRNRnhuJJMaaeLi+M5I6DaoBoxTraD+0J4URVFDonUKiZ6qxbb7SH1tjB+qCheNyo9J1qqoEwLS/ruVgXbSoKOwlA+HG9kOxPUDiFJwSGlESG9bVEIztRF26fXxapOT0pFDLjvZ6l1lxC+GJkfLiXOB0YYxW0v1eIvGmL17QJLh1Pw60lkVKTvI4cLEweVbMtkCwa7efTAYY4UJBV2xzS4sjUzQ9Gi20npeLxsamrUDnFIzOyY3omBRSJVa5JeB17auNxVqnoKCQwnmRQ137DzgBT45EinMob4J1pDpp9nd11e3fCaQcEMgrLfE9yt3ccugvmQ3ohDq6oHSMMMoVhoz67R0SejPIbaKaf7oxcjJZbfKD/kvNDQ0NeXmlxTlME9Lvk9bbVj2wBQ3x9Pg5o8ooYD+shorUeq/6rZ273b1LURRNFYSm+mQiSPFmmllc/lCnyhNsaRZYn/didnkt6tumR4dP8DRwo4LWqrE3iepeC3rZakdVGHmXADSJCfUKjRLU+opfM3l5JLJUIB5Dmy3LA+qZgFE+y/NTm59uOfTW1OiYcR77M62femZLvOFVB2Z5QcdXlHRfl+9X72ivP3BJeORJyTBfwUInMTSusEllvC3AOIBe9lyVgmiu28CqLpOHXFHaqGQPEuhCFdojrcmVB9GQLC8ceT5Ap7DwxtrWvXsmR0eMDyldSYzzFHTQ9Z8kfL8qhwOTifUshTza0HJwX1H+qGlk9BpOd9TzO0L0q82xfS/NyCst00BgMUCBZ2L77s1o3/RotMjT8Bwhc7mSjlKym6C8xpA5E4RJEOwF2UKoC438XwGh8QJ7JQStLqYxoG2p1uQvuYjHG+VrBKwMbhTiU0j97ckYP+gVylKITGPwISF9mWYMK/+1Tcl/EvhKEJUxUrcfajm0cXhB6Vih4JfU0no2Mldhv+U0aUSkdLLhwKetsQ91NR3cORzgtsJR1zHARFqnwmPI16c0oK4t/R0oeWB7BVn8KtV6YIMpHDkXgkWq/oNb4vXPXpg78hwEcC0UuVbtj+vih14YU1S+iMDjOJWqqW07+KdxGBcamdd5KgdoMRElXGwoRH/p1NA6NBd15BYenGpULlDSJKDn9lTXf1YfO7CjtLBsEqk53Qie/n1832tTCkpP8Ti4kJXaQbpHgA+L2FcNeDIxzoHIA8lWr9YU4nxVO8Uj/QMbPRs+79OW0Eoq6PywT3wrlHebpL23tutA7+FOp31us4jKbJv0fxoMBD6khi9JMR7e2li3ewYKC7Ug90qQjmTy9vgqwUQ+loUSchKn6PMK3WaYCkXRtS9Wd79zRxcVjD6ZWL6iRmvE0lQDvF0fSD0ysisYoouHlf/at1hmIOdATEDSZ8zlIQmaFk3qFyG8llwDKssfSHS7S22JMS90oL16Z3Nz+rdWLiwa/iES7xNsqAGC0VblT6w0hoQ3iMHJRPpJQKoJupyIrhHQmQA/0Nyc2lgQ5X9Ot9IRnwXFs7DyCgfoElHzboLba7c1NaWPg11UUHqqwPsUMxW5RiZSPF0br3PZHHwof8TwAuY5bMhlTYQ1XZiNCfj3RiVAoAksqHXgTY0OP9lDcDFDS1TpHSGEVeVdJpxE0Ag5i5HyfyPB0BkGuIyAt41BLnxs9az/xyQHZgvpNGH7CgsaNrYceOwI01lUPimlmEXq/QIkC0nk0KbWumU9GupNzR9xhme8j3swnk/6Wnvs3UcjQNKPln3MU7oRhtd4Sb9qffvBVzLjTo2OvCLIdIH62EhEVyjLSx2JxONp8NTicTDO8a1We6QfVOXJUK5R0kUqvJrZfppY14L4RRL9377KxmRLct02dAv2/ILSU3NM4LMCblaV6aoYDejj1jP/TlYuD5CWEciI0F+UcAaRJkV1G8N/C/AuJ8Y7sFQIQg4RPa9K4y3b1zub9m/cCaT9ogNPyfs/ABcR8JIINmyO73OtEpgYKS/JIcwy0EnE1Coi25VoFJhOIaCJhWJGsOEweOYzRHQ2Kbaq4E/KNJJcSwVJvRKdpsAateTiqC8xaS6xVvu282Egd4Ih+jSp7hJCiESjydaO+7aiNd3km/Z73eDNlgD/0qS0EqA3N8f2rsiQrPMLSieEOfBJAxOxwCttsXd/mwYvMmouG7mNCb8zPi9zc82Ad1FB2Xwwz9sYq7vpo7llripzFUB+GjxYLANjolqtqm3Z//yM6Oh/sSrTiKhDLZaxpxd2Wrpte3xf4/SCsk+R8c6WTvnRlq66d9KCjZYtUeIPgvkdVTkZ0CJYehlK6w3rIp90D4POcY07IK4iaDzNSlQCSjrdtasTs/VJhoG0BpYjqpRIJbFqW+e+9KnX6ZGS08h4/wziHANusupv3RQ7sMX1uVw0bOSZYnkeKUoceArZJCb5ZsAGPyUql6rqNqPySG1r/R5nNgNsLlM17R0t+stwsYw3wteSUjlU91nCCCLsJjVbFLLIQDuEsItTqVW+CVzChpYS6I+k6n48wYOPn2yM1z3bFzyTwIMc0I+CeRxi7ffVIhabAYRtYflcgswkBFx7RnNbzP62DUlTVhi82YpGXWnIMp7fEtu/3I1ZUV6eG0/wN0TdDx5IVZA6/xIPBMLBZKCaLi4e9aiI/JYIE63Vqk2tB3aOAMKnRUfeAqXxLPQEG5mpQl+rjdc19Njt29zJQyhtUqXhDJkCg0eZTFKsfthAn7OMS1nRaVVzVVBDnkQhuCIp8vMAU9hjM0cVOar6Mvn+DnCgS1kuFqKQOlOlPIlIOqziz4Y4IiIpIXwQqn/2iILKdK6I/JEEHTDeeUbxLmDf0PQPGuj2jbH9m2ZGx473YT+uogVMqYcceM5KBNirYGgjo+tJldA8Z7Kt0Gplf78H/ggpTVHGOwouUMWrTHSmqriTsvkEeiOpqc1BmCLLPAuqbR2xuoedhXCaN7xw5PnGYm6bxn8QMXn5ZMxNLOongS0sPNYYPd8XWR6AISKZRUSvpxSnKaGjK5n6liNOMPQpJa31fPsOjJktMDnWk7uML9cCJgZoGxST6OLCkZcnPfqT50t5MuG9trVzrzvwrxOBaG5R2XQLfduzgbHtrVKbofYzUFpmC0KXAvZcZekgP7Deb8P2vHCw1Ob4Y9p9uztoMNqZJlhttuLvSLQlE7nFoVEdmtjndVEkFAxPA3HKh935bGy/C7D9GTmjRpOxJ5P19qgn+T7BMeAJrPw6JfGCGOQa0n2tXueBCOVNUehUsRoi5pdTjNqQKgl0rFXs3dKctgp8YW7JCA2GhqdSqQPb2g8dnI6xRSiQ08igM9Tc/rZfEDxTQfaZ1gOu6q4zIuUl6umZbLnAV435fuKtUJBGCnlnKTjWGGvbtAutTR8AgtFI+YQw06gU2p7vCU3MxHD5qPywnNwWO7BtJ5CYHB4xNhTy5oLsB5S5waRoXVt833N5eSPO4ABfku4At/RmB+Kbd8bjDS62jRaOdK2Fs63VKBvs8pKy/Pfthw5eXDjqw6r6CTfPVAD//v8BYFkqqN6EPWMAAAAASUVORK5CYII=">
          <a:extLst>
            <a:ext uri="{FF2B5EF4-FFF2-40B4-BE49-F238E27FC236}">
              <a16:creationId xmlns:a16="http://schemas.microsoft.com/office/drawing/2014/main" id="{00000000-0008-0000-08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22860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banrep.gov.co/es/estadisticas/indice-precios-consumidor-ipc" TargetMode="External"/><Relationship Id="rId1" Type="http://schemas.openxmlformats.org/officeDocument/2006/relationships/hyperlink" Target="https://www.dane.gov.co/index.php/estadisticas-por-tema/precios-y-costos/indice-de-precios-al-consumidor-ipc/ipc-informacion-tecnic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banrep.gov.co/es/estadisticas/indice-precios-consumidor-ipc" TargetMode="External"/><Relationship Id="rId1" Type="http://schemas.openxmlformats.org/officeDocument/2006/relationships/hyperlink" Target="https://www.dane.gov.co/index.php/estadisticas-por-tema/precios-y-costos/indice-de-precios-al-consumidor-ipc/ipc-historic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topLeftCell="B1" zoomScale="80" zoomScaleNormal="80" workbookViewId="0">
      <selection activeCell="D11" sqref="D11"/>
    </sheetView>
  </sheetViews>
  <sheetFormatPr baseColWidth="10" defaultRowHeight="15.75"/>
  <cols>
    <col min="1" max="1" width="4.28515625" style="2" customWidth="1"/>
    <col min="2" max="2" width="6.85546875" style="2" customWidth="1"/>
    <col min="3" max="3" width="45.5703125" style="2" customWidth="1"/>
    <col min="4" max="4" width="17" style="4" customWidth="1"/>
    <col min="5" max="5" width="13" style="41" bestFit="1" customWidth="1"/>
    <col min="6" max="6" width="15.7109375" style="4" customWidth="1"/>
    <col min="7" max="7" width="20.42578125" style="2" hidden="1" customWidth="1"/>
    <col min="8" max="8" width="24.140625" style="5" customWidth="1"/>
    <col min="9" max="9" width="13" style="41" bestFit="1" customWidth="1"/>
    <col min="10" max="10" width="15.140625" style="4" customWidth="1"/>
    <col min="11" max="11" width="20.42578125" style="2" hidden="1" customWidth="1"/>
    <col min="12" max="12" width="25.28515625" style="5" customWidth="1"/>
    <col min="13" max="13" width="23.42578125" style="2" customWidth="1"/>
    <col min="14" max="16384" width="11.42578125" style="2"/>
  </cols>
  <sheetData>
    <row r="1" spans="1:16" ht="21">
      <c r="A1" s="736" t="s">
        <v>0</v>
      </c>
      <c r="B1" s="736"/>
      <c r="C1" s="736"/>
      <c r="D1" s="736"/>
      <c r="E1" s="736"/>
      <c r="F1" s="736"/>
      <c r="G1" s="736"/>
      <c r="H1" s="736"/>
      <c r="I1" s="740" t="s">
        <v>1</v>
      </c>
      <c r="J1" s="740"/>
      <c r="K1" s="740"/>
      <c r="L1" s="740"/>
      <c r="M1" s="1" t="s">
        <v>2</v>
      </c>
    </row>
    <row r="2" spans="1:16" ht="40.5" customHeight="1">
      <c r="A2" s="736"/>
      <c r="B2" s="736"/>
      <c r="C2" s="736"/>
      <c r="D2" s="736"/>
      <c r="E2" s="736"/>
      <c r="F2" s="736"/>
      <c r="G2" s="736"/>
      <c r="H2" s="736"/>
      <c r="I2" s="741" t="s">
        <v>72</v>
      </c>
      <c r="J2" s="741"/>
      <c r="K2" s="741"/>
      <c r="L2" s="741"/>
      <c r="M2" s="3"/>
    </row>
    <row r="3" spans="1:16" ht="24.75" customHeight="1">
      <c r="A3" s="742" t="s">
        <v>3</v>
      </c>
      <c r="B3" s="742"/>
      <c r="C3" s="742"/>
      <c r="D3" s="742"/>
      <c r="E3" s="742"/>
      <c r="F3" s="742"/>
      <c r="G3" s="742"/>
      <c r="H3" s="742"/>
      <c r="I3" s="2"/>
    </row>
    <row r="4" spans="1:16" ht="45">
      <c r="A4" s="6" t="s">
        <v>4</v>
      </c>
      <c r="B4" s="7" t="s">
        <v>5</v>
      </c>
      <c r="C4" s="7" t="s">
        <v>6</v>
      </c>
      <c r="D4" s="8" t="s">
        <v>7</v>
      </c>
      <c r="E4" s="9" t="s">
        <v>8</v>
      </c>
      <c r="F4" s="8" t="s">
        <v>9</v>
      </c>
      <c r="G4" s="8" t="s">
        <v>10</v>
      </c>
      <c r="H4" s="8" t="s">
        <v>11</v>
      </c>
      <c r="I4" s="10" t="s">
        <v>8</v>
      </c>
      <c r="J4" s="11" t="s">
        <v>9</v>
      </c>
      <c r="K4" s="11" t="s">
        <v>10</v>
      </c>
      <c r="L4" s="11" t="s">
        <v>66</v>
      </c>
      <c r="M4" s="734" t="s">
        <v>70</v>
      </c>
      <c r="N4" s="735"/>
      <c r="O4" s="735"/>
      <c r="P4" s="735"/>
    </row>
    <row r="5" spans="1:16">
      <c r="A5" s="12">
        <v>1</v>
      </c>
      <c r="B5" s="13" t="s">
        <v>12</v>
      </c>
      <c r="C5" s="14" t="s">
        <v>13</v>
      </c>
      <c r="D5" s="15">
        <v>1793000</v>
      </c>
      <c r="E5" s="16">
        <v>5.4699999999999999E-2</v>
      </c>
      <c r="F5" s="17">
        <f>+D5*E5</f>
        <v>98077.099999999991</v>
      </c>
      <c r="G5" s="18">
        <f>+D5+F5</f>
        <v>1891077.1</v>
      </c>
      <c r="H5" s="15">
        <v>1891100</v>
      </c>
      <c r="I5" s="19">
        <f t="shared" ref="I5:I17" si="0">+$M$2</f>
        <v>0</v>
      </c>
      <c r="J5" s="20">
        <f>+H5*I5</f>
        <v>0</v>
      </c>
      <c r="K5" s="21">
        <f>+H5+J5</f>
        <v>1891100</v>
      </c>
      <c r="L5" s="22">
        <f>+H5+J5</f>
        <v>1891100</v>
      </c>
    </row>
    <row r="6" spans="1:16">
      <c r="A6" s="12">
        <v>2</v>
      </c>
      <c r="B6" s="13" t="s">
        <v>12</v>
      </c>
      <c r="C6" s="14" t="s">
        <v>14</v>
      </c>
      <c r="D6" s="15">
        <v>1793000</v>
      </c>
      <c r="E6" s="16">
        <v>5.4699999999999999E-2</v>
      </c>
      <c r="F6" s="17">
        <f t="shared" ref="F6:F17" si="1">+D6*E6</f>
        <v>98077.099999999991</v>
      </c>
      <c r="G6" s="18">
        <f t="shared" ref="G6:G17" si="2">+D6+F6</f>
        <v>1891077.1</v>
      </c>
      <c r="H6" s="15">
        <v>1891100</v>
      </c>
      <c r="I6" s="19">
        <f t="shared" si="0"/>
        <v>0</v>
      </c>
      <c r="J6" s="20">
        <f t="shared" ref="J6:J17" si="3">+H6*I6</f>
        <v>0</v>
      </c>
      <c r="K6" s="21">
        <f t="shared" ref="K6:K17" si="4">+H6+J6</f>
        <v>1891100</v>
      </c>
      <c r="L6" s="22">
        <f t="shared" ref="L6:L17" si="5">+H6+J6</f>
        <v>1891100</v>
      </c>
    </row>
    <row r="7" spans="1:16">
      <c r="A7" s="12">
        <v>3</v>
      </c>
      <c r="B7" s="13" t="s">
        <v>12</v>
      </c>
      <c r="C7" s="14" t="s">
        <v>15</v>
      </c>
      <c r="D7" s="15">
        <v>1793000</v>
      </c>
      <c r="E7" s="16">
        <v>5.4699999999999999E-2</v>
      </c>
      <c r="F7" s="17">
        <f t="shared" si="1"/>
        <v>98077.099999999991</v>
      </c>
      <c r="G7" s="18">
        <f t="shared" si="2"/>
        <v>1891077.1</v>
      </c>
      <c r="H7" s="15">
        <v>1891100</v>
      </c>
      <c r="I7" s="19">
        <f t="shared" si="0"/>
        <v>0</v>
      </c>
      <c r="J7" s="20">
        <f t="shared" si="3"/>
        <v>0</v>
      </c>
      <c r="K7" s="21">
        <f t="shared" si="4"/>
        <v>1891100</v>
      </c>
      <c r="L7" s="22">
        <f t="shared" si="5"/>
        <v>1891100</v>
      </c>
    </row>
    <row r="8" spans="1:16">
      <c r="A8" s="12">
        <v>4</v>
      </c>
      <c r="B8" s="13" t="s">
        <v>12</v>
      </c>
      <c r="C8" s="14" t="s">
        <v>16</v>
      </c>
      <c r="D8" s="15">
        <v>1793000</v>
      </c>
      <c r="E8" s="16">
        <v>5.4699999999999999E-2</v>
      </c>
      <c r="F8" s="17">
        <f t="shared" si="1"/>
        <v>98077.099999999991</v>
      </c>
      <c r="G8" s="18">
        <f t="shared" si="2"/>
        <v>1891077.1</v>
      </c>
      <c r="H8" s="15">
        <v>1891100</v>
      </c>
      <c r="I8" s="19">
        <f t="shared" si="0"/>
        <v>0</v>
      </c>
      <c r="J8" s="20">
        <f t="shared" si="3"/>
        <v>0</v>
      </c>
      <c r="K8" s="21">
        <f t="shared" si="4"/>
        <v>1891100</v>
      </c>
      <c r="L8" s="22">
        <f t="shared" si="5"/>
        <v>1891100</v>
      </c>
    </row>
    <row r="9" spans="1:16">
      <c r="A9" s="12">
        <v>5</v>
      </c>
      <c r="B9" s="13" t="s">
        <v>12</v>
      </c>
      <c r="C9" s="14" t="s">
        <v>17</v>
      </c>
      <c r="D9" s="15">
        <v>1793000</v>
      </c>
      <c r="E9" s="16">
        <v>5.4699999999999999E-2</v>
      </c>
      <c r="F9" s="17">
        <f t="shared" si="1"/>
        <v>98077.099999999991</v>
      </c>
      <c r="G9" s="18">
        <f t="shared" si="2"/>
        <v>1891077.1</v>
      </c>
      <c r="H9" s="15">
        <v>1891100</v>
      </c>
      <c r="I9" s="19">
        <f t="shared" si="0"/>
        <v>0</v>
      </c>
      <c r="J9" s="20">
        <f t="shared" si="3"/>
        <v>0</v>
      </c>
      <c r="K9" s="21">
        <f t="shared" si="4"/>
        <v>1891100</v>
      </c>
      <c r="L9" s="22">
        <f t="shared" si="5"/>
        <v>1891100</v>
      </c>
    </row>
    <row r="10" spans="1:16">
      <c r="A10" s="12">
        <v>6</v>
      </c>
      <c r="B10" s="13" t="s">
        <v>12</v>
      </c>
      <c r="C10" s="14" t="s">
        <v>18</v>
      </c>
      <c r="D10" s="15">
        <v>1679000</v>
      </c>
      <c r="E10" s="16">
        <v>5.4699999999999999E-2</v>
      </c>
      <c r="F10" s="17">
        <f t="shared" si="1"/>
        <v>91841.3</v>
      </c>
      <c r="G10" s="18">
        <f t="shared" si="2"/>
        <v>1770841.3</v>
      </c>
      <c r="H10" s="15">
        <v>1770800</v>
      </c>
      <c r="I10" s="19">
        <f t="shared" si="0"/>
        <v>0</v>
      </c>
      <c r="J10" s="20">
        <f t="shared" si="3"/>
        <v>0</v>
      </c>
      <c r="K10" s="21">
        <f t="shared" si="4"/>
        <v>1770800</v>
      </c>
      <c r="L10" s="22">
        <f t="shared" si="5"/>
        <v>1770800</v>
      </c>
    </row>
    <row r="11" spans="1:16">
      <c r="A11" s="12">
        <v>7</v>
      </c>
      <c r="B11" s="13" t="s">
        <v>12</v>
      </c>
      <c r="C11" s="14" t="s">
        <v>19</v>
      </c>
      <c r="D11" s="15">
        <v>1679000</v>
      </c>
      <c r="E11" s="16">
        <v>5.4699999999999999E-2</v>
      </c>
      <c r="F11" s="17">
        <f t="shared" si="1"/>
        <v>91841.3</v>
      </c>
      <c r="G11" s="18">
        <f t="shared" si="2"/>
        <v>1770841.3</v>
      </c>
      <c r="H11" s="15">
        <v>1770800</v>
      </c>
      <c r="I11" s="19">
        <f t="shared" si="0"/>
        <v>0</v>
      </c>
      <c r="J11" s="20">
        <f t="shared" si="3"/>
        <v>0</v>
      </c>
      <c r="K11" s="21">
        <f t="shared" si="4"/>
        <v>1770800</v>
      </c>
      <c r="L11" s="22">
        <f t="shared" si="5"/>
        <v>1770800</v>
      </c>
    </row>
    <row r="12" spans="1:16">
      <c r="A12" s="12">
        <v>8</v>
      </c>
      <c r="B12" s="13" t="s">
        <v>12</v>
      </c>
      <c r="C12" s="14" t="s">
        <v>20</v>
      </c>
      <c r="D12" s="15">
        <v>1793000</v>
      </c>
      <c r="E12" s="16">
        <v>5.4699999999999999E-2</v>
      </c>
      <c r="F12" s="17">
        <f t="shared" si="1"/>
        <v>98077.099999999991</v>
      </c>
      <c r="G12" s="18">
        <f t="shared" si="2"/>
        <v>1891077.1</v>
      </c>
      <c r="H12" s="15">
        <v>1891100</v>
      </c>
      <c r="I12" s="19">
        <f t="shared" si="0"/>
        <v>0</v>
      </c>
      <c r="J12" s="20">
        <f t="shared" si="3"/>
        <v>0</v>
      </c>
      <c r="K12" s="21">
        <f t="shared" si="4"/>
        <v>1891100</v>
      </c>
      <c r="L12" s="22">
        <f t="shared" si="5"/>
        <v>1891100</v>
      </c>
    </row>
    <row r="13" spans="1:16">
      <c r="A13" s="12">
        <v>9</v>
      </c>
      <c r="B13" s="13" t="s">
        <v>12</v>
      </c>
      <c r="C13" s="14" t="s">
        <v>21</v>
      </c>
      <c r="D13" s="15">
        <v>1465000</v>
      </c>
      <c r="E13" s="16">
        <v>5.4699999999999999E-2</v>
      </c>
      <c r="F13" s="17">
        <f t="shared" si="1"/>
        <v>80135.5</v>
      </c>
      <c r="G13" s="18">
        <f t="shared" si="2"/>
        <v>1545135.5</v>
      </c>
      <c r="H13" s="15">
        <v>1545100</v>
      </c>
      <c r="I13" s="19">
        <f t="shared" si="0"/>
        <v>0</v>
      </c>
      <c r="J13" s="20">
        <f t="shared" si="3"/>
        <v>0</v>
      </c>
      <c r="K13" s="21">
        <f t="shared" si="4"/>
        <v>1545100</v>
      </c>
      <c r="L13" s="22">
        <f t="shared" si="5"/>
        <v>1545100</v>
      </c>
    </row>
    <row r="14" spans="1:16">
      <c r="A14" s="12">
        <v>10</v>
      </c>
      <c r="B14" s="13" t="s">
        <v>12</v>
      </c>
      <c r="C14" s="14" t="s">
        <v>22</v>
      </c>
      <c r="D14" s="15">
        <v>1793000</v>
      </c>
      <c r="E14" s="16">
        <v>5.4699999999999999E-2</v>
      </c>
      <c r="F14" s="17">
        <f t="shared" si="1"/>
        <v>98077.099999999991</v>
      </c>
      <c r="G14" s="18">
        <f t="shared" si="2"/>
        <v>1891077.1</v>
      </c>
      <c r="H14" s="15">
        <v>1891100</v>
      </c>
      <c r="I14" s="19">
        <f t="shared" si="0"/>
        <v>0</v>
      </c>
      <c r="J14" s="20">
        <f t="shared" si="3"/>
        <v>0</v>
      </c>
      <c r="K14" s="21">
        <f t="shared" si="4"/>
        <v>1891100</v>
      </c>
      <c r="L14" s="22">
        <f t="shared" si="5"/>
        <v>1891100</v>
      </c>
    </row>
    <row r="15" spans="1:16">
      <c r="A15" s="12">
        <v>11</v>
      </c>
      <c r="B15" s="13" t="s">
        <v>12</v>
      </c>
      <c r="C15" s="14" t="s">
        <v>23</v>
      </c>
      <c r="D15" s="15">
        <v>1608000</v>
      </c>
      <c r="E15" s="16">
        <v>5.4699999999999999E-2</v>
      </c>
      <c r="F15" s="17">
        <f t="shared" si="1"/>
        <v>87957.599999999991</v>
      </c>
      <c r="G15" s="18">
        <f t="shared" si="2"/>
        <v>1695957.6</v>
      </c>
      <c r="H15" s="15">
        <v>1696000</v>
      </c>
      <c r="I15" s="19">
        <f t="shared" si="0"/>
        <v>0</v>
      </c>
      <c r="J15" s="20">
        <f t="shared" si="3"/>
        <v>0</v>
      </c>
      <c r="K15" s="21">
        <f t="shared" si="4"/>
        <v>1696000</v>
      </c>
      <c r="L15" s="22">
        <f t="shared" si="5"/>
        <v>1696000</v>
      </c>
    </row>
    <row r="16" spans="1:16">
      <c r="A16" s="12">
        <v>12</v>
      </c>
      <c r="B16" s="13" t="s">
        <v>12</v>
      </c>
      <c r="C16" s="14" t="s">
        <v>24</v>
      </c>
      <c r="D16" s="15">
        <v>1608000</v>
      </c>
      <c r="E16" s="16">
        <v>5.4699999999999999E-2</v>
      </c>
      <c r="F16" s="17">
        <f t="shared" si="1"/>
        <v>87957.599999999991</v>
      </c>
      <c r="G16" s="18">
        <f t="shared" si="2"/>
        <v>1695957.6</v>
      </c>
      <c r="H16" s="15">
        <v>1696000</v>
      </c>
      <c r="I16" s="19">
        <f t="shared" si="0"/>
        <v>0</v>
      </c>
      <c r="J16" s="20">
        <f t="shared" si="3"/>
        <v>0</v>
      </c>
      <c r="K16" s="21">
        <f t="shared" si="4"/>
        <v>1696000</v>
      </c>
      <c r="L16" s="22">
        <f t="shared" si="5"/>
        <v>1696000</v>
      </c>
    </row>
    <row r="17" spans="1:12">
      <c r="A17" s="12">
        <v>13</v>
      </c>
      <c r="B17" s="13" t="s">
        <v>12</v>
      </c>
      <c r="C17" s="14" t="s">
        <v>25</v>
      </c>
      <c r="D17" s="15">
        <v>1679000</v>
      </c>
      <c r="E17" s="16">
        <v>5.4699999999999999E-2</v>
      </c>
      <c r="F17" s="17">
        <f t="shared" si="1"/>
        <v>91841.3</v>
      </c>
      <c r="G17" s="18">
        <f t="shared" si="2"/>
        <v>1770841.3</v>
      </c>
      <c r="H17" s="15">
        <v>1770800</v>
      </c>
      <c r="I17" s="19">
        <f t="shared" si="0"/>
        <v>0</v>
      </c>
      <c r="J17" s="20">
        <f t="shared" si="3"/>
        <v>0</v>
      </c>
      <c r="K17" s="21">
        <f t="shared" si="4"/>
        <v>1770800</v>
      </c>
      <c r="L17" s="22">
        <f t="shared" si="5"/>
        <v>1770800</v>
      </c>
    </row>
    <row r="18" spans="1:12" ht="24.75" customHeight="1">
      <c r="A18" s="736" t="s">
        <v>26</v>
      </c>
      <c r="B18" s="736"/>
      <c r="C18" s="736"/>
      <c r="D18" s="736"/>
      <c r="E18" s="736"/>
      <c r="F18" s="736"/>
      <c r="G18" s="736"/>
      <c r="H18" s="736"/>
      <c r="I18" s="2"/>
      <c r="J18" s="2"/>
      <c r="L18" s="2"/>
    </row>
    <row r="19" spans="1:12" ht="45">
      <c r="A19" s="23" t="s">
        <v>4</v>
      </c>
      <c r="B19" s="7" t="s">
        <v>5</v>
      </c>
      <c r="C19" s="7" t="s">
        <v>6</v>
      </c>
      <c r="D19" s="8" t="s">
        <v>7</v>
      </c>
      <c r="E19" s="9" t="s">
        <v>8</v>
      </c>
      <c r="F19" s="8" t="s">
        <v>9</v>
      </c>
      <c r="G19" s="8" t="s">
        <v>10</v>
      </c>
      <c r="H19" s="8" t="s">
        <v>11</v>
      </c>
      <c r="I19" s="10" t="s">
        <v>8</v>
      </c>
      <c r="J19" s="11" t="s">
        <v>9</v>
      </c>
      <c r="K19" s="11" t="s">
        <v>10</v>
      </c>
      <c r="L19" s="11" t="s">
        <v>66</v>
      </c>
    </row>
    <row r="20" spans="1:12" ht="31.5">
      <c r="A20" s="24">
        <v>1</v>
      </c>
      <c r="B20" s="24" t="s">
        <v>27</v>
      </c>
      <c r="C20" s="14" t="s">
        <v>28</v>
      </c>
      <c r="D20" s="25">
        <v>3200550</v>
      </c>
      <c r="E20" s="26">
        <v>5.4699999999999999E-2</v>
      </c>
      <c r="F20" s="27">
        <f t="shared" ref="F20" si="6">+D20*E20</f>
        <v>175070.08499999999</v>
      </c>
      <c r="G20" s="28">
        <f t="shared" ref="G20" si="7">+D20+F20</f>
        <v>3375620.085</v>
      </c>
      <c r="H20" s="25">
        <v>3375600</v>
      </c>
      <c r="I20" s="19">
        <f>+$M$2</f>
        <v>0</v>
      </c>
      <c r="J20" s="29">
        <f t="shared" ref="J20" si="8">+H20*I20</f>
        <v>0</v>
      </c>
      <c r="K20" s="30">
        <f t="shared" ref="K20" si="9">+H20+J20</f>
        <v>3375600</v>
      </c>
      <c r="L20" s="31">
        <f>+H20+J20</f>
        <v>3375600</v>
      </c>
    </row>
    <row r="21" spans="1:12" ht="23.25" customHeight="1">
      <c r="B21" s="736" t="s">
        <v>29</v>
      </c>
      <c r="C21" s="736"/>
      <c r="D21" s="736"/>
      <c r="E21" s="736"/>
      <c r="F21" s="736"/>
      <c r="G21" s="736"/>
      <c r="H21" s="736"/>
      <c r="I21" s="2"/>
      <c r="J21" s="2"/>
      <c r="L21" s="2"/>
    </row>
    <row r="22" spans="1:12" ht="45">
      <c r="A22" s="32"/>
      <c r="B22" s="33" t="s">
        <v>4</v>
      </c>
      <c r="C22" s="7" t="s">
        <v>29</v>
      </c>
      <c r="D22" s="8" t="s">
        <v>30</v>
      </c>
      <c r="E22" s="9" t="s">
        <v>8</v>
      </c>
      <c r="F22" s="8" t="s">
        <v>9</v>
      </c>
      <c r="G22" s="8" t="s">
        <v>31</v>
      </c>
      <c r="H22" s="8" t="s">
        <v>11</v>
      </c>
      <c r="I22" s="10" t="s">
        <v>8</v>
      </c>
      <c r="J22" s="11" t="s">
        <v>9</v>
      </c>
      <c r="K22" s="11" t="s">
        <v>31</v>
      </c>
      <c r="L22" s="11" t="s">
        <v>66</v>
      </c>
    </row>
    <row r="23" spans="1:12">
      <c r="A23" s="32"/>
      <c r="B23" s="13">
        <v>1</v>
      </c>
      <c r="C23" s="14" t="s">
        <v>32</v>
      </c>
      <c r="D23" s="34">
        <v>59400</v>
      </c>
      <c r="E23" s="16">
        <v>5.4699999999999999E-2</v>
      </c>
      <c r="F23" s="17">
        <f>+D23*E23</f>
        <v>3249.18</v>
      </c>
      <c r="G23" s="18">
        <f>+D23+F23</f>
        <v>62649.18</v>
      </c>
      <c r="H23" s="34">
        <v>62600</v>
      </c>
      <c r="I23" s="19">
        <f t="shared" ref="I23:I36" si="10">+$M$2</f>
        <v>0</v>
      </c>
      <c r="J23" s="20">
        <f>+H23*I23</f>
        <v>0</v>
      </c>
      <c r="K23" s="21">
        <f>+H23+J23</f>
        <v>62600</v>
      </c>
      <c r="L23" s="35">
        <f>+H23+J23</f>
        <v>62600</v>
      </c>
    </row>
    <row r="24" spans="1:12">
      <c r="A24" s="32"/>
      <c r="B24" s="13">
        <v>2</v>
      </c>
      <c r="C24" s="36" t="s">
        <v>33</v>
      </c>
      <c r="D24" s="34">
        <v>37800</v>
      </c>
      <c r="E24" s="16">
        <v>5.4699999999999999E-2</v>
      </c>
      <c r="F24" s="17">
        <f t="shared" ref="F24:F36" si="11">+D24*E24</f>
        <v>2067.66</v>
      </c>
      <c r="G24" s="18">
        <f t="shared" ref="G24:G36" si="12">+D24+F24</f>
        <v>39867.660000000003</v>
      </c>
      <c r="H24" s="34">
        <v>39900</v>
      </c>
      <c r="I24" s="19">
        <f t="shared" si="10"/>
        <v>0</v>
      </c>
      <c r="J24" s="20">
        <f t="shared" ref="J24:J36" si="13">+H24*I24</f>
        <v>0</v>
      </c>
      <c r="K24" s="21">
        <f t="shared" ref="K24:K25" si="14">+H24+J24</f>
        <v>39900</v>
      </c>
      <c r="L24" s="35">
        <f t="shared" ref="L24:L36" si="15">+H24+J24</f>
        <v>39900</v>
      </c>
    </row>
    <row r="25" spans="1:12">
      <c r="A25" s="32"/>
      <c r="B25" s="13">
        <v>3</v>
      </c>
      <c r="C25" s="37" t="s">
        <v>34</v>
      </c>
      <c r="D25" s="34">
        <v>315600</v>
      </c>
      <c r="E25" s="16">
        <v>5.4699999999999999E-2</v>
      </c>
      <c r="F25" s="17">
        <f t="shared" si="11"/>
        <v>17263.32</v>
      </c>
      <c r="G25" s="18">
        <f t="shared" si="12"/>
        <v>332863.32</v>
      </c>
      <c r="H25" s="34">
        <v>332900</v>
      </c>
      <c r="I25" s="19">
        <f t="shared" si="10"/>
        <v>0</v>
      </c>
      <c r="J25" s="20">
        <f t="shared" si="13"/>
        <v>0</v>
      </c>
      <c r="K25" s="21">
        <f t="shared" si="14"/>
        <v>332900</v>
      </c>
      <c r="L25" s="35">
        <f t="shared" si="15"/>
        <v>332900</v>
      </c>
    </row>
    <row r="26" spans="1:12">
      <c r="A26" s="32"/>
      <c r="B26" s="13">
        <v>4</v>
      </c>
      <c r="C26" s="37" t="s">
        <v>35</v>
      </c>
      <c r="D26" s="34"/>
      <c r="E26" s="16"/>
      <c r="F26" s="17"/>
      <c r="G26" s="34">
        <v>480000</v>
      </c>
      <c r="H26" s="34">
        <v>480000</v>
      </c>
      <c r="I26" s="19">
        <f t="shared" si="10"/>
        <v>0</v>
      </c>
      <c r="J26" s="20">
        <f t="shared" si="13"/>
        <v>0</v>
      </c>
      <c r="K26" s="35">
        <v>480000</v>
      </c>
      <c r="L26" s="35">
        <f t="shared" si="15"/>
        <v>480000</v>
      </c>
    </row>
    <row r="27" spans="1:12">
      <c r="A27" s="32"/>
      <c r="B27" s="13">
        <v>5</v>
      </c>
      <c r="C27" s="14" t="s">
        <v>36</v>
      </c>
      <c r="D27" s="34">
        <v>7800</v>
      </c>
      <c r="E27" s="16">
        <v>5.4699999999999999E-2</v>
      </c>
      <c r="F27" s="17">
        <f t="shared" si="11"/>
        <v>426.65999999999997</v>
      </c>
      <c r="G27" s="18">
        <f t="shared" si="12"/>
        <v>8226.66</v>
      </c>
      <c r="H27" s="34">
        <v>8200</v>
      </c>
      <c r="I27" s="19">
        <f t="shared" si="10"/>
        <v>0</v>
      </c>
      <c r="J27" s="20">
        <f t="shared" si="13"/>
        <v>0</v>
      </c>
      <c r="K27" s="21">
        <f t="shared" ref="K27:K36" si="16">+H27+J27</f>
        <v>8200</v>
      </c>
      <c r="L27" s="35">
        <f t="shared" si="15"/>
        <v>8200</v>
      </c>
    </row>
    <row r="28" spans="1:12">
      <c r="A28" s="32"/>
      <c r="B28" s="13">
        <v>6</v>
      </c>
      <c r="C28" s="38" t="s">
        <v>37</v>
      </c>
      <c r="D28" s="39">
        <v>115700</v>
      </c>
      <c r="E28" s="16">
        <v>5.4699999999999999E-2</v>
      </c>
      <c r="F28" s="40">
        <f t="shared" si="11"/>
        <v>6328.79</v>
      </c>
      <c r="G28" s="18">
        <f t="shared" si="12"/>
        <v>122028.79</v>
      </c>
      <c r="H28" s="39">
        <v>122000</v>
      </c>
      <c r="I28" s="19">
        <f t="shared" si="10"/>
        <v>0</v>
      </c>
      <c r="J28" s="20">
        <f t="shared" si="13"/>
        <v>0</v>
      </c>
      <c r="K28" s="21">
        <f t="shared" si="16"/>
        <v>122000</v>
      </c>
      <c r="L28" s="35">
        <f t="shared" si="15"/>
        <v>122000</v>
      </c>
    </row>
    <row r="29" spans="1:12">
      <c r="A29" s="32"/>
      <c r="B29" s="13">
        <v>7</v>
      </c>
      <c r="C29" s="38" t="s">
        <v>38</v>
      </c>
      <c r="D29" s="39">
        <v>206000</v>
      </c>
      <c r="E29" s="16">
        <v>5.4699999999999999E-2</v>
      </c>
      <c r="F29" s="40">
        <f t="shared" si="11"/>
        <v>11268.199999999999</v>
      </c>
      <c r="G29" s="18">
        <f t="shared" si="12"/>
        <v>217268.2</v>
      </c>
      <c r="H29" s="39">
        <v>217300</v>
      </c>
      <c r="I29" s="19">
        <f t="shared" si="10"/>
        <v>0</v>
      </c>
      <c r="J29" s="20">
        <f t="shared" si="13"/>
        <v>0</v>
      </c>
      <c r="K29" s="21">
        <f t="shared" si="16"/>
        <v>217300</v>
      </c>
      <c r="L29" s="35">
        <f t="shared" si="15"/>
        <v>217300</v>
      </c>
    </row>
    <row r="30" spans="1:12">
      <c r="A30" s="32"/>
      <c r="B30" s="13">
        <v>8</v>
      </c>
      <c r="C30" s="37" t="s">
        <v>39</v>
      </c>
      <c r="D30" s="34">
        <v>5200</v>
      </c>
      <c r="E30" s="16">
        <v>5.4699999999999999E-2</v>
      </c>
      <c r="F30" s="17">
        <f t="shared" si="11"/>
        <v>284.44</v>
      </c>
      <c r="G30" s="18">
        <f t="shared" si="12"/>
        <v>5484.44</v>
      </c>
      <c r="H30" s="34">
        <v>5500</v>
      </c>
      <c r="I30" s="19">
        <f t="shared" si="10"/>
        <v>0</v>
      </c>
      <c r="J30" s="20">
        <f t="shared" si="13"/>
        <v>0</v>
      </c>
      <c r="K30" s="21">
        <f t="shared" si="16"/>
        <v>5500</v>
      </c>
      <c r="L30" s="35">
        <f t="shared" si="15"/>
        <v>5500</v>
      </c>
    </row>
    <row r="31" spans="1:12">
      <c r="A31" s="32"/>
      <c r="B31" s="13">
        <v>9</v>
      </c>
      <c r="C31" s="37" t="s">
        <v>40</v>
      </c>
      <c r="D31" s="34">
        <v>59500</v>
      </c>
      <c r="E31" s="16">
        <v>5.4699999999999999E-2</v>
      </c>
      <c r="F31" s="17">
        <f t="shared" si="11"/>
        <v>3254.65</v>
      </c>
      <c r="G31" s="18">
        <f t="shared" si="12"/>
        <v>62754.65</v>
      </c>
      <c r="H31" s="34">
        <v>62800</v>
      </c>
      <c r="I31" s="19">
        <f t="shared" si="10"/>
        <v>0</v>
      </c>
      <c r="J31" s="20">
        <f t="shared" si="13"/>
        <v>0</v>
      </c>
      <c r="K31" s="21">
        <f t="shared" si="16"/>
        <v>62800</v>
      </c>
      <c r="L31" s="35">
        <f t="shared" si="15"/>
        <v>62800</v>
      </c>
    </row>
    <row r="32" spans="1:12">
      <c r="A32" s="32"/>
      <c r="B32" s="13">
        <v>10</v>
      </c>
      <c r="C32" s="37" t="s">
        <v>41</v>
      </c>
      <c r="D32" s="34">
        <v>17900</v>
      </c>
      <c r="E32" s="16">
        <v>5.4699999999999999E-2</v>
      </c>
      <c r="F32" s="17">
        <f t="shared" si="11"/>
        <v>979.13</v>
      </c>
      <c r="G32" s="18">
        <f t="shared" si="12"/>
        <v>18879.13</v>
      </c>
      <c r="H32" s="34">
        <v>18900</v>
      </c>
      <c r="I32" s="19">
        <f t="shared" si="10"/>
        <v>0</v>
      </c>
      <c r="J32" s="20">
        <f t="shared" si="13"/>
        <v>0</v>
      </c>
      <c r="K32" s="21">
        <f t="shared" si="16"/>
        <v>18900</v>
      </c>
      <c r="L32" s="35">
        <f t="shared" si="15"/>
        <v>18900</v>
      </c>
    </row>
    <row r="33" spans="1:12">
      <c r="A33" s="32"/>
      <c r="B33" s="13">
        <v>11</v>
      </c>
      <c r="C33" s="37" t="s">
        <v>42</v>
      </c>
      <c r="D33" s="34">
        <v>11600</v>
      </c>
      <c r="E33" s="16">
        <v>5.4699999999999999E-2</v>
      </c>
      <c r="F33" s="17">
        <f t="shared" si="11"/>
        <v>634.52</v>
      </c>
      <c r="G33" s="18">
        <f t="shared" si="12"/>
        <v>12234.52</v>
      </c>
      <c r="H33" s="34">
        <v>12200</v>
      </c>
      <c r="I33" s="19">
        <f t="shared" si="10"/>
        <v>0</v>
      </c>
      <c r="J33" s="20">
        <f t="shared" si="13"/>
        <v>0</v>
      </c>
      <c r="K33" s="21">
        <f t="shared" si="16"/>
        <v>12200</v>
      </c>
      <c r="L33" s="35">
        <f t="shared" si="15"/>
        <v>12200</v>
      </c>
    </row>
    <row r="34" spans="1:12">
      <c r="A34" s="32"/>
      <c r="B34" s="13">
        <v>12</v>
      </c>
      <c r="C34" s="37" t="s">
        <v>43</v>
      </c>
      <c r="D34" s="34">
        <v>186000</v>
      </c>
      <c r="E34" s="16">
        <v>5.4699999999999999E-2</v>
      </c>
      <c r="F34" s="17">
        <f t="shared" si="11"/>
        <v>10174.199999999999</v>
      </c>
      <c r="G34" s="18">
        <f t="shared" si="12"/>
        <v>196174.2</v>
      </c>
      <c r="H34" s="34">
        <v>196200</v>
      </c>
      <c r="I34" s="19">
        <f t="shared" si="10"/>
        <v>0</v>
      </c>
      <c r="J34" s="20">
        <f t="shared" si="13"/>
        <v>0</v>
      </c>
      <c r="K34" s="21">
        <f t="shared" si="16"/>
        <v>196200</v>
      </c>
      <c r="L34" s="35">
        <f t="shared" si="15"/>
        <v>196200</v>
      </c>
    </row>
    <row r="35" spans="1:12">
      <c r="A35" s="32"/>
      <c r="B35" s="13">
        <v>13</v>
      </c>
      <c r="C35" s="37" t="s">
        <v>44</v>
      </c>
      <c r="D35" s="34">
        <v>36700</v>
      </c>
      <c r="E35" s="16">
        <v>5.4699999999999999E-2</v>
      </c>
      <c r="F35" s="17">
        <f t="shared" si="11"/>
        <v>2007.49</v>
      </c>
      <c r="G35" s="18">
        <f t="shared" si="12"/>
        <v>38707.49</v>
      </c>
      <c r="H35" s="34">
        <v>38700</v>
      </c>
      <c r="I35" s="19">
        <f t="shared" si="10"/>
        <v>0</v>
      </c>
      <c r="J35" s="20">
        <f t="shared" si="13"/>
        <v>0</v>
      </c>
      <c r="K35" s="21">
        <f t="shared" si="16"/>
        <v>38700</v>
      </c>
      <c r="L35" s="35">
        <f t="shared" si="15"/>
        <v>38700</v>
      </c>
    </row>
    <row r="36" spans="1:12">
      <c r="A36" s="32"/>
      <c r="B36" s="13">
        <v>14</v>
      </c>
      <c r="C36" s="37" t="s">
        <v>45</v>
      </c>
      <c r="D36" s="34">
        <v>225000</v>
      </c>
      <c r="E36" s="16">
        <v>5.4699999999999999E-2</v>
      </c>
      <c r="F36" s="17">
        <f t="shared" si="11"/>
        <v>12307.5</v>
      </c>
      <c r="G36" s="18">
        <f t="shared" si="12"/>
        <v>237307.5</v>
      </c>
      <c r="H36" s="34">
        <v>237300</v>
      </c>
      <c r="I36" s="19">
        <f t="shared" si="10"/>
        <v>0</v>
      </c>
      <c r="J36" s="20">
        <f t="shared" si="13"/>
        <v>0</v>
      </c>
      <c r="K36" s="21">
        <f t="shared" si="16"/>
        <v>237300</v>
      </c>
      <c r="L36" s="35">
        <f t="shared" si="15"/>
        <v>237300</v>
      </c>
    </row>
    <row r="38" spans="1:12" ht="39.75" customHeight="1">
      <c r="B38" s="743" t="s">
        <v>46</v>
      </c>
      <c r="C38" s="744"/>
      <c r="D38" s="744"/>
      <c r="E38" s="744"/>
      <c r="F38" s="744"/>
      <c r="G38" s="744"/>
      <c r="H38" s="744"/>
      <c r="I38" s="744"/>
      <c r="J38" s="744"/>
      <c r="K38" s="744"/>
      <c r="L38" s="745"/>
    </row>
    <row r="40" spans="1:12" ht="46.5" customHeight="1">
      <c r="B40" s="746" t="s">
        <v>47</v>
      </c>
      <c r="C40" s="747"/>
      <c r="D40" s="747"/>
      <c r="E40" s="747"/>
      <c r="F40" s="747"/>
      <c r="G40" s="747"/>
      <c r="H40" s="747"/>
      <c r="I40" s="747"/>
      <c r="J40" s="747"/>
      <c r="K40" s="747"/>
      <c r="L40" s="748"/>
    </row>
    <row r="41" spans="1:12" ht="42.75" customHeight="1">
      <c r="A41" s="32"/>
      <c r="B41" s="33" t="s">
        <v>4</v>
      </c>
      <c r="C41" s="7" t="s">
        <v>29</v>
      </c>
      <c r="D41" s="7" t="s">
        <v>69</v>
      </c>
      <c r="E41" s="749" t="s">
        <v>68</v>
      </c>
      <c r="F41" s="750"/>
      <c r="G41" s="750"/>
      <c r="H41" s="751"/>
      <c r="I41" s="10" t="s">
        <v>8</v>
      </c>
      <c r="J41" s="11" t="s">
        <v>9</v>
      </c>
      <c r="K41" s="11" t="s">
        <v>31</v>
      </c>
      <c r="L41" s="11" t="s">
        <v>67</v>
      </c>
    </row>
    <row r="42" spans="1:12">
      <c r="A42" s="32"/>
      <c r="B42" s="12">
        <v>1</v>
      </c>
      <c r="C42" s="42" t="s">
        <v>48</v>
      </c>
      <c r="D42" s="43">
        <v>196200</v>
      </c>
      <c r="E42" s="737"/>
      <c r="F42" s="738"/>
      <c r="G42" s="738"/>
      <c r="H42" s="739"/>
      <c r="I42" s="19">
        <f>+$M$2</f>
        <v>0</v>
      </c>
      <c r="J42" s="20">
        <f>+D42*I42</f>
        <v>0</v>
      </c>
      <c r="K42" s="21">
        <f t="shared" ref="K42:K43" si="17">+H42+J42</f>
        <v>0</v>
      </c>
      <c r="L42" s="35">
        <f>+D42+J42</f>
        <v>196200</v>
      </c>
    </row>
    <row r="43" spans="1:12">
      <c r="A43" s="32"/>
      <c r="B43" s="12">
        <v>2</v>
      </c>
      <c r="C43" s="42" t="s">
        <v>49</v>
      </c>
      <c r="D43" s="43">
        <v>449200</v>
      </c>
      <c r="E43" s="737"/>
      <c r="F43" s="738"/>
      <c r="G43" s="738"/>
      <c r="H43" s="739"/>
      <c r="I43" s="19">
        <f>+$M$2</f>
        <v>0</v>
      </c>
      <c r="J43" s="20">
        <f t="shared" ref="J43:J63" si="18">+D43*I43</f>
        <v>0</v>
      </c>
      <c r="K43" s="21">
        <f t="shared" si="17"/>
        <v>0</v>
      </c>
      <c r="L43" s="35">
        <f t="shared" ref="L43:L63" si="19">+D43+J43</f>
        <v>449200</v>
      </c>
    </row>
    <row r="44" spans="1:12" ht="23.25" customHeight="1">
      <c r="A44" s="32"/>
      <c r="B44" s="752">
        <v>3</v>
      </c>
      <c r="C44" s="755" t="s">
        <v>50</v>
      </c>
      <c r="D44" s="43">
        <v>314000</v>
      </c>
      <c r="E44" s="758" t="s">
        <v>51</v>
      </c>
      <c r="F44" s="759"/>
      <c r="G44" s="759"/>
      <c r="H44" s="760"/>
      <c r="I44" s="19">
        <f t="shared" ref="I44:I56" si="20">+$M$2</f>
        <v>0</v>
      </c>
      <c r="J44" s="20">
        <f t="shared" si="18"/>
        <v>0</v>
      </c>
      <c r="K44" s="21"/>
      <c r="L44" s="35">
        <f t="shared" si="19"/>
        <v>314000</v>
      </c>
    </row>
    <row r="45" spans="1:12">
      <c r="A45" s="32"/>
      <c r="B45" s="753"/>
      <c r="C45" s="756"/>
      <c r="D45" s="43">
        <v>471000</v>
      </c>
      <c r="E45" s="761"/>
      <c r="F45" s="762"/>
      <c r="G45" s="762"/>
      <c r="H45" s="763"/>
      <c r="I45" s="19">
        <f t="shared" si="20"/>
        <v>0</v>
      </c>
      <c r="J45" s="20">
        <f t="shared" si="18"/>
        <v>0</v>
      </c>
      <c r="K45" s="21"/>
      <c r="L45" s="35">
        <f t="shared" si="19"/>
        <v>471000</v>
      </c>
    </row>
    <row r="46" spans="1:12">
      <c r="A46" s="32"/>
      <c r="B46" s="753"/>
      <c r="C46" s="756"/>
      <c r="D46" s="43">
        <v>628000</v>
      </c>
      <c r="E46" s="761"/>
      <c r="F46" s="762"/>
      <c r="G46" s="762"/>
      <c r="H46" s="763"/>
      <c r="I46" s="19">
        <f t="shared" si="20"/>
        <v>0</v>
      </c>
      <c r="J46" s="20">
        <f t="shared" si="18"/>
        <v>0</v>
      </c>
      <c r="K46" s="21"/>
      <c r="L46" s="35">
        <f t="shared" si="19"/>
        <v>628000</v>
      </c>
    </row>
    <row r="47" spans="1:12">
      <c r="A47" s="32"/>
      <c r="B47" s="753"/>
      <c r="C47" s="756"/>
      <c r="D47" s="43">
        <v>942000</v>
      </c>
      <c r="E47" s="761"/>
      <c r="F47" s="762"/>
      <c r="G47" s="762"/>
      <c r="H47" s="763"/>
      <c r="I47" s="19">
        <f t="shared" si="20"/>
        <v>0</v>
      </c>
      <c r="J47" s="20">
        <f t="shared" si="18"/>
        <v>0</v>
      </c>
      <c r="K47" s="21"/>
      <c r="L47" s="35">
        <f t="shared" si="19"/>
        <v>942000</v>
      </c>
    </row>
    <row r="48" spans="1:12">
      <c r="A48" s="32"/>
      <c r="B48" s="753"/>
      <c r="C48" s="756"/>
      <c r="D48" s="43">
        <v>1256000</v>
      </c>
      <c r="E48" s="761"/>
      <c r="F48" s="762"/>
      <c r="G48" s="762"/>
      <c r="H48" s="763"/>
      <c r="I48" s="19">
        <f t="shared" si="20"/>
        <v>0</v>
      </c>
      <c r="J48" s="20">
        <f t="shared" si="18"/>
        <v>0</v>
      </c>
      <c r="K48" s="21"/>
      <c r="L48" s="35">
        <f t="shared" si="19"/>
        <v>1256000</v>
      </c>
    </row>
    <row r="49" spans="1:12">
      <c r="A49" s="32"/>
      <c r="B49" s="754"/>
      <c r="C49" s="757"/>
      <c r="D49" s="43">
        <v>1570000</v>
      </c>
      <c r="E49" s="764"/>
      <c r="F49" s="765"/>
      <c r="G49" s="765"/>
      <c r="H49" s="766"/>
      <c r="I49" s="19">
        <f t="shared" si="20"/>
        <v>0</v>
      </c>
      <c r="J49" s="20">
        <f t="shared" si="18"/>
        <v>0</v>
      </c>
      <c r="K49" s="21"/>
      <c r="L49" s="35">
        <f t="shared" si="19"/>
        <v>1570000</v>
      </c>
    </row>
    <row r="50" spans="1:12">
      <c r="A50" s="32"/>
      <c r="B50" s="12">
        <v>4</v>
      </c>
      <c r="C50" s="42" t="s">
        <v>52</v>
      </c>
      <c r="D50" s="44"/>
      <c r="E50" s="767" t="s">
        <v>53</v>
      </c>
      <c r="F50" s="768"/>
      <c r="G50" s="768"/>
      <c r="H50" s="769"/>
      <c r="I50" s="19">
        <f t="shared" si="20"/>
        <v>0</v>
      </c>
      <c r="J50" s="20">
        <f t="shared" si="18"/>
        <v>0</v>
      </c>
      <c r="K50" s="21" t="e">
        <f>+E50+J50</f>
        <v>#VALUE!</v>
      </c>
      <c r="L50" s="35">
        <f t="shared" si="19"/>
        <v>0</v>
      </c>
    </row>
    <row r="51" spans="1:12">
      <c r="A51" s="32"/>
      <c r="B51" s="12">
        <v>5</v>
      </c>
      <c r="C51" s="42" t="s">
        <v>54</v>
      </c>
      <c r="D51" s="45">
        <v>0.05</v>
      </c>
      <c r="E51" s="770" t="s">
        <v>55</v>
      </c>
      <c r="F51" s="771"/>
      <c r="G51" s="771"/>
      <c r="H51" s="772"/>
      <c r="I51" s="19">
        <f t="shared" si="20"/>
        <v>0</v>
      </c>
      <c r="J51" s="20">
        <f t="shared" si="18"/>
        <v>0</v>
      </c>
      <c r="K51" s="21" t="e">
        <f>+E51+J51</f>
        <v>#VALUE!</v>
      </c>
      <c r="L51" s="35">
        <f t="shared" si="19"/>
        <v>0.05</v>
      </c>
    </row>
    <row r="52" spans="1:12">
      <c r="A52" s="32"/>
      <c r="B52" s="12">
        <v>6</v>
      </c>
      <c r="C52" s="42" t="s">
        <v>56</v>
      </c>
      <c r="D52" s="45">
        <v>2.5000000000000001E-2</v>
      </c>
      <c r="E52" s="770" t="s">
        <v>55</v>
      </c>
      <c r="F52" s="771"/>
      <c r="G52" s="771"/>
      <c r="H52" s="772"/>
      <c r="I52" s="19">
        <f t="shared" si="20"/>
        <v>0</v>
      </c>
      <c r="J52" s="20">
        <f t="shared" si="18"/>
        <v>0</v>
      </c>
      <c r="K52" s="21" t="e">
        <f>+E52+J52</f>
        <v>#VALUE!</v>
      </c>
      <c r="L52" s="35">
        <f t="shared" si="19"/>
        <v>2.5000000000000001E-2</v>
      </c>
    </row>
    <row r="53" spans="1:12">
      <c r="B53" s="12">
        <v>7</v>
      </c>
      <c r="C53" s="42" t="s">
        <v>49</v>
      </c>
      <c r="D53" s="46"/>
      <c r="E53" s="737"/>
      <c r="F53" s="738"/>
      <c r="G53" s="738"/>
      <c r="H53" s="739"/>
      <c r="I53" s="19">
        <f t="shared" si="20"/>
        <v>0</v>
      </c>
      <c r="J53" s="20">
        <f t="shared" si="18"/>
        <v>0</v>
      </c>
      <c r="K53" s="21">
        <f t="shared" ref="K53:K60" si="21">+H53+J53</f>
        <v>0</v>
      </c>
      <c r="L53" s="35">
        <f t="shared" si="19"/>
        <v>0</v>
      </c>
    </row>
    <row r="54" spans="1:12">
      <c r="B54" s="12">
        <v>8</v>
      </c>
      <c r="C54" s="42" t="s">
        <v>57</v>
      </c>
      <c r="D54" s="46"/>
      <c r="E54" s="737"/>
      <c r="F54" s="738"/>
      <c r="G54" s="738"/>
      <c r="H54" s="739"/>
      <c r="I54" s="19">
        <f t="shared" si="20"/>
        <v>0</v>
      </c>
      <c r="J54" s="20">
        <f t="shared" si="18"/>
        <v>0</v>
      </c>
      <c r="K54" s="21">
        <f t="shared" si="21"/>
        <v>0</v>
      </c>
      <c r="L54" s="35">
        <f t="shared" si="19"/>
        <v>0</v>
      </c>
    </row>
    <row r="55" spans="1:12">
      <c r="B55" s="12">
        <v>9</v>
      </c>
      <c r="C55" s="42" t="s">
        <v>58</v>
      </c>
      <c r="D55" s="46"/>
      <c r="E55" s="737"/>
      <c r="F55" s="738"/>
      <c r="G55" s="738"/>
      <c r="H55" s="739"/>
      <c r="I55" s="19">
        <f t="shared" si="20"/>
        <v>0</v>
      </c>
      <c r="J55" s="20">
        <f t="shared" si="18"/>
        <v>0</v>
      </c>
      <c r="K55" s="21">
        <f t="shared" si="21"/>
        <v>0</v>
      </c>
      <c r="L55" s="35">
        <f t="shared" si="19"/>
        <v>0</v>
      </c>
    </row>
    <row r="56" spans="1:12">
      <c r="B56" s="12">
        <v>10</v>
      </c>
      <c r="C56" s="42" t="s">
        <v>59</v>
      </c>
      <c r="D56" s="46"/>
      <c r="E56" s="737"/>
      <c r="F56" s="738"/>
      <c r="G56" s="738"/>
      <c r="H56" s="739"/>
      <c r="I56" s="19">
        <f t="shared" si="20"/>
        <v>0</v>
      </c>
      <c r="J56" s="20">
        <f t="shared" si="18"/>
        <v>0</v>
      </c>
      <c r="K56" s="21">
        <f t="shared" si="21"/>
        <v>0</v>
      </c>
      <c r="L56" s="35">
        <f t="shared" si="19"/>
        <v>0</v>
      </c>
    </row>
    <row r="57" spans="1:12" ht="46.5" customHeight="1">
      <c r="B57" s="746" t="s">
        <v>60</v>
      </c>
      <c r="C57" s="747"/>
      <c r="D57" s="747"/>
      <c r="E57" s="747"/>
      <c r="F57" s="747"/>
      <c r="G57" s="747"/>
      <c r="H57" s="747"/>
      <c r="I57" s="747"/>
      <c r="J57" s="747"/>
      <c r="K57" s="747"/>
      <c r="L57" s="748"/>
    </row>
    <row r="58" spans="1:12" ht="42.75" customHeight="1">
      <c r="A58" s="32"/>
      <c r="B58" s="33" t="s">
        <v>4</v>
      </c>
      <c r="C58" s="7" t="s">
        <v>29</v>
      </c>
      <c r="D58" s="7" t="s">
        <v>69</v>
      </c>
      <c r="E58" s="749" t="s">
        <v>68</v>
      </c>
      <c r="F58" s="750"/>
      <c r="G58" s="750"/>
      <c r="H58" s="751"/>
      <c r="I58" s="10" t="s">
        <v>8</v>
      </c>
      <c r="J58" s="11" t="s">
        <v>9</v>
      </c>
      <c r="K58" s="11" t="s">
        <v>31</v>
      </c>
      <c r="L58" s="11" t="s">
        <v>67</v>
      </c>
    </row>
    <row r="59" spans="1:12" ht="29.25" customHeight="1">
      <c r="B59" s="12">
        <v>11</v>
      </c>
      <c r="C59" s="47" t="s">
        <v>61</v>
      </c>
      <c r="D59" s="46"/>
      <c r="E59" s="773" t="s">
        <v>71</v>
      </c>
      <c r="F59" s="774"/>
      <c r="G59" s="774"/>
      <c r="H59" s="775"/>
      <c r="I59" s="19">
        <f t="shared" ref="I59:I63" si="22">+$M$2</f>
        <v>0</v>
      </c>
      <c r="J59" s="20">
        <f t="shared" si="18"/>
        <v>0</v>
      </c>
      <c r="K59" s="21">
        <f t="shared" si="21"/>
        <v>0</v>
      </c>
      <c r="L59" s="35">
        <f t="shared" si="19"/>
        <v>0</v>
      </c>
    </row>
    <row r="60" spans="1:12" ht="29.25" customHeight="1">
      <c r="B60" s="12">
        <v>12</v>
      </c>
      <c r="C60" s="47" t="s">
        <v>62</v>
      </c>
      <c r="D60" s="46"/>
      <c r="E60" s="773" t="s">
        <v>71</v>
      </c>
      <c r="F60" s="774"/>
      <c r="G60" s="774"/>
      <c r="H60" s="775"/>
      <c r="I60" s="19">
        <f t="shared" si="22"/>
        <v>0</v>
      </c>
      <c r="J60" s="20">
        <f t="shared" si="18"/>
        <v>0</v>
      </c>
      <c r="K60" s="21">
        <f t="shared" si="21"/>
        <v>0</v>
      </c>
      <c r="L60" s="35">
        <f t="shared" si="19"/>
        <v>0</v>
      </c>
    </row>
    <row r="61" spans="1:12" ht="29.25" customHeight="1">
      <c r="B61" s="12">
        <v>13</v>
      </c>
      <c r="C61" s="47" t="s">
        <v>63</v>
      </c>
      <c r="D61" s="46"/>
      <c r="E61" s="773" t="s">
        <v>71</v>
      </c>
      <c r="F61" s="774"/>
      <c r="G61" s="774"/>
      <c r="H61" s="775"/>
      <c r="I61" s="19">
        <f t="shared" si="22"/>
        <v>0</v>
      </c>
      <c r="J61" s="20">
        <f t="shared" si="18"/>
        <v>0</v>
      </c>
      <c r="L61" s="35">
        <f t="shared" si="19"/>
        <v>0</v>
      </c>
    </row>
    <row r="62" spans="1:12" ht="29.25" customHeight="1">
      <c r="B62" s="12">
        <v>14</v>
      </c>
      <c r="C62" s="47" t="s">
        <v>64</v>
      </c>
      <c r="D62" s="46"/>
      <c r="E62" s="773" t="s">
        <v>71</v>
      </c>
      <c r="F62" s="774"/>
      <c r="G62" s="774"/>
      <c r="H62" s="775"/>
      <c r="I62" s="19">
        <f t="shared" si="22"/>
        <v>0</v>
      </c>
      <c r="J62" s="20">
        <f t="shared" si="18"/>
        <v>0</v>
      </c>
      <c r="L62" s="35">
        <f t="shared" si="19"/>
        <v>0</v>
      </c>
    </row>
    <row r="63" spans="1:12" ht="29.25" customHeight="1">
      <c r="B63" s="12">
        <v>15</v>
      </c>
      <c r="C63" s="47" t="s">
        <v>65</v>
      </c>
      <c r="D63" s="46"/>
      <c r="E63" s="773" t="s">
        <v>71</v>
      </c>
      <c r="F63" s="774"/>
      <c r="G63" s="774"/>
      <c r="H63" s="775"/>
      <c r="I63" s="19">
        <f t="shared" si="22"/>
        <v>0</v>
      </c>
      <c r="J63" s="20">
        <f t="shared" si="18"/>
        <v>0</v>
      </c>
      <c r="L63" s="35">
        <f t="shared" si="19"/>
        <v>0</v>
      </c>
    </row>
  </sheetData>
  <mergeCells count="29">
    <mergeCell ref="E59:H59"/>
    <mergeCell ref="E60:H60"/>
    <mergeCell ref="E61:H61"/>
    <mergeCell ref="E62:H62"/>
    <mergeCell ref="E63:H63"/>
    <mergeCell ref="E58:H58"/>
    <mergeCell ref="B44:B49"/>
    <mergeCell ref="C44:C49"/>
    <mergeCell ref="E44:H49"/>
    <mergeCell ref="E50:H50"/>
    <mergeCell ref="E51:H51"/>
    <mergeCell ref="E52:H52"/>
    <mergeCell ref="E53:H53"/>
    <mergeCell ref="E54:H54"/>
    <mergeCell ref="E55:H55"/>
    <mergeCell ref="E56:H56"/>
    <mergeCell ref="B57:L57"/>
    <mergeCell ref="M4:P4"/>
    <mergeCell ref="A18:H18"/>
    <mergeCell ref="E43:H43"/>
    <mergeCell ref="A1:H2"/>
    <mergeCell ref="I1:L1"/>
    <mergeCell ref="I2:L2"/>
    <mergeCell ref="A3:H3"/>
    <mergeCell ref="B21:H21"/>
    <mergeCell ref="B38:L38"/>
    <mergeCell ref="B40:L40"/>
    <mergeCell ref="E41:H41"/>
    <mergeCell ref="E42:H4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U88"/>
  <sheetViews>
    <sheetView showGridLines="0" topLeftCell="A4" zoomScale="80" zoomScaleNormal="80" workbookViewId="0">
      <selection activeCell="C46" sqref="C46:AQ46"/>
    </sheetView>
  </sheetViews>
  <sheetFormatPr baseColWidth="10" defaultRowHeight="15.75"/>
  <cols>
    <col min="1" max="1" width="4.28515625" style="84" customWidth="1"/>
    <col min="2" max="2" width="6.85546875" style="84" customWidth="1"/>
    <col min="3" max="3" width="59.140625" style="84" customWidth="1"/>
    <col min="4" max="4" width="14.42578125" style="141" hidden="1" customWidth="1"/>
    <col min="5" max="8" width="14.42578125" style="142" hidden="1" customWidth="1"/>
    <col min="9" max="9" width="15.28515625" style="143" hidden="1" customWidth="1"/>
    <col min="10" max="10" width="15.28515625" style="141" hidden="1" customWidth="1"/>
    <col min="11" max="11" width="13.140625" style="142" hidden="1" customWidth="1"/>
    <col min="12" max="12" width="19" style="144" customWidth="1"/>
    <col min="13" max="13" width="18.140625" style="439" hidden="1" customWidth="1"/>
    <col min="14" max="14" width="14.28515625" style="439" hidden="1" customWidth="1"/>
    <col min="15" max="15" width="17.5703125" style="439" hidden="1" customWidth="1"/>
    <col min="16" max="16" width="17.42578125" style="439" hidden="1" customWidth="1"/>
    <col min="17" max="17" width="0" style="439" hidden="1" customWidth="1"/>
    <col min="18" max="42" width="0" style="84" hidden="1" customWidth="1"/>
    <col min="43" max="43" width="16.140625" style="84" customWidth="1"/>
    <col min="44" max="44" width="17.42578125" style="84" bestFit="1" customWidth="1"/>
    <col min="45" max="45" width="16.140625" style="676" bestFit="1" customWidth="1"/>
    <col min="46" max="46" width="14.85546875" style="676" bestFit="1" customWidth="1"/>
    <col min="47" max="16384" width="11.42578125" style="84"/>
  </cols>
  <sheetData>
    <row r="1" spans="1:47" ht="63" customHeight="1">
      <c r="A1" s="793" t="s">
        <v>151</v>
      </c>
      <c r="B1" s="793"/>
      <c r="C1" s="793"/>
      <c r="D1" s="793"/>
      <c r="E1" s="793"/>
      <c r="F1" s="793"/>
      <c r="G1" s="793"/>
      <c r="H1" s="793"/>
      <c r="I1" s="793"/>
      <c r="J1" s="793"/>
      <c r="K1" s="793"/>
      <c r="L1" s="793"/>
      <c r="AS1" s="676">
        <v>908526</v>
      </c>
      <c r="AT1" s="676">
        <f>+AS1*1.5</f>
        <v>1362789</v>
      </c>
      <c r="AU1" s="84">
        <f>+AS1*2</f>
        <v>1817052</v>
      </c>
    </row>
    <row r="2" spans="1:47" ht="10.5" customHeight="1" thickBot="1">
      <c r="A2" s="673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</row>
    <row r="3" spans="1:47" ht="42" customHeight="1" thickTop="1">
      <c r="A3" s="820" t="s">
        <v>3</v>
      </c>
      <c r="B3" s="821"/>
      <c r="C3" s="821"/>
      <c r="D3" s="821"/>
      <c r="E3" s="821"/>
      <c r="F3" s="821"/>
      <c r="G3" s="821"/>
      <c r="H3" s="821"/>
      <c r="I3" s="821"/>
      <c r="J3" s="821"/>
      <c r="K3" s="821"/>
      <c r="L3" s="822"/>
    </row>
    <row r="4" spans="1:47" ht="31.5" customHeight="1">
      <c r="A4" s="839" t="s">
        <v>4</v>
      </c>
      <c r="B4" s="840" t="s">
        <v>5</v>
      </c>
      <c r="C4" s="840" t="s">
        <v>6</v>
      </c>
      <c r="D4" s="836" t="s">
        <v>7</v>
      </c>
      <c r="E4" s="836" t="s">
        <v>74</v>
      </c>
      <c r="F4" s="837" t="s">
        <v>75</v>
      </c>
      <c r="G4" s="836" t="s">
        <v>130</v>
      </c>
      <c r="H4" s="836" t="s">
        <v>152</v>
      </c>
      <c r="I4" s="838" t="s">
        <v>154</v>
      </c>
      <c r="J4" s="829"/>
      <c r="K4" s="829"/>
      <c r="L4" s="830"/>
    </row>
    <row r="5" spans="1:47" ht="30.75" customHeight="1">
      <c r="A5" s="839"/>
      <c r="B5" s="840"/>
      <c r="C5" s="840"/>
      <c r="D5" s="836"/>
      <c r="E5" s="836"/>
      <c r="F5" s="837"/>
      <c r="G5" s="836"/>
      <c r="H5" s="836"/>
      <c r="I5" s="519" t="s">
        <v>80</v>
      </c>
      <c r="J5" s="674" t="s">
        <v>81</v>
      </c>
      <c r="K5" s="674" t="s">
        <v>82</v>
      </c>
      <c r="L5" s="461" t="s">
        <v>194</v>
      </c>
      <c r="AQ5" s="461" t="s">
        <v>195</v>
      </c>
      <c r="AR5" s="461" t="s">
        <v>196</v>
      </c>
      <c r="AS5" s="461" t="s">
        <v>197</v>
      </c>
    </row>
    <row r="6" spans="1:47" ht="25.5" customHeight="1">
      <c r="A6" s="452">
        <v>1</v>
      </c>
      <c r="B6" s="453" t="s">
        <v>12</v>
      </c>
      <c r="C6" s="454" t="s">
        <v>22</v>
      </c>
      <c r="D6" s="416">
        <v>1793000</v>
      </c>
      <c r="E6" s="416">
        <v>1891100</v>
      </c>
      <c r="F6" s="518">
        <v>2013600</v>
      </c>
      <c r="G6" s="521">
        <v>2248449.6541070002</v>
      </c>
      <c r="H6" s="521">
        <v>2287749.5230538729</v>
      </c>
      <c r="I6" s="520">
        <v>4.58E-2</v>
      </c>
      <c r="J6" s="455">
        <f>+H6*I6</f>
        <v>104778.92815586738</v>
      </c>
      <c r="K6" s="622">
        <f>+H6+J6</f>
        <v>2392528.4512097402</v>
      </c>
      <c r="L6" s="596">
        <f>+K6-28</f>
        <v>2392500.4512097402</v>
      </c>
      <c r="M6" s="440"/>
      <c r="AQ6" s="448">
        <f>+$AT$1</f>
        <v>1362789</v>
      </c>
      <c r="AR6" s="448">
        <f>+L6-AQ6</f>
        <v>1029711.4512097402</v>
      </c>
      <c r="AS6" s="679">
        <f>+AR6/L6</f>
        <v>0.43039132999497598</v>
      </c>
    </row>
    <row r="7" spans="1:47" ht="43.5" customHeight="1">
      <c r="A7" s="177">
        <v>2</v>
      </c>
      <c r="B7" s="178" t="s">
        <v>12</v>
      </c>
      <c r="C7" s="179" t="s">
        <v>109</v>
      </c>
      <c r="D7" s="276">
        <v>0</v>
      </c>
      <c r="E7" s="180">
        <v>1646000</v>
      </c>
      <c r="F7" s="378">
        <v>1752600</v>
      </c>
      <c r="G7" s="522">
        <v>1956999.855368</v>
      </c>
      <c r="H7" s="522">
        <v>1991200.35283694</v>
      </c>
      <c r="I7" s="182">
        <v>4.58E-2</v>
      </c>
      <c r="J7" s="456">
        <f t="shared" ref="J7:J11" si="0">+H7*I7</f>
        <v>91196.976159931844</v>
      </c>
      <c r="K7" s="181">
        <f t="shared" ref="K7:K11" si="1">+H7+J7</f>
        <v>2082397.3289968718</v>
      </c>
      <c r="L7" s="597">
        <f>+K7-47</f>
        <v>2082350.3289968718</v>
      </c>
      <c r="M7" s="440"/>
      <c r="AQ7" s="448">
        <f t="shared" ref="AQ7:AQ11" si="2">+$AT$1</f>
        <v>1362789</v>
      </c>
      <c r="AR7" s="448">
        <f t="shared" ref="AR7:AR11" si="3">+L7-AQ7</f>
        <v>719561.32899687183</v>
      </c>
      <c r="AS7" s="679">
        <f t="shared" ref="AS7:AS11" si="4">+AR7/L7</f>
        <v>0.34555248412187456</v>
      </c>
    </row>
    <row r="8" spans="1:47" ht="43.5" customHeight="1">
      <c r="A8" s="177">
        <v>3</v>
      </c>
      <c r="B8" s="178" t="s">
        <v>12</v>
      </c>
      <c r="C8" s="179" t="s">
        <v>16</v>
      </c>
      <c r="D8" s="180">
        <v>1793000</v>
      </c>
      <c r="E8" s="180">
        <v>1891100</v>
      </c>
      <c r="F8" s="378">
        <v>2013600</v>
      </c>
      <c r="G8" s="522">
        <v>2248449.6541070002</v>
      </c>
      <c r="H8" s="522">
        <v>2287749.5230538729</v>
      </c>
      <c r="I8" s="182">
        <v>4.58E-2</v>
      </c>
      <c r="J8" s="456">
        <f t="shared" si="0"/>
        <v>104778.92815586738</v>
      </c>
      <c r="K8" s="181">
        <f t="shared" si="1"/>
        <v>2392528.4512097402</v>
      </c>
      <c r="L8" s="597">
        <f>+K8-28</f>
        <v>2392500.4512097402</v>
      </c>
      <c r="M8" s="440"/>
      <c r="AQ8" s="448">
        <f t="shared" si="2"/>
        <v>1362789</v>
      </c>
      <c r="AR8" s="448">
        <f t="shared" si="3"/>
        <v>1029711.4512097402</v>
      </c>
      <c r="AS8" s="679">
        <f t="shared" si="4"/>
        <v>0.43039132999497598</v>
      </c>
    </row>
    <row r="9" spans="1:47" ht="37.5" customHeight="1">
      <c r="A9" s="177">
        <f>+A8+1</f>
        <v>4</v>
      </c>
      <c r="B9" s="178" t="s">
        <v>12</v>
      </c>
      <c r="C9" s="179" t="s">
        <v>14</v>
      </c>
      <c r="D9" s="180">
        <v>1793000</v>
      </c>
      <c r="E9" s="180">
        <v>1891100</v>
      </c>
      <c r="F9" s="378">
        <v>2013600</v>
      </c>
      <c r="G9" s="522">
        <v>2248449.6541070002</v>
      </c>
      <c r="H9" s="522">
        <v>2287749.5230538729</v>
      </c>
      <c r="I9" s="182">
        <v>4.58E-2</v>
      </c>
      <c r="J9" s="456">
        <f t="shared" si="0"/>
        <v>104778.92815586738</v>
      </c>
      <c r="K9" s="181">
        <f t="shared" si="1"/>
        <v>2392528.4512097402</v>
      </c>
      <c r="L9" s="597">
        <f>+K9-28</f>
        <v>2392500.4512097402</v>
      </c>
      <c r="M9" s="440"/>
      <c r="AQ9" s="448">
        <f t="shared" si="2"/>
        <v>1362789</v>
      </c>
      <c r="AR9" s="448">
        <f t="shared" si="3"/>
        <v>1029711.4512097402</v>
      </c>
      <c r="AS9" s="679">
        <f t="shared" si="4"/>
        <v>0.43039132999497598</v>
      </c>
    </row>
    <row r="10" spans="1:47" ht="37.5" customHeight="1">
      <c r="A10" s="177">
        <f t="shared" ref="A10:A11" si="5">+A9+1</f>
        <v>5</v>
      </c>
      <c r="B10" s="178" t="s">
        <v>12</v>
      </c>
      <c r="C10" s="179" t="s">
        <v>15</v>
      </c>
      <c r="D10" s="180">
        <v>1793000</v>
      </c>
      <c r="E10" s="180">
        <v>1891100</v>
      </c>
      <c r="F10" s="378">
        <v>2013600</v>
      </c>
      <c r="G10" s="522">
        <v>2248449.6541070002</v>
      </c>
      <c r="H10" s="522">
        <v>2287749.5230538729</v>
      </c>
      <c r="I10" s="182">
        <v>4.58E-2</v>
      </c>
      <c r="J10" s="456">
        <f t="shared" si="0"/>
        <v>104778.92815586738</v>
      </c>
      <c r="K10" s="181">
        <f t="shared" si="1"/>
        <v>2392528.4512097402</v>
      </c>
      <c r="L10" s="597">
        <f>+K10-28</f>
        <v>2392500.4512097402</v>
      </c>
      <c r="M10" s="440"/>
      <c r="AQ10" s="448">
        <f t="shared" si="2"/>
        <v>1362789</v>
      </c>
      <c r="AR10" s="448">
        <f t="shared" si="3"/>
        <v>1029711.4512097402</v>
      </c>
      <c r="AS10" s="679">
        <f t="shared" si="4"/>
        <v>0.43039132999497598</v>
      </c>
    </row>
    <row r="11" spans="1:47" ht="37.5" customHeight="1" thickBot="1">
      <c r="A11" s="186">
        <f t="shared" si="5"/>
        <v>6</v>
      </c>
      <c r="B11" s="187" t="s">
        <v>12</v>
      </c>
      <c r="C11" s="188" t="s">
        <v>17</v>
      </c>
      <c r="D11" s="190">
        <v>1793000</v>
      </c>
      <c r="E11" s="190">
        <v>1891100</v>
      </c>
      <c r="F11" s="380">
        <v>2013600</v>
      </c>
      <c r="G11" s="523">
        <v>2248449.6541070002</v>
      </c>
      <c r="H11" s="523">
        <v>2287749.5230538729</v>
      </c>
      <c r="I11" s="381">
        <v>4.58E-2</v>
      </c>
      <c r="J11" s="192">
        <f t="shared" si="0"/>
        <v>104778.92815586738</v>
      </c>
      <c r="K11" s="191">
        <f t="shared" si="1"/>
        <v>2392528.4512097402</v>
      </c>
      <c r="L11" s="598">
        <f>+K11-28</f>
        <v>2392500.4512097402</v>
      </c>
      <c r="M11" s="440"/>
      <c r="AQ11" s="448">
        <f t="shared" si="2"/>
        <v>1362789</v>
      </c>
      <c r="AR11" s="448">
        <f t="shared" si="3"/>
        <v>1029711.4512097402</v>
      </c>
      <c r="AS11" s="679">
        <f t="shared" si="4"/>
        <v>0.43039132999497598</v>
      </c>
    </row>
    <row r="12" spans="1:47" ht="10.5" customHeight="1" thickTop="1" thickBot="1">
      <c r="A12" s="96"/>
      <c r="B12" s="97"/>
      <c r="C12" s="98"/>
      <c r="D12" s="99"/>
      <c r="E12" s="99"/>
      <c r="F12" s="99"/>
      <c r="G12" s="99"/>
      <c r="H12" s="99"/>
      <c r="I12" s="100"/>
      <c r="J12" s="101"/>
      <c r="K12" s="99"/>
      <c r="L12" s="102"/>
      <c r="M12" s="440"/>
    </row>
    <row r="13" spans="1:47" ht="39.75" customHeight="1" thickTop="1">
      <c r="A13" s="820" t="s">
        <v>146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2"/>
      <c r="M13" s="440"/>
    </row>
    <row r="14" spans="1:47" ht="24.75" customHeight="1">
      <c r="A14" s="839" t="s">
        <v>4</v>
      </c>
      <c r="B14" s="840" t="s">
        <v>5</v>
      </c>
      <c r="C14" s="840" t="s">
        <v>6</v>
      </c>
      <c r="D14" s="836" t="s">
        <v>7</v>
      </c>
      <c r="E14" s="836" t="s">
        <v>74</v>
      </c>
      <c r="F14" s="836" t="s">
        <v>75</v>
      </c>
      <c r="G14" s="836" t="s">
        <v>130</v>
      </c>
      <c r="H14" s="836" t="s">
        <v>152</v>
      </c>
      <c r="I14" s="829" t="s">
        <v>154</v>
      </c>
      <c r="J14" s="829"/>
      <c r="K14" s="829"/>
      <c r="L14" s="830"/>
      <c r="M14" s="440"/>
    </row>
    <row r="15" spans="1:47" ht="45" customHeight="1">
      <c r="A15" s="839"/>
      <c r="B15" s="840"/>
      <c r="C15" s="840"/>
      <c r="D15" s="836"/>
      <c r="E15" s="836"/>
      <c r="F15" s="836"/>
      <c r="G15" s="836"/>
      <c r="H15" s="836"/>
      <c r="I15" s="459" t="s">
        <v>80</v>
      </c>
      <c r="J15" s="674" t="s">
        <v>81</v>
      </c>
      <c r="K15" s="674" t="s">
        <v>82</v>
      </c>
      <c r="L15" s="461" t="s">
        <v>83</v>
      </c>
      <c r="M15" s="440"/>
    </row>
    <row r="16" spans="1:47" ht="32.25" customHeight="1">
      <c r="A16" s="304">
        <v>1</v>
      </c>
      <c r="B16" s="305" t="s">
        <v>138</v>
      </c>
      <c r="C16" s="306" t="s">
        <v>141</v>
      </c>
      <c r="D16" s="307">
        <v>0</v>
      </c>
      <c r="E16" s="307">
        <v>0</v>
      </c>
      <c r="F16" s="524">
        <v>4300000</v>
      </c>
      <c r="G16" s="527">
        <v>2500000</v>
      </c>
      <c r="H16" s="527">
        <v>2543750</v>
      </c>
      <c r="I16" s="79">
        <v>4.58E-2</v>
      </c>
      <c r="J16" s="309">
        <f>+H16*I16</f>
        <v>116503.75</v>
      </c>
      <c r="K16" s="623">
        <f>+H16+J16</f>
        <v>2660253.75</v>
      </c>
      <c r="L16" s="599">
        <f>+K16-4</f>
        <v>2660249.75</v>
      </c>
      <c r="M16" s="440"/>
      <c r="AQ16" s="680">
        <f>+$AU$1</f>
        <v>1817052</v>
      </c>
      <c r="AR16" s="680">
        <f t="shared" ref="AR16:AR18" si="6">+L16-AQ16</f>
        <v>843197.75</v>
      </c>
      <c r="AS16" s="679">
        <f t="shared" ref="AS16:AS18" si="7">+AR16/L16</f>
        <v>0.31696187547804489</v>
      </c>
    </row>
    <row r="17" spans="1:46" ht="32.25" customHeight="1">
      <c r="A17" s="204">
        <v>2</v>
      </c>
      <c r="B17" s="205" t="s">
        <v>138</v>
      </c>
      <c r="C17" s="206" t="s">
        <v>142</v>
      </c>
      <c r="D17" s="209">
        <v>3200550</v>
      </c>
      <c r="E17" s="209">
        <v>3375600</v>
      </c>
      <c r="F17" s="525">
        <v>3594300</v>
      </c>
      <c r="G17" s="528">
        <v>2500000</v>
      </c>
      <c r="H17" s="528">
        <v>2543750</v>
      </c>
      <c r="I17" s="79">
        <v>4.58E-2</v>
      </c>
      <c r="J17" s="312">
        <f t="shared" ref="J17:J18" si="8">+H17*I17</f>
        <v>116503.75</v>
      </c>
      <c r="K17" s="624">
        <f>+H17+J17</f>
        <v>2660253.75</v>
      </c>
      <c r="L17" s="600">
        <f>+K17-4</f>
        <v>2660249.75</v>
      </c>
      <c r="M17" s="440"/>
      <c r="AQ17" s="680">
        <f t="shared" ref="AQ17:AQ18" si="9">+$AU$1</f>
        <v>1817052</v>
      </c>
      <c r="AR17" s="680">
        <f t="shared" si="6"/>
        <v>843197.75</v>
      </c>
      <c r="AS17" s="679">
        <f t="shared" si="7"/>
        <v>0.31696187547804489</v>
      </c>
    </row>
    <row r="18" spans="1:46" ht="32.25" customHeight="1" thickBot="1">
      <c r="A18" s="218">
        <v>3</v>
      </c>
      <c r="B18" s="369" t="s">
        <v>138</v>
      </c>
      <c r="C18" s="370" t="s">
        <v>143</v>
      </c>
      <c r="D18" s="221">
        <v>0</v>
      </c>
      <c r="E18" s="221">
        <v>0</v>
      </c>
      <c r="F18" s="526">
        <v>0</v>
      </c>
      <c r="G18" s="529">
        <v>2200000</v>
      </c>
      <c r="H18" s="529">
        <v>2238500</v>
      </c>
      <c r="I18" s="80">
        <v>4.58E-2</v>
      </c>
      <c r="J18" s="457">
        <f t="shared" si="8"/>
        <v>102523.3</v>
      </c>
      <c r="K18" s="625">
        <f>+H18+J18</f>
        <v>2341023.2999999998</v>
      </c>
      <c r="L18" s="601">
        <f>+K18-23</f>
        <v>2341000.2999999998</v>
      </c>
      <c r="M18" s="440"/>
      <c r="AQ18" s="680">
        <f t="shared" si="9"/>
        <v>1817052</v>
      </c>
      <c r="AR18" s="680">
        <f t="shared" si="6"/>
        <v>523948.29999999981</v>
      </c>
      <c r="AS18" s="679">
        <f t="shared" si="7"/>
        <v>0.22381385427417497</v>
      </c>
    </row>
    <row r="19" spans="1:46" ht="10.5" customHeight="1" thickTop="1" thickBot="1">
      <c r="A19" s="96"/>
      <c r="B19" s="97"/>
      <c r="C19" s="98"/>
      <c r="D19" s="99"/>
      <c r="E19" s="99"/>
      <c r="F19" s="99"/>
      <c r="G19" s="99"/>
      <c r="H19" s="99"/>
      <c r="I19" s="100"/>
      <c r="J19" s="101"/>
      <c r="K19" s="99"/>
      <c r="L19" s="102"/>
      <c r="M19" s="440"/>
    </row>
    <row r="20" spans="1:46" ht="24.75" customHeight="1" thickTop="1">
      <c r="A20" s="820" t="s">
        <v>26</v>
      </c>
      <c r="B20" s="821"/>
      <c r="C20" s="821"/>
      <c r="D20" s="821"/>
      <c r="E20" s="821"/>
      <c r="F20" s="821"/>
      <c r="G20" s="821"/>
      <c r="H20" s="821"/>
      <c r="I20" s="821"/>
      <c r="J20" s="821"/>
      <c r="K20" s="821"/>
      <c r="L20" s="822"/>
      <c r="M20" s="440"/>
      <c r="N20" s="439">
        <f>+L23*Q23</f>
        <v>-2565550.1744397753</v>
      </c>
    </row>
    <row r="21" spans="1:46" s="103" customFormat="1" ht="24.75" customHeight="1">
      <c r="A21" s="841" t="s">
        <v>4</v>
      </c>
      <c r="B21" s="840" t="s">
        <v>5</v>
      </c>
      <c r="C21" s="840" t="s">
        <v>6</v>
      </c>
      <c r="D21" s="836" t="s">
        <v>7</v>
      </c>
      <c r="E21" s="836" t="s">
        <v>74</v>
      </c>
      <c r="F21" s="836" t="s">
        <v>75</v>
      </c>
      <c r="G21" s="836" t="s">
        <v>130</v>
      </c>
      <c r="H21" s="836" t="s">
        <v>152</v>
      </c>
      <c r="I21" s="829" t="s">
        <v>154</v>
      </c>
      <c r="J21" s="829"/>
      <c r="K21" s="829"/>
      <c r="L21" s="830"/>
      <c r="M21" s="440"/>
      <c r="N21" s="437">
        <f>+L23+N20</f>
        <v>2543749.9999999995</v>
      </c>
      <c r="O21" s="435"/>
      <c r="P21" s="435"/>
      <c r="Q21" s="435"/>
      <c r="AS21" s="652"/>
      <c r="AT21" s="652"/>
    </row>
    <row r="22" spans="1:46" s="103" customFormat="1" ht="31.5" customHeight="1">
      <c r="A22" s="841"/>
      <c r="B22" s="840"/>
      <c r="C22" s="840"/>
      <c r="D22" s="836"/>
      <c r="E22" s="836"/>
      <c r="F22" s="836"/>
      <c r="G22" s="836"/>
      <c r="H22" s="836"/>
      <c r="I22" s="459" t="s">
        <v>80</v>
      </c>
      <c r="J22" s="674" t="s">
        <v>81</v>
      </c>
      <c r="K22" s="674" t="s">
        <v>82</v>
      </c>
      <c r="L22" s="461" t="s">
        <v>83</v>
      </c>
      <c r="M22" s="440"/>
      <c r="N22" s="435"/>
      <c r="O22" s="435"/>
      <c r="P22" s="441"/>
      <c r="Q22" s="435"/>
      <c r="AS22" s="652"/>
      <c r="AT22" s="652"/>
    </row>
    <row r="23" spans="1:46" s="103" customFormat="1" ht="32.25" customHeight="1">
      <c r="A23" s="462">
        <v>1</v>
      </c>
      <c r="B23" s="463" t="s">
        <v>27</v>
      </c>
      <c r="C23" s="471" t="s">
        <v>108</v>
      </c>
      <c r="D23" s="464">
        <v>0</v>
      </c>
      <c r="E23" s="464">
        <v>0</v>
      </c>
      <c r="F23" s="530">
        <v>4300000</v>
      </c>
      <c r="G23" s="534">
        <v>4801549.8625270007</v>
      </c>
      <c r="H23" s="534">
        <v>4885549.9851212231</v>
      </c>
      <c r="I23" s="533">
        <v>4.58E-2</v>
      </c>
      <c r="J23" s="465">
        <f>+H23*I23</f>
        <v>223758.18931855203</v>
      </c>
      <c r="K23" s="626">
        <f>+H23+J23</f>
        <v>5109308.1744397748</v>
      </c>
      <c r="L23" s="602">
        <f>+K23-8</f>
        <v>5109300.1744397748</v>
      </c>
      <c r="M23" s="440"/>
      <c r="N23" s="435"/>
      <c r="O23" s="443">
        <v>2543750</v>
      </c>
      <c r="P23" s="443">
        <f>+O23-L23</f>
        <v>-2565550.1744397748</v>
      </c>
      <c r="Q23" s="442">
        <f>+P23/L23</f>
        <v>-0.50213338164675025</v>
      </c>
      <c r="AQ23" s="680">
        <f t="shared" ref="AQ23:AQ33" si="10">+$AU$1</f>
        <v>1817052</v>
      </c>
      <c r="AR23" s="680">
        <f t="shared" ref="AR23:AR33" si="11">+L23-AQ23</f>
        <v>3292248.1744397748</v>
      </c>
      <c r="AS23" s="679">
        <f>+AR23/L23</f>
        <v>0.64436381931714626</v>
      </c>
      <c r="AT23" s="652"/>
    </row>
    <row r="24" spans="1:46" s="103" customFormat="1" ht="32.25" customHeight="1">
      <c r="A24" s="399">
        <v>2</v>
      </c>
      <c r="B24" s="400" t="s">
        <v>27</v>
      </c>
      <c r="C24" s="401" t="s">
        <v>28</v>
      </c>
      <c r="D24" s="402">
        <v>3200550</v>
      </c>
      <c r="E24" s="402">
        <v>3375600</v>
      </c>
      <c r="F24" s="531">
        <v>3594300</v>
      </c>
      <c r="G24" s="535">
        <v>4013550.4972620001</v>
      </c>
      <c r="H24" s="535">
        <v>4083749.630964085</v>
      </c>
      <c r="I24" s="451">
        <v>4.58E-2</v>
      </c>
      <c r="J24" s="404">
        <f t="shared" ref="J24:J33" si="12">+H24*I24</f>
        <v>187035.73309815509</v>
      </c>
      <c r="K24" s="627">
        <f t="shared" ref="K24:K33" si="13">+H24+J24</f>
        <v>4270785.3640622403</v>
      </c>
      <c r="L24" s="603">
        <f>+K24-35</f>
        <v>4270750.3640622403</v>
      </c>
      <c r="M24" s="440"/>
      <c r="N24" s="435"/>
      <c r="O24" s="443">
        <v>2543750</v>
      </c>
      <c r="P24" s="443">
        <f>+O24-L24</f>
        <v>-1727000.3640622403</v>
      </c>
      <c r="Q24" s="442">
        <f>+P24/L24</f>
        <v>-0.40437867279593392</v>
      </c>
      <c r="AQ24" s="680">
        <f t="shared" si="10"/>
        <v>1817052</v>
      </c>
      <c r="AR24" s="680">
        <f t="shared" si="11"/>
        <v>2453698.3640622403</v>
      </c>
      <c r="AS24" s="679">
        <f t="shared" ref="AS24:AS33" si="14">+AR24/L24</f>
        <v>0.57453565647614635</v>
      </c>
      <c r="AT24" s="652"/>
    </row>
    <row r="25" spans="1:46" s="103" customFormat="1" ht="32.25" customHeight="1">
      <c r="A25" s="399">
        <v>3</v>
      </c>
      <c r="B25" s="406" t="s">
        <v>27</v>
      </c>
      <c r="C25" s="407" t="s">
        <v>111</v>
      </c>
      <c r="D25" s="402">
        <v>0</v>
      </c>
      <c r="E25" s="402">
        <v>0</v>
      </c>
      <c r="F25" s="531">
        <v>0</v>
      </c>
      <c r="G25" s="535">
        <v>4131600</v>
      </c>
      <c r="H25" s="535">
        <v>4203900</v>
      </c>
      <c r="I25" s="451">
        <v>4.58E-2</v>
      </c>
      <c r="J25" s="404">
        <f t="shared" si="12"/>
        <v>192538.62</v>
      </c>
      <c r="K25" s="627">
        <f t="shared" si="13"/>
        <v>4396438.62</v>
      </c>
      <c r="L25" s="603">
        <f>+K25-39</f>
        <v>4396399.62</v>
      </c>
      <c r="M25" s="440"/>
      <c r="N25" s="435"/>
      <c r="O25" s="435"/>
      <c r="P25" s="437"/>
      <c r="Q25" s="435"/>
      <c r="AQ25" s="680">
        <f t="shared" si="10"/>
        <v>1817052</v>
      </c>
      <c r="AR25" s="680">
        <f t="shared" si="11"/>
        <v>2579347.62</v>
      </c>
      <c r="AS25" s="679">
        <f t="shared" si="14"/>
        <v>0.58669544239474758</v>
      </c>
      <c r="AT25" s="652"/>
    </row>
    <row r="26" spans="1:46" s="103" customFormat="1" ht="32.25" customHeight="1">
      <c r="A26" s="399">
        <v>4</v>
      </c>
      <c r="B26" s="406" t="s">
        <v>27</v>
      </c>
      <c r="C26" s="407" t="s">
        <v>113</v>
      </c>
      <c r="D26" s="402">
        <v>0</v>
      </c>
      <c r="E26" s="402">
        <v>0</v>
      </c>
      <c r="F26" s="531">
        <v>0</v>
      </c>
      <c r="G26" s="535">
        <v>3970749.52</v>
      </c>
      <c r="H26" s="535">
        <v>4040199.6365999999</v>
      </c>
      <c r="I26" s="451">
        <v>4.58E-2</v>
      </c>
      <c r="J26" s="404">
        <f t="shared" si="12"/>
        <v>185041.14335627999</v>
      </c>
      <c r="K26" s="627">
        <f t="shared" si="13"/>
        <v>4225240.7799562803</v>
      </c>
      <c r="L26" s="603">
        <f>+K26-41</f>
        <v>4225199.7799562803</v>
      </c>
      <c r="M26" s="440"/>
      <c r="N26" s="435"/>
      <c r="O26" s="435"/>
      <c r="P26" s="435"/>
      <c r="Q26" s="435"/>
      <c r="AQ26" s="680">
        <f t="shared" si="10"/>
        <v>1817052</v>
      </c>
      <c r="AR26" s="680">
        <f t="shared" si="11"/>
        <v>2408147.7799562803</v>
      </c>
      <c r="AS26" s="679">
        <f t="shared" si="14"/>
        <v>0.56994885576302812</v>
      </c>
      <c r="AT26" s="652"/>
    </row>
    <row r="27" spans="1:46" s="103" customFormat="1" ht="32.25" customHeight="1">
      <c r="A27" s="399">
        <v>5</v>
      </c>
      <c r="B27" s="406" t="s">
        <v>27</v>
      </c>
      <c r="C27" s="407" t="s">
        <v>114</v>
      </c>
      <c r="D27" s="402">
        <v>0</v>
      </c>
      <c r="E27" s="402">
        <v>0</v>
      </c>
      <c r="F27" s="531">
        <v>0</v>
      </c>
      <c r="G27" s="535">
        <v>4669350.12158</v>
      </c>
      <c r="H27" s="535">
        <v>4751049.7487076502</v>
      </c>
      <c r="I27" s="451">
        <v>4.58E-2</v>
      </c>
      <c r="J27" s="404">
        <f t="shared" si="12"/>
        <v>217598.07849081038</v>
      </c>
      <c r="K27" s="627">
        <f t="shared" si="13"/>
        <v>4968647.8271984607</v>
      </c>
      <c r="L27" s="603">
        <f>+K27-48</f>
        <v>4968599.8271984607</v>
      </c>
      <c r="M27" s="440"/>
      <c r="N27" s="435"/>
      <c r="O27" s="443">
        <v>2543750</v>
      </c>
      <c r="P27" s="443">
        <f>+O27-L27</f>
        <v>-2424849.8271984607</v>
      </c>
      <c r="Q27" s="442">
        <f>+P27/L27</f>
        <v>-0.48803484110848777</v>
      </c>
      <c r="AQ27" s="680">
        <f t="shared" si="10"/>
        <v>1817052</v>
      </c>
      <c r="AR27" s="680">
        <f t="shared" si="11"/>
        <v>3151547.8271984607</v>
      </c>
      <c r="AS27" s="679">
        <f t="shared" si="14"/>
        <v>0.6342929470686427</v>
      </c>
      <c r="AT27" s="652"/>
    </row>
    <row r="28" spans="1:46" s="103" customFormat="1" ht="32.25" customHeight="1">
      <c r="A28" s="399">
        <v>6</v>
      </c>
      <c r="B28" s="400" t="s">
        <v>27</v>
      </c>
      <c r="C28" s="401" t="s">
        <v>115</v>
      </c>
      <c r="D28" s="402">
        <v>0</v>
      </c>
      <c r="E28" s="402">
        <v>0</v>
      </c>
      <c r="F28" s="531">
        <v>0</v>
      </c>
      <c r="G28" s="535">
        <v>3434149.83</v>
      </c>
      <c r="H28" s="535">
        <v>3494200.452025</v>
      </c>
      <c r="I28" s="451">
        <v>4.58E-2</v>
      </c>
      <c r="J28" s="404">
        <f t="shared" si="12"/>
        <v>160034.38070274499</v>
      </c>
      <c r="K28" s="627">
        <f t="shared" si="13"/>
        <v>3654234.8327277452</v>
      </c>
      <c r="L28" s="603">
        <f>+K28-35</f>
        <v>3654199.8327277452</v>
      </c>
      <c r="M28" s="440"/>
      <c r="N28" s="435"/>
      <c r="O28" s="435"/>
      <c r="P28" s="435"/>
      <c r="Q28" s="435"/>
      <c r="AQ28" s="680">
        <f t="shared" si="10"/>
        <v>1817052</v>
      </c>
      <c r="AR28" s="680">
        <f t="shared" si="11"/>
        <v>1837147.8327277452</v>
      </c>
      <c r="AS28" s="679">
        <f t="shared" si="14"/>
        <v>0.5027496898976026</v>
      </c>
      <c r="AT28" s="652"/>
    </row>
    <row r="29" spans="1:46" s="103" customFormat="1" ht="32.25" customHeight="1">
      <c r="A29" s="399">
        <v>7</v>
      </c>
      <c r="B29" s="406" t="s">
        <v>27</v>
      </c>
      <c r="C29" s="407" t="s">
        <v>127</v>
      </c>
      <c r="D29" s="402"/>
      <c r="E29" s="402"/>
      <c r="F29" s="531"/>
      <c r="G29" s="535">
        <v>3323500</v>
      </c>
      <c r="H29" s="535">
        <v>3381650.25</v>
      </c>
      <c r="I29" s="451">
        <v>4.58E-2</v>
      </c>
      <c r="J29" s="404">
        <f t="shared" si="12"/>
        <v>154879.58145</v>
      </c>
      <c r="K29" s="627">
        <f t="shared" si="13"/>
        <v>3536529.8314499999</v>
      </c>
      <c r="L29" s="603">
        <f>+K29-30</f>
        <v>3536499.8314499999</v>
      </c>
      <c r="M29" s="440"/>
      <c r="N29" s="435"/>
      <c r="O29" s="443">
        <v>2289375</v>
      </c>
      <c r="P29" s="443">
        <f>+O29-L29</f>
        <v>-1247124.8314499999</v>
      </c>
      <c r="Q29" s="442">
        <f>+P29/L29</f>
        <v>-0.35264382606761396</v>
      </c>
      <c r="AQ29" s="680">
        <f t="shared" si="10"/>
        <v>1817052</v>
      </c>
      <c r="AR29" s="680">
        <f t="shared" si="11"/>
        <v>1719447.8314499999</v>
      </c>
      <c r="AS29" s="679">
        <f t="shared" si="14"/>
        <v>0.48620045621351249</v>
      </c>
      <c r="AT29" s="652"/>
    </row>
    <row r="30" spans="1:46" s="103" customFormat="1" ht="32.25" customHeight="1">
      <c r="A30" s="399">
        <v>8</v>
      </c>
      <c r="B30" s="400" t="s">
        <v>27</v>
      </c>
      <c r="C30" s="401" t="s">
        <v>128</v>
      </c>
      <c r="D30" s="402">
        <v>0</v>
      </c>
      <c r="E30" s="402">
        <v>0</v>
      </c>
      <c r="F30" s="531">
        <v>0</v>
      </c>
      <c r="G30" s="535">
        <v>4518899.5999999996</v>
      </c>
      <c r="H30" s="535">
        <v>4597950.3429999994</v>
      </c>
      <c r="I30" s="451">
        <v>4.58E-2</v>
      </c>
      <c r="J30" s="404">
        <f t="shared" si="12"/>
        <v>210586.12570939999</v>
      </c>
      <c r="K30" s="627">
        <f t="shared" si="13"/>
        <v>4808536.468709399</v>
      </c>
      <c r="L30" s="603">
        <f>+K30-36</f>
        <v>4808500.468709399</v>
      </c>
      <c r="M30" s="440"/>
      <c r="N30" s="435"/>
      <c r="O30" s="443">
        <v>2543750</v>
      </c>
      <c r="P30" s="443">
        <f>+O30-L30</f>
        <v>-2264750.468709399</v>
      </c>
      <c r="Q30" s="442">
        <f>+P30/L30</f>
        <v>-0.47098892543463927</v>
      </c>
      <c r="AQ30" s="680">
        <f t="shared" si="10"/>
        <v>1817052</v>
      </c>
      <c r="AR30" s="680">
        <f t="shared" si="11"/>
        <v>2991448.468709399</v>
      </c>
      <c r="AS30" s="679">
        <f t="shared" si="14"/>
        <v>0.62211670523395068</v>
      </c>
      <c r="AT30" s="652"/>
    </row>
    <row r="31" spans="1:46" s="103" customFormat="1" ht="32.25" customHeight="1">
      <c r="A31" s="399">
        <v>9</v>
      </c>
      <c r="B31" s="406" t="s">
        <v>27</v>
      </c>
      <c r="C31" s="407" t="s">
        <v>139</v>
      </c>
      <c r="D31" s="402"/>
      <c r="E31" s="402"/>
      <c r="F31" s="531"/>
      <c r="G31" s="535">
        <v>4351000</v>
      </c>
      <c r="H31" s="535">
        <v>4427099.5</v>
      </c>
      <c r="I31" s="451">
        <v>4.58E-2</v>
      </c>
      <c r="J31" s="404">
        <f t="shared" si="12"/>
        <v>202761.15710000001</v>
      </c>
      <c r="K31" s="627">
        <f t="shared" si="13"/>
        <v>4629860.6571000004</v>
      </c>
      <c r="L31" s="603">
        <f>+K31-11</f>
        <v>4629849.6571000004</v>
      </c>
      <c r="M31" s="440"/>
      <c r="N31" s="435"/>
      <c r="O31" s="435"/>
      <c r="P31" s="435"/>
      <c r="Q31" s="435"/>
      <c r="AQ31" s="680">
        <f t="shared" si="10"/>
        <v>1817052</v>
      </c>
      <c r="AR31" s="680">
        <f t="shared" si="11"/>
        <v>2812797.6571000004</v>
      </c>
      <c r="AS31" s="679">
        <f t="shared" si="14"/>
        <v>0.60753542024555784</v>
      </c>
      <c r="AT31" s="652"/>
    </row>
    <row r="32" spans="1:46" s="103" customFormat="1" ht="32.25" customHeight="1">
      <c r="A32" s="399">
        <v>10</v>
      </c>
      <c r="B32" s="406" t="s">
        <v>27</v>
      </c>
      <c r="C32" s="407" t="s">
        <v>144</v>
      </c>
      <c r="D32" s="402"/>
      <c r="E32" s="402"/>
      <c r="F32" s="531"/>
      <c r="G32" s="535">
        <v>4500000</v>
      </c>
      <c r="H32" s="535">
        <v>4578750</v>
      </c>
      <c r="I32" s="451">
        <v>4.58E-2</v>
      </c>
      <c r="J32" s="404">
        <f t="shared" si="12"/>
        <v>209706.75</v>
      </c>
      <c r="K32" s="627">
        <f t="shared" si="13"/>
        <v>4788456.75</v>
      </c>
      <c r="L32" s="603">
        <f>+K32-7</f>
        <v>4788449.75</v>
      </c>
      <c r="M32" s="434">
        <v>2500000</v>
      </c>
      <c r="N32" s="435">
        <f>+M32*I32</f>
        <v>114500</v>
      </c>
      <c r="O32" s="436">
        <f>+M32+N32</f>
        <v>2614500</v>
      </c>
      <c r="P32" s="437">
        <f>+O32-L32</f>
        <v>-2173949.75</v>
      </c>
      <c r="Q32" s="442">
        <f>+P32/L32</f>
        <v>-0.45399865582801613</v>
      </c>
      <c r="AQ32" s="680">
        <f t="shared" si="10"/>
        <v>1817052</v>
      </c>
      <c r="AR32" s="680">
        <f t="shared" si="11"/>
        <v>2971397.75</v>
      </c>
      <c r="AS32" s="679">
        <f t="shared" si="14"/>
        <v>0.62053439111478614</v>
      </c>
      <c r="AT32" s="652"/>
    </row>
    <row r="33" spans="1:46" s="103" customFormat="1" ht="32.25" customHeight="1">
      <c r="A33" s="399">
        <v>11</v>
      </c>
      <c r="B33" s="406" t="s">
        <v>27</v>
      </c>
      <c r="C33" s="407" t="s">
        <v>145</v>
      </c>
      <c r="D33" s="402"/>
      <c r="E33" s="402"/>
      <c r="F33" s="531"/>
      <c r="G33" s="535">
        <v>4500000</v>
      </c>
      <c r="H33" s="535">
        <v>4578750</v>
      </c>
      <c r="I33" s="451">
        <v>4.58E-2</v>
      </c>
      <c r="J33" s="404">
        <f t="shared" si="12"/>
        <v>209706.75</v>
      </c>
      <c r="K33" s="627">
        <f t="shared" si="13"/>
        <v>4788456.75</v>
      </c>
      <c r="L33" s="603">
        <f>+K33-7</f>
        <v>4788449.75</v>
      </c>
      <c r="M33" s="434"/>
      <c r="N33" s="435"/>
      <c r="O33" s="436"/>
      <c r="P33" s="437"/>
      <c r="Q33" s="442"/>
      <c r="AQ33" s="680">
        <f t="shared" si="10"/>
        <v>1817052</v>
      </c>
      <c r="AR33" s="680">
        <f t="shared" si="11"/>
        <v>2971397.75</v>
      </c>
      <c r="AS33" s="679">
        <f t="shared" si="14"/>
        <v>0.62053439111478614</v>
      </c>
      <c r="AT33" s="652"/>
    </row>
    <row r="34" spans="1:46" s="347" customFormat="1" ht="10.5" customHeight="1" thickBot="1">
      <c r="A34" s="341"/>
      <c r="B34" s="341"/>
      <c r="C34" s="303"/>
      <c r="D34" s="342"/>
      <c r="E34" s="342"/>
      <c r="F34" s="342"/>
      <c r="G34" s="342"/>
      <c r="H34" s="342"/>
      <c r="I34" s="343"/>
      <c r="J34" s="344"/>
      <c r="K34" s="342"/>
      <c r="L34" s="345"/>
      <c r="M34" s="444"/>
      <c r="N34" s="445"/>
      <c r="O34" s="445"/>
      <c r="P34" s="445"/>
      <c r="Q34" s="445"/>
      <c r="AS34" s="677"/>
      <c r="AT34" s="677"/>
    </row>
    <row r="35" spans="1:46" s="103" customFormat="1" ht="32.25" customHeight="1" thickTop="1">
      <c r="A35" s="820" t="s">
        <v>133</v>
      </c>
      <c r="B35" s="821"/>
      <c r="C35" s="821"/>
      <c r="D35" s="821"/>
      <c r="E35" s="821"/>
      <c r="F35" s="821"/>
      <c r="G35" s="821"/>
      <c r="H35" s="821"/>
      <c r="I35" s="821"/>
      <c r="J35" s="821"/>
      <c r="K35" s="821"/>
      <c r="L35" s="822"/>
      <c r="M35" s="440"/>
      <c r="N35" s="435"/>
      <c r="O35" s="435"/>
      <c r="P35" s="435"/>
      <c r="Q35" s="435"/>
      <c r="AS35" s="652"/>
      <c r="AT35" s="652"/>
    </row>
    <row r="36" spans="1:46" s="103" customFormat="1" ht="32.25" customHeight="1">
      <c r="A36" s="841" t="s">
        <v>4</v>
      </c>
      <c r="B36" s="840" t="s">
        <v>5</v>
      </c>
      <c r="C36" s="840" t="s">
        <v>134</v>
      </c>
      <c r="D36" s="836" t="s">
        <v>7</v>
      </c>
      <c r="E36" s="836" t="s">
        <v>74</v>
      </c>
      <c r="F36" s="836" t="s">
        <v>75</v>
      </c>
      <c r="G36" s="836" t="s">
        <v>130</v>
      </c>
      <c r="H36" s="836" t="s">
        <v>152</v>
      </c>
      <c r="I36" s="829" t="s">
        <v>154</v>
      </c>
      <c r="J36" s="829"/>
      <c r="K36" s="829"/>
      <c r="L36" s="830"/>
      <c r="M36" s="440"/>
      <c r="N36" s="435"/>
      <c r="O36" s="435"/>
      <c r="P36" s="435"/>
      <c r="Q36" s="435"/>
      <c r="AS36" s="652"/>
      <c r="AT36" s="652"/>
    </row>
    <row r="37" spans="1:46" s="103" customFormat="1" ht="32.25" customHeight="1">
      <c r="A37" s="841"/>
      <c r="B37" s="840"/>
      <c r="C37" s="840"/>
      <c r="D37" s="836"/>
      <c r="E37" s="836"/>
      <c r="F37" s="836"/>
      <c r="G37" s="836"/>
      <c r="H37" s="836"/>
      <c r="I37" s="459" t="s">
        <v>80</v>
      </c>
      <c r="J37" s="674" t="s">
        <v>81</v>
      </c>
      <c r="K37" s="674" t="s">
        <v>82</v>
      </c>
      <c r="L37" s="461" t="s">
        <v>83</v>
      </c>
      <c r="M37" s="440"/>
      <c r="N37" s="435"/>
      <c r="O37" s="435"/>
      <c r="P37" s="435"/>
      <c r="Q37" s="435"/>
      <c r="AS37" s="652"/>
      <c r="AT37" s="652"/>
    </row>
    <row r="38" spans="1:46" s="103" customFormat="1" ht="32.25" customHeight="1">
      <c r="A38" s="472">
        <v>1</v>
      </c>
      <c r="B38" s="473" t="s">
        <v>135</v>
      </c>
      <c r="C38" s="474" t="s">
        <v>136</v>
      </c>
      <c r="D38" s="475">
        <v>0</v>
      </c>
      <c r="E38" s="475">
        <v>0</v>
      </c>
      <c r="F38" s="537">
        <v>4300000</v>
      </c>
      <c r="G38" s="543">
        <v>5800000</v>
      </c>
      <c r="H38" s="543">
        <v>5901500</v>
      </c>
      <c r="I38" s="540">
        <v>4.58E-2</v>
      </c>
      <c r="J38" s="476">
        <f>+H38*I38</f>
        <v>270288.7</v>
      </c>
      <c r="K38" s="629">
        <f>+H38+J38</f>
        <v>6171788.7000000002</v>
      </c>
      <c r="L38" s="605">
        <f>+K38-39</f>
        <v>6171749.7000000002</v>
      </c>
      <c r="M38" s="440"/>
      <c r="N38" s="435"/>
      <c r="O38" s="435"/>
      <c r="P38" s="435"/>
      <c r="Q38" s="435"/>
      <c r="AS38" s="652"/>
      <c r="AT38" s="652"/>
    </row>
    <row r="39" spans="1:46" s="103" customFormat="1" ht="32.25" customHeight="1">
      <c r="A39" s="477">
        <v>2</v>
      </c>
      <c r="B39" s="478" t="s">
        <v>135</v>
      </c>
      <c r="C39" s="479" t="s">
        <v>137</v>
      </c>
      <c r="D39" s="480">
        <v>3200550</v>
      </c>
      <c r="E39" s="480">
        <v>3375600</v>
      </c>
      <c r="F39" s="538">
        <v>3594300</v>
      </c>
      <c r="G39" s="544">
        <v>5800000</v>
      </c>
      <c r="H39" s="544">
        <v>5901500</v>
      </c>
      <c r="I39" s="541">
        <v>4.58E-2</v>
      </c>
      <c r="J39" s="481">
        <f t="shared" ref="J39:J41" si="15">+H39*I39</f>
        <v>270288.7</v>
      </c>
      <c r="K39" s="630">
        <f t="shared" ref="K39:K41" si="16">+H39+J39</f>
        <v>6171788.7000000002</v>
      </c>
      <c r="L39" s="606">
        <f>+K39-39</f>
        <v>6171749.7000000002</v>
      </c>
      <c r="M39" s="440"/>
      <c r="N39" s="435"/>
      <c r="O39" s="435"/>
      <c r="P39" s="435"/>
      <c r="Q39" s="435"/>
      <c r="AS39" s="652"/>
      <c r="AT39" s="652"/>
    </row>
    <row r="40" spans="1:46" s="103" customFormat="1" ht="32.25" customHeight="1">
      <c r="A40" s="477">
        <v>3</v>
      </c>
      <c r="B40" s="482" t="s">
        <v>135</v>
      </c>
      <c r="C40" s="483" t="s">
        <v>140</v>
      </c>
      <c r="D40" s="480">
        <v>0</v>
      </c>
      <c r="E40" s="480">
        <v>0</v>
      </c>
      <c r="F40" s="538">
        <v>0</v>
      </c>
      <c r="G40" s="544">
        <v>6500000</v>
      </c>
      <c r="H40" s="544">
        <v>6613750</v>
      </c>
      <c r="I40" s="541">
        <v>4.58E-2</v>
      </c>
      <c r="J40" s="481">
        <f t="shared" si="15"/>
        <v>302909.75</v>
      </c>
      <c r="K40" s="630">
        <f t="shared" si="16"/>
        <v>6916659.75</v>
      </c>
      <c r="L40" s="606">
        <f>+K40-10</f>
        <v>6916649.75</v>
      </c>
      <c r="M40" s="440"/>
      <c r="N40" s="435"/>
      <c r="O40" s="435"/>
      <c r="P40" s="435"/>
      <c r="Q40" s="435"/>
      <c r="AS40" s="652"/>
      <c r="AT40" s="652"/>
    </row>
    <row r="41" spans="1:46" s="103" customFormat="1" ht="32.25" customHeight="1">
      <c r="A41" s="477">
        <v>4</v>
      </c>
      <c r="B41" s="482" t="s">
        <v>135</v>
      </c>
      <c r="C41" s="483" t="s">
        <v>149</v>
      </c>
      <c r="D41" s="480">
        <v>0</v>
      </c>
      <c r="E41" s="480">
        <v>0</v>
      </c>
      <c r="F41" s="538">
        <v>0</v>
      </c>
      <c r="G41" s="544">
        <v>6500000</v>
      </c>
      <c r="H41" s="544">
        <v>6613750</v>
      </c>
      <c r="I41" s="541">
        <v>4.58E-2</v>
      </c>
      <c r="J41" s="481">
        <f t="shared" si="15"/>
        <v>302909.75</v>
      </c>
      <c r="K41" s="630">
        <f t="shared" si="16"/>
        <v>6916659.75</v>
      </c>
      <c r="L41" s="606">
        <f>+K41-10</f>
        <v>6916649.75</v>
      </c>
      <c r="M41" s="440"/>
      <c r="N41" s="435"/>
      <c r="O41" s="435"/>
      <c r="P41" s="435"/>
      <c r="Q41" s="435"/>
      <c r="AS41" s="652"/>
      <c r="AT41" s="652"/>
    </row>
    <row r="42" spans="1:46" s="120" customFormat="1" ht="10.5" customHeight="1" thickBot="1">
      <c r="A42" s="96"/>
      <c r="B42" s="96"/>
      <c r="C42" s="98"/>
      <c r="D42" s="116"/>
      <c r="E42" s="116"/>
      <c r="F42" s="116"/>
      <c r="G42" s="116"/>
      <c r="H42" s="116"/>
      <c r="I42" s="117"/>
      <c r="J42" s="118"/>
      <c r="K42" s="116"/>
      <c r="L42" s="119"/>
      <c r="M42" s="440"/>
      <c r="N42" s="447"/>
      <c r="O42" s="447"/>
      <c r="P42" s="447"/>
      <c r="Q42" s="447"/>
      <c r="AS42" s="678"/>
      <c r="AT42" s="678"/>
    </row>
    <row r="43" spans="1:46" s="120" customFormat="1" ht="32.25" customHeight="1" thickTop="1">
      <c r="A43" s="820" t="s">
        <v>158</v>
      </c>
      <c r="B43" s="821"/>
      <c r="C43" s="821"/>
      <c r="D43" s="821"/>
      <c r="E43" s="821"/>
      <c r="F43" s="821"/>
      <c r="G43" s="821"/>
      <c r="H43" s="821"/>
      <c r="I43" s="821"/>
      <c r="J43" s="821"/>
      <c r="K43" s="821"/>
      <c r="L43" s="822"/>
      <c r="M43" s="440"/>
      <c r="N43" s="447"/>
      <c r="O43" s="447"/>
      <c r="P43" s="447"/>
      <c r="Q43" s="447"/>
      <c r="AS43" s="678"/>
      <c r="AT43" s="678"/>
    </row>
    <row r="44" spans="1:46" s="120" customFormat="1" ht="32.25" customHeight="1">
      <c r="A44" s="841" t="s">
        <v>4</v>
      </c>
      <c r="B44" s="840" t="s">
        <v>5</v>
      </c>
      <c r="C44" s="840"/>
      <c r="D44" s="836" t="s">
        <v>7</v>
      </c>
      <c r="E44" s="836" t="s">
        <v>74</v>
      </c>
      <c r="F44" s="837" t="s">
        <v>75</v>
      </c>
      <c r="G44" s="836" t="s">
        <v>130</v>
      </c>
      <c r="H44" s="836" t="s">
        <v>152</v>
      </c>
      <c r="I44" s="838" t="s">
        <v>131</v>
      </c>
      <c r="J44" s="829"/>
      <c r="K44" s="829"/>
      <c r="L44" s="830"/>
      <c r="M44" s="440"/>
      <c r="N44" s="447"/>
      <c r="O44" s="447"/>
      <c r="P44" s="447"/>
      <c r="Q44" s="447"/>
      <c r="AS44" s="678"/>
      <c r="AT44" s="678"/>
    </row>
    <row r="45" spans="1:46" s="120" customFormat="1" ht="32.25" customHeight="1">
      <c r="A45" s="841"/>
      <c r="B45" s="840"/>
      <c r="C45" s="840"/>
      <c r="D45" s="836"/>
      <c r="E45" s="836"/>
      <c r="F45" s="837"/>
      <c r="G45" s="836"/>
      <c r="H45" s="836"/>
      <c r="I45" s="519" t="s">
        <v>80</v>
      </c>
      <c r="J45" s="674" t="s">
        <v>81</v>
      </c>
      <c r="K45" s="674" t="s">
        <v>82</v>
      </c>
      <c r="L45" s="461" t="s">
        <v>83</v>
      </c>
      <c r="M45" s="440"/>
      <c r="N45" s="447"/>
      <c r="O45" s="447"/>
      <c r="P45" s="447"/>
      <c r="Q45" s="447"/>
      <c r="AS45" s="678"/>
      <c r="AT45" s="678"/>
    </row>
    <row r="46" spans="1:46" s="120" customFormat="1" ht="32.25" customHeight="1">
      <c r="A46" s="593">
        <v>1</v>
      </c>
      <c r="B46" s="594" t="s">
        <v>27</v>
      </c>
      <c r="C46" s="595" t="s">
        <v>155</v>
      </c>
      <c r="D46" s="512"/>
      <c r="E46" s="512"/>
      <c r="F46" s="513"/>
      <c r="G46" s="553">
        <v>0</v>
      </c>
      <c r="H46" s="553">
        <v>2000000</v>
      </c>
      <c r="I46" s="514">
        <v>4.58E-2</v>
      </c>
      <c r="J46" s="580">
        <f t="shared" ref="J46:J47" si="17">+H46*I46</f>
        <v>91600</v>
      </c>
      <c r="K46" s="632">
        <f t="shared" ref="K46:K47" si="18">+H46+J46</f>
        <v>2091600</v>
      </c>
      <c r="L46" s="608">
        <f>+K46</f>
        <v>2091600</v>
      </c>
      <c r="M46" s="440"/>
      <c r="N46" s="447"/>
      <c r="O46" s="447"/>
      <c r="P46" s="447"/>
      <c r="Q46" s="447"/>
      <c r="AQ46" s="680">
        <f t="shared" ref="AQ46" si="19">+$AU$1</f>
        <v>1817052</v>
      </c>
      <c r="AR46" s="680">
        <f t="shared" ref="AR46" si="20">+L46-AQ46</f>
        <v>274548</v>
      </c>
      <c r="AS46" s="679">
        <f t="shared" ref="AS46" si="21">+AR46/L46</f>
        <v>0.13126219162363742</v>
      </c>
      <c r="AT46" s="678"/>
    </row>
    <row r="47" spans="1:46" s="120" customFormat="1" ht="32.25" customHeight="1" thickBot="1">
      <c r="A47" s="585">
        <v>2</v>
      </c>
      <c r="B47" s="586" t="s">
        <v>135</v>
      </c>
      <c r="C47" s="587" t="s">
        <v>159</v>
      </c>
      <c r="D47" s="588">
        <v>0</v>
      </c>
      <c r="E47" s="588">
        <v>0</v>
      </c>
      <c r="F47" s="589">
        <v>0</v>
      </c>
      <c r="G47" s="590">
        <v>0</v>
      </c>
      <c r="H47" s="590">
        <v>5000000</v>
      </c>
      <c r="I47" s="591">
        <v>4.58E-2</v>
      </c>
      <c r="J47" s="592">
        <f t="shared" si="17"/>
        <v>229000</v>
      </c>
      <c r="K47" s="633">
        <f t="shared" si="18"/>
        <v>5229000</v>
      </c>
      <c r="L47" s="609">
        <f>+K47</f>
        <v>5229000</v>
      </c>
      <c r="M47" s="440"/>
      <c r="N47" s="447"/>
      <c r="O47" s="447"/>
      <c r="P47" s="447"/>
      <c r="Q47" s="447"/>
      <c r="AS47" s="678"/>
      <c r="AT47" s="678"/>
    </row>
    <row r="48" spans="1:46" s="120" customFormat="1" ht="10.5" customHeight="1" thickTop="1" thickBot="1">
      <c r="A48" s="96"/>
      <c r="B48" s="96"/>
      <c r="C48" s="98"/>
      <c r="D48" s="116"/>
      <c r="E48" s="116"/>
      <c r="F48" s="116"/>
      <c r="G48" s="116"/>
      <c r="H48" s="116"/>
      <c r="I48" s="117"/>
      <c r="J48" s="118"/>
      <c r="K48" s="116"/>
      <c r="L48" s="119"/>
      <c r="M48" s="440"/>
      <c r="N48" s="447"/>
      <c r="O48" s="447"/>
      <c r="P48" s="447"/>
      <c r="Q48" s="447"/>
      <c r="AS48" s="678"/>
      <c r="AT48" s="678"/>
    </row>
    <row r="49" spans="1:47" ht="32.25" customHeight="1" thickTop="1">
      <c r="B49" s="820" t="s">
        <v>29</v>
      </c>
      <c r="C49" s="821"/>
      <c r="D49" s="821"/>
      <c r="E49" s="821"/>
      <c r="F49" s="821"/>
      <c r="G49" s="821"/>
      <c r="H49" s="821"/>
      <c r="I49" s="821"/>
      <c r="J49" s="821"/>
      <c r="K49" s="821"/>
      <c r="L49" s="822"/>
      <c r="M49" s="440"/>
    </row>
    <row r="50" spans="1:47" ht="39.75" customHeight="1">
      <c r="A50" s="121"/>
      <c r="B50" s="489" t="s">
        <v>4</v>
      </c>
      <c r="C50" s="490" t="s">
        <v>29</v>
      </c>
      <c r="D50" s="674" t="s">
        <v>84</v>
      </c>
      <c r="E50" s="674" t="s">
        <v>85</v>
      </c>
      <c r="F50" s="675" t="s">
        <v>86</v>
      </c>
      <c r="G50" s="674" t="s">
        <v>132</v>
      </c>
      <c r="H50" s="674" t="s">
        <v>153</v>
      </c>
      <c r="I50" s="519" t="s">
        <v>80</v>
      </c>
      <c r="J50" s="674" t="s">
        <v>81</v>
      </c>
      <c r="K50" s="674" t="s">
        <v>82</v>
      </c>
      <c r="L50" s="610" t="s">
        <v>83</v>
      </c>
      <c r="M50" s="440"/>
    </row>
    <row r="51" spans="1:47" ht="20.25" customHeight="1">
      <c r="A51" s="121"/>
      <c r="B51" s="491">
        <v>1</v>
      </c>
      <c r="C51" s="492" t="s">
        <v>160</v>
      </c>
      <c r="D51" s="493">
        <v>59400</v>
      </c>
      <c r="E51" s="494">
        <v>62600</v>
      </c>
      <c r="F51" s="495">
        <v>66600</v>
      </c>
      <c r="G51" s="549">
        <v>74350.438034000006</v>
      </c>
      <c r="H51" s="549">
        <v>75649.570699595002</v>
      </c>
      <c r="I51" s="579">
        <v>4.58E-2</v>
      </c>
      <c r="J51" s="496">
        <f>+H51*I51</f>
        <v>3464.750338041451</v>
      </c>
      <c r="K51" s="634">
        <f>+H51+J51</f>
        <v>79114.321037636459</v>
      </c>
      <c r="L51" s="611">
        <f>+K51-14</f>
        <v>79100.321037636459</v>
      </c>
      <c r="M51" s="440"/>
    </row>
    <row r="52" spans="1:47" ht="20.25" customHeight="1">
      <c r="A52" s="121"/>
      <c r="B52" s="427">
        <v>2</v>
      </c>
      <c r="C52" s="431" t="s">
        <v>161</v>
      </c>
      <c r="D52" s="428">
        <v>37800</v>
      </c>
      <c r="E52" s="429">
        <v>39900</v>
      </c>
      <c r="F52" s="430">
        <v>42450</v>
      </c>
      <c r="G52" s="550">
        <v>47399.944596000001</v>
      </c>
      <c r="H52" s="550">
        <v>48200.443626430002</v>
      </c>
      <c r="I52" s="578">
        <v>4.58E-2</v>
      </c>
      <c r="J52" s="497">
        <f t="shared" ref="J52:J84" si="22">+H52*I52</f>
        <v>2207.5803180904941</v>
      </c>
      <c r="K52" s="635">
        <f t="shared" ref="K52:K84" si="23">+H52+J52</f>
        <v>50408.023944520493</v>
      </c>
      <c r="L52" s="612">
        <f>+K52-8</f>
        <v>50400.023944520493</v>
      </c>
      <c r="M52" s="440"/>
    </row>
    <row r="53" spans="1:47" ht="20.25" customHeight="1">
      <c r="A53" s="121"/>
      <c r="B53" s="419">
        <v>3</v>
      </c>
      <c r="C53" s="432" t="s">
        <v>162</v>
      </c>
      <c r="D53" s="420"/>
      <c r="E53" s="421"/>
      <c r="F53" s="422"/>
      <c r="G53" s="551">
        <v>0</v>
      </c>
      <c r="H53" s="551">
        <v>61650.443626430002</v>
      </c>
      <c r="I53" s="547">
        <v>4.58E-2</v>
      </c>
      <c r="J53" s="497">
        <f t="shared" si="22"/>
        <v>2823.5903180904943</v>
      </c>
      <c r="K53" s="635">
        <f t="shared" si="23"/>
        <v>64474.033944520495</v>
      </c>
      <c r="L53" s="613">
        <f>+K53-24</f>
        <v>64450.033944520495</v>
      </c>
      <c r="M53" s="446" t="s">
        <v>150</v>
      </c>
    </row>
    <row r="54" spans="1:47" ht="20.25" customHeight="1">
      <c r="A54" s="121"/>
      <c r="B54" s="419">
        <v>4</v>
      </c>
      <c r="C54" s="432" t="s">
        <v>163</v>
      </c>
      <c r="D54" s="420">
        <v>37800</v>
      </c>
      <c r="E54" s="421">
        <v>39900</v>
      </c>
      <c r="F54" s="422">
        <v>66222</v>
      </c>
      <c r="G54" s="551">
        <v>73849.774281999998</v>
      </c>
      <c r="H54" s="551">
        <v>75100.145331934997</v>
      </c>
      <c r="I54" s="547">
        <v>4.58E-2</v>
      </c>
      <c r="J54" s="497">
        <f t="shared" si="22"/>
        <v>3439.5866562026231</v>
      </c>
      <c r="K54" s="635">
        <f t="shared" si="23"/>
        <v>78539.731988137617</v>
      </c>
      <c r="L54" s="613">
        <f>+K54-40</f>
        <v>78499.731988137617</v>
      </c>
      <c r="M54" s="440"/>
    </row>
    <row r="55" spans="1:47" ht="20.25" customHeight="1">
      <c r="A55" s="121"/>
      <c r="B55" s="642">
        <v>5</v>
      </c>
      <c r="C55" s="643" t="s">
        <v>186</v>
      </c>
      <c r="D55" s="644"/>
      <c r="E55" s="645"/>
      <c r="F55" s="646"/>
      <c r="G55" s="647">
        <v>0</v>
      </c>
      <c r="H55" s="647">
        <v>0</v>
      </c>
      <c r="I55" s="648">
        <v>0</v>
      </c>
      <c r="J55" s="649">
        <f t="shared" si="22"/>
        <v>0</v>
      </c>
      <c r="K55" s="650">
        <v>115000</v>
      </c>
      <c r="L55" s="613">
        <f>+K55</f>
        <v>115000</v>
      </c>
      <c r="M55" s="440"/>
    </row>
    <row r="56" spans="1:47" ht="20.25" customHeight="1">
      <c r="A56" s="121"/>
      <c r="B56" s="509">
        <v>6</v>
      </c>
      <c r="C56" s="510" t="s">
        <v>164</v>
      </c>
      <c r="D56" s="511">
        <v>315600</v>
      </c>
      <c r="E56" s="512">
        <v>332900</v>
      </c>
      <c r="F56" s="513">
        <v>354450</v>
      </c>
      <c r="G56" s="553">
        <v>395749.57154400001</v>
      </c>
      <c r="H56" s="553">
        <v>402650.18904601998</v>
      </c>
      <c r="I56" s="514">
        <v>4.58E-2</v>
      </c>
      <c r="J56" s="580">
        <f t="shared" si="22"/>
        <v>18441.378658307716</v>
      </c>
      <c r="K56" s="632">
        <f t="shared" si="23"/>
        <v>421091.5677043277</v>
      </c>
      <c r="L56" s="615">
        <f>+K56-42</f>
        <v>421049.5677043277</v>
      </c>
      <c r="M56" s="440"/>
    </row>
    <row r="57" spans="1:47" ht="20.25" customHeight="1">
      <c r="A57" s="121"/>
      <c r="B57" s="498">
        <v>7</v>
      </c>
      <c r="C57" s="499" t="s">
        <v>165</v>
      </c>
      <c r="D57" s="500"/>
      <c r="E57" s="501">
        <v>480000</v>
      </c>
      <c r="F57" s="502">
        <v>511100</v>
      </c>
      <c r="G57" s="554">
        <v>570699.63768399996</v>
      </c>
      <c r="H57" s="554">
        <v>580649.88134346996</v>
      </c>
      <c r="I57" s="450">
        <v>4.58E-2</v>
      </c>
      <c r="J57" s="581">
        <f t="shared" si="22"/>
        <v>26593.764565530924</v>
      </c>
      <c r="K57" s="637">
        <f t="shared" si="23"/>
        <v>607243.64590900089</v>
      </c>
      <c r="L57" s="616">
        <f>+K57-44</f>
        <v>607199.64590900089</v>
      </c>
      <c r="M57" s="440"/>
    </row>
    <row r="58" spans="1:47" ht="20.25" customHeight="1">
      <c r="A58" s="121"/>
      <c r="B58" s="503">
        <v>8</v>
      </c>
      <c r="C58" s="504" t="s">
        <v>166</v>
      </c>
      <c r="D58" s="505">
        <v>7800</v>
      </c>
      <c r="E58" s="506">
        <v>8200</v>
      </c>
      <c r="F58" s="507">
        <v>8700</v>
      </c>
      <c r="G58" s="555">
        <v>9699.91</v>
      </c>
      <c r="H58" s="555">
        <v>9849.6584249999996</v>
      </c>
      <c r="I58" s="515">
        <v>4.58E-2</v>
      </c>
      <c r="J58" s="582">
        <f t="shared" si="22"/>
        <v>451.11435586499999</v>
      </c>
      <c r="K58" s="638">
        <f t="shared" si="23"/>
        <v>10300.772780865</v>
      </c>
      <c r="L58" s="617">
        <f>+K58-1</f>
        <v>10299.772780865</v>
      </c>
      <c r="M58" s="440"/>
    </row>
    <row r="59" spans="1:47" ht="20.25" customHeight="1">
      <c r="A59" s="121"/>
      <c r="B59" s="427">
        <v>9</v>
      </c>
      <c r="C59" s="431" t="s">
        <v>167</v>
      </c>
      <c r="D59" s="428">
        <v>115700</v>
      </c>
      <c r="E59" s="429">
        <v>122000</v>
      </c>
      <c r="F59" s="430">
        <v>129900</v>
      </c>
      <c r="G59" s="550">
        <v>145050.42000000001</v>
      </c>
      <c r="H59" s="550">
        <v>147549.80235000001</v>
      </c>
      <c r="I59" s="547">
        <v>4.58E-2</v>
      </c>
      <c r="J59" s="497">
        <f t="shared" si="22"/>
        <v>6757.7809476300008</v>
      </c>
      <c r="K59" s="635">
        <f t="shared" si="23"/>
        <v>154307.58329763002</v>
      </c>
      <c r="L59" s="612">
        <f>+K59-8</f>
        <v>154299.58329763002</v>
      </c>
      <c r="M59" s="440"/>
    </row>
    <row r="60" spans="1:47" ht="20.25" customHeight="1">
      <c r="A60" s="121"/>
      <c r="B60" s="419">
        <v>10</v>
      </c>
      <c r="C60" s="432" t="s">
        <v>168</v>
      </c>
      <c r="D60" s="420"/>
      <c r="E60" s="421"/>
      <c r="F60" s="422"/>
      <c r="G60" s="551">
        <v>0</v>
      </c>
      <c r="H60" s="551">
        <v>205150</v>
      </c>
      <c r="I60" s="547">
        <v>4.58E-2</v>
      </c>
      <c r="J60" s="497">
        <f t="shared" si="22"/>
        <v>9395.8700000000008</v>
      </c>
      <c r="K60" s="635">
        <f t="shared" si="23"/>
        <v>214545.87</v>
      </c>
      <c r="L60" s="613">
        <f>+K60-46</f>
        <v>214499.87</v>
      </c>
      <c r="M60" s="446" t="s">
        <v>150</v>
      </c>
      <c r="N60" s="448"/>
    </row>
    <row r="61" spans="1:47" ht="20.25" customHeight="1">
      <c r="A61" s="121"/>
      <c r="B61" s="419">
        <v>11</v>
      </c>
      <c r="C61" s="432" t="s">
        <v>169</v>
      </c>
      <c r="D61" s="420">
        <v>206000</v>
      </c>
      <c r="E61" s="421">
        <v>217300</v>
      </c>
      <c r="F61" s="422">
        <v>231350</v>
      </c>
      <c r="G61" s="551">
        <v>258300.141966</v>
      </c>
      <c r="H61" s="551">
        <v>262800.39445040497</v>
      </c>
      <c r="I61" s="547">
        <v>4.58E-2</v>
      </c>
      <c r="J61" s="497">
        <f t="shared" si="22"/>
        <v>12036.258065828548</v>
      </c>
      <c r="K61" s="635">
        <f t="shared" si="23"/>
        <v>274836.6525162335</v>
      </c>
      <c r="L61" s="613">
        <f>+K61-37</f>
        <v>274799.6525162335</v>
      </c>
      <c r="M61" s="440"/>
      <c r="N61" s="448"/>
    </row>
    <row r="62" spans="1:47" ht="20.25" customHeight="1">
      <c r="A62" s="121"/>
      <c r="B62" s="642">
        <v>12</v>
      </c>
      <c r="C62" s="432" t="s">
        <v>187</v>
      </c>
      <c r="D62" s="644"/>
      <c r="E62" s="645"/>
      <c r="F62" s="646"/>
      <c r="G62" s="647">
        <v>0</v>
      </c>
      <c r="H62" s="647">
        <v>0</v>
      </c>
      <c r="I62" s="648">
        <v>0</v>
      </c>
      <c r="J62" s="649">
        <f t="shared" si="22"/>
        <v>0</v>
      </c>
      <c r="K62" s="650">
        <v>404000</v>
      </c>
      <c r="L62" s="613">
        <f>+K62</f>
        <v>404000</v>
      </c>
      <c r="M62" s="440"/>
      <c r="N62" s="448"/>
    </row>
    <row r="63" spans="1:47" s="439" customFormat="1" ht="20.25" customHeight="1">
      <c r="A63" s="121"/>
      <c r="B63" s="509">
        <v>13</v>
      </c>
      <c r="C63" s="510" t="s">
        <v>170</v>
      </c>
      <c r="D63" s="511">
        <v>5200</v>
      </c>
      <c r="E63" s="512">
        <v>5500</v>
      </c>
      <c r="F63" s="513">
        <v>5850</v>
      </c>
      <c r="G63" s="553">
        <v>6500</v>
      </c>
      <c r="H63" s="553">
        <v>6599.75</v>
      </c>
      <c r="I63" s="514">
        <v>4.58E-2</v>
      </c>
      <c r="J63" s="580">
        <f t="shared" si="22"/>
        <v>302.26855</v>
      </c>
      <c r="K63" s="632">
        <f t="shared" si="23"/>
        <v>6902.0185499999998</v>
      </c>
      <c r="L63" s="615">
        <f>+K63-2</f>
        <v>6900.0185499999998</v>
      </c>
      <c r="M63" s="440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676"/>
      <c r="AT63" s="676"/>
      <c r="AU63" s="84"/>
    </row>
    <row r="64" spans="1:47" s="439" customFormat="1" ht="20.25" customHeight="1">
      <c r="A64" s="121"/>
      <c r="B64" s="498">
        <v>14</v>
      </c>
      <c r="C64" s="499" t="s">
        <v>171</v>
      </c>
      <c r="D64" s="500">
        <v>59500</v>
      </c>
      <c r="E64" s="501">
        <v>62800</v>
      </c>
      <c r="F64" s="502">
        <v>66850</v>
      </c>
      <c r="G64" s="554">
        <v>74650.34</v>
      </c>
      <c r="H64" s="554">
        <v>75949.720950000003</v>
      </c>
      <c r="I64" s="450">
        <v>4.58E-2</v>
      </c>
      <c r="J64" s="581">
        <f t="shared" si="22"/>
        <v>3478.4972195100004</v>
      </c>
      <c r="K64" s="637">
        <f t="shared" si="23"/>
        <v>79428.218169510001</v>
      </c>
      <c r="L64" s="616">
        <f>+K64-28</f>
        <v>79400.218169510001</v>
      </c>
      <c r="M64" s="440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676"/>
      <c r="AT64" s="676"/>
      <c r="AU64" s="84"/>
    </row>
    <row r="65" spans="1:47" s="439" customFormat="1" ht="20.25" customHeight="1">
      <c r="A65" s="121"/>
      <c r="B65" s="498">
        <v>15</v>
      </c>
      <c r="C65" s="499" t="s">
        <v>172</v>
      </c>
      <c r="D65" s="500">
        <v>17900</v>
      </c>
      <c r="E65" s="501">
        <v>18900</v>
      </c>
      <c r="F65" s="502">
        <v>20100</v>
      </c>
      <c r="G65" s="554">
        <v>22349.798842</v>
      </c>
      <c r="H65" s="554">
        <v>22699.920321735</v>
      </c>
      <c r="I65" s="450">
        <v>4.58E-2</v>
      </c>
      <c r="J65" s="581">
        <f t="shared" si="22"/>
        <v>1039.6563507354631</v>
      </c>
      <c r="K65" s="637">
        <f t="shared" si="23"/>
        <v>23739.576672470463</v>
      </c>
      <c r="L65" s="616">
        <f>+K65-40</f>
        <v>23699.576672470463</v>
      </c>
      <c r="M65" s="440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676"/>
      <c r="AT65" s="676"/>
      <c r="AU65" s="84"/>
    </row>
    <row r="66" spans="1:47" s="439" customFormat="1" ht="20.25" customHeight="1">
      <c r="A66" s="121"/>
      <c r="B66" s="503">
        <v>16</v>
      </c>
      <c r="C66" s="516" t="s">
        <v>98</v>
      </c>
      <c r="D66" s="505">
        <v>11600</v>
      </c>
      <c r="E66" s="506">
        <v>12200</v>
      </c>
      <c r="F66" s="507">
        <v>12950</v>
      </c>
      <c r="G66" s="555">
        <v>14450.47</v>
      </c>
      <c r="H66" s="555">
        <v>14700.353224999999</v>
      </c>
      <c r="I66" s="515">
        <v>4.58E-2</v>
      </c>
      <c r="J66" s="582">
        <f t="shared" si="22"/>
        <v>673.27617770500001</v>
      </c>
      <c r="K66" s="638">
        <f t="shared" si="23"/>
        <v>15373.629402704999</v>
      </c>
      <c r="L66" s="617">
        <f>+K66-24</f>
        <v>15349.629402704999</v>
      </c>
      <c r="M66" s="440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676"/>
      <c r="AT66" s="676"/>
      <c r="AU66" s="84"/>
    </row>
    <row r="67" spans="1:47" s="439" customFormat="1" ht="20.25" customHeight="1">
      <c r="A67" s="121"/>
      <c r="B67" s="663">
        <v>17</v>
      </c>
      <c r="C67" s="664" t="s">
        <v>173</v>
      </c>
      <c r="D67" s="665">
        <v>0</v>
      </c>
      <c r="E67" s="666">
        <v>196200</v>
      </c>
      <c r="F67" s="667">
        <v>208900</v>
      </c>
      <c r="G67" s="668">
        <v>233249.99621200003</v>
      </c>
      <c r="H67" s="668">
        <v>237299.87114571003</v>
      </c>
      <c r="I67" s="669">
        <v>4.58E-2</v>
      </c>
      <c r="J67" s="670">
        <f t="shared" si="22"/>
        <v>10868.334098473519</v>
      </c>
      <c r="K67" s="671">
        <f t="shared" si="23"/>
        <v>248168.20524418354</v>
      </c>
      <c r="L67" s="672">
        <f>+K67-18</f>
        <v>248150.20524418354</v>
      </c>
      <c r="M67" s="440"/>
      <c r="N67" s="448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676"/>
      <c r="AT67" s="676"/>
      <c r="AU67" s="84"/>
    </row>
    <row r="68" spans="1:47" s="439" customFormat="1" ht="20.25" customHeight="1">
      <c r="A68" s="121"/>
      <c r="B68" s="419">
        <v>18</v>
      </c>
      <c r="C68" s="432" t="s">
        <v>174</v>
      </c>
      <c r="D68" s="420"/>
      <c r="E68" s="421"/>
      <c r="F68" s="422"/>
      <c r="G68" s="551">
        <v>0</v>
      </c>
      <c r="H68" s="551">
        <v>303749.87114571</v>
      </c>
      <c r="I68" s="547">
        <v>4.58E-2</v>
      </c>
      <c r="J68" s="497">
        <f t="shared" si="22"/>
        <v>13911.744098473519</v>
      </c>
      <c r="K68" s="635">
        <f t="shared" si="23"/>
        <v>317661.61524418351</v>
      </c>
      <c r="L68" s="613">
        <f>+K68-12</f>
        <v>317649.61524418351</v>
      </c>
      <c r="M68" s="446" t="s">
        <v>150</v>
      </c>
      <c r="N68" s="448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676"/>
      <c r="AT68" s="676"/>
      <c r="AU68" s="84"/>
    </row>
    <row r="69" spans="1:47" s="439" customFormat="1" ht="20.25" customHeight="1">
      <c r="A69" s="121"/>
      <c r="B69" s="419">
        <v>19</v>
      </c>
      <c r="C69" s="432" t="s">
        <v>175</v>
      </c>
      <c r="D69" s="420">
        <v>0</v>
      </c>
      <c r="E69" s="421">
        <v>0</v>
      </c>
      <c r="F69" s="422">
        <v>325884</v>
      </c>
      <c r="G69" s="551">
        <v>363849.54115800001</v>
      </c>
      <c r="H69" s="551">
        <v>370199.908128265</v>
      </c>
      <c r="I69" s="547">
        <v>4.58E-2</v>
      </c>
      <c r="J69" s="497">
        <f t="shared" si="22"/>
        <v>16955.155792274538</v>
      </c>
      <c r="K69" s="635">
        <f t="shared" si="23"/>
        <v>387155.06392053951</v>
      </c>
      <c r="L69" s="613">
        <f>+K69-5</f>
        <v>387150.06392053951</v>
      </c>
      <c r="M69" s="440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676"/>
      <c r="AT69" s="676"/>
      <c r="AU69" s="84"/>
    </row>
    <row r="70" spans="1:47" s="439" customFormat="1" ht="20.25" customHeight="1">
      <c r="A70" s="121"/>
      <c r="B70" s="423">
        <v>20</v>
      </c>
      <c r="C70" s="433" t="s">
        <v>188</v>
      </c>
      <c r="D70" s="424">
        <v>0</v>
      </c>
      <c r="E70" s="425">
        <v>0</v>
      </c>
      <c r="F70" s="426">
        <v>325884</v>
      </c>
      <c r="G70" s="552">
        <v>0</v>
      </c>
      <c r="H70" s="552">
        <v>0</v>
      </c>
      <c r="I70" s="548">
        <v>0</v>
      </c>
      <c r="J70" s="508">
        <f t="shared" si="22"/>
        <v>0</v>
      </c>
      <c r="K70" s="636">
        <v>569000</v>
      </c>
      <c r="L70" s="614">
        <f>+K70</f>
        <v>569000</v>
      </c>
      <c r="M70" s="440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676"/>
      <c r="AT70" s="676"/>
      <c r="AU70" s="84"/>
    </row>
    <row r="71" spans="1:47" s="439" customFormat="1" ht="20.25" customHeight="1">
      <c r="A71" s="121"/>
      <c r="B71" s="427">
        <v>21</v>
      </c>
      <c r="C71" s="431" t="s">
        <v>189</v>
      </c>
      <c r="D71" s="428">
        <v>36700</v>
      </c>
      <c r="E71" s="429">
        <v>38700</v>
      </c>
      <c r="F71" s="430">
        <v>41200</v>
      </c>
      <c r="G71" s="550">
        <v>45999.533402000001</v>
      </c>
      <c r="H71" s="550">
        <v>46799.525236535002</v>
      </c>
      <c r="I71" s="578">
        <v>4.58E-2</v>
      </c>
      <c r="J71" s="583">
        <f t="shared" si="22"/>
        <v>2143.4182558333032</v>
      </c>
      <c r="K71" s="639">
        <f t="shared" si="23"/>
        <v>48942.943492368307</v>
      </c>
      <c r="L71" s="612">
        <f>+K71-43</f>
        <v>48899.943492368307</v>
      </c>
      <c r="M71" s="440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676"/>
      <c r="AT71" s="676"/>
      <c r="AU71" s="84"/>
    </row>
    <row r="72" spans="1:47" s="439" customFormat="1" ht="20.25" customHeight="1">
      <c r="A72" s="121"/>
      <c r="B72" s="419">
        <v>22</v>
      </c>
      <c r="C72" s="432" t="s">
        <v>190</v>
      </c>
      <c r="D72" s="420"/>
      <c r="E72" s="421"/>
      <c r="F72" s="422"/>
      <c r="G72" s="551">
        <v>0</v>
      </c>
      <c r="H72" s="551">
        <v>59899.525236535002</v>
      </c>
      <c r="I72" s="547">
        <v>4.58E-2</v>
      </c>
      <c r="J72" s="497">
        <f t="shared" si="22"/>
        <v>2743.3982558333032</v>
      </c>
      <c r="K72" s="635">
        <f t="shared" si="23"/>
        <v>62642.923492368303</v>
      </c>
      <c r="L72" s="613">
        <f>+K72-43</f>
        <v>62599.923492368303</v>
      </c>
      <c r="M72" s="446" t="s">
        <v>150</v>
      </c>
      <c r="N72" s="448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676"/>
      <c r="AT72" s="676"/>
      <c r="AU72" s="84"/>
    </row>
    <row r="73" spans="1:47" s="439" customFormat="1" ht="20.25" customHeight="1">
      <c r="A73" s="121"/>
      <c r="B73" s="419">
        <v>23</v>
      </c>
      <c r="C73" s="432" t="s">
        <v>191</v>
      </c>
      <c r="D73" s="420">
        <v>0</v>
      </c>
      <c r="E73" s="421">
        <v>0</v>
      </c>
      <c r="F73" s="422">
        <v>64272</v>
      </c>
      <c r="G73" s="551">
        <v>71750.259999999995</v>
      </c>
      <c r="H73" s="551">
        <v>72999.889549999993</v>
      </c>
      <c r="I73" s="547">
        <v>4.58E-2</v>
      </c>
      <c r="J73" s="497">
        <f t="shared" si="22"/>
        <v>3343.3949413899995</v>
      </c>
      <c r="K73" s="635">
        <f t="shared" si="23"/>
        <v>76343.28449138999</v>
      </c>
      <c r="L73" s="613">
        <f>+K73-43</f>
        <v>76300.28449138999</v>
      </c>
      <c r="M73" s="440"/>
      <c r="N73" s="448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676"/>
      <c r="AT73" s="676"/>
      <c r="AU73" s="84"/>
    </row>
    <row r="74" spans="1:47" s="439" customFormat="1" ht="20.25" customHeight="1">
      <c r="A74" s="121"/>
      <c r="B74" s="653">
        <v>24</v>
      </c>
      <c r="C74" s="654" t="s">
        <v>192</v>
      </c>
      <c r="D74" s="655"/>
      <c r="E74" s="656"/>
      <c r="F74" s="657"/>
      <c r="G74" s="658">
        <v>0</v>
      </c>
      <c r="H74" s="658">
        <v>0</v>
      </c>
      <c r="I74" s="659">
        <v>0</v>
      </c>
      <c r="J74" s="660">
        <f t="shared" si="22"/>
        <v>0</v>
      </c>
      <c r="K74" s="661">
        <v>112000</v>
      </c>
      <c r="L74" s="662">
        <f>+K74</f>
        <v>112000</v>
      </c>
      <c r="M74" s="440"/>
      <c r="N74" s="448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676"/>
      <c r="AT74" s="676"/>
      <c r="AU74" s="84"/>
    </row>
    <row r="75" spans="1:47" s="439" customFormat="1" ht="20.25" customHeight="1">
      <c r="A75" s="121"/>
      <c r="B75" s="491">
        <v>25</v>
      </c>
      <c r="C75" s="517" t="s">
        <v>176</v>
      </c>
      <c r="D75" s="493">
        <v>225000</v>
      </c>
      <c r="E75" s="494">
        <v>237300</v>
      </c>
      <c r="F75" s="495">
        <v>252650</v>
      </c>
      <c r="G75" s="549">
        <v>282100.24340199999</v>
      </c>
      <c r="H75" s="549">
        <v>286999.99766153499</v>
      </c>
      <c r="I75" s="584">
        <v>4.58E-2</v>
      </c>
      <c r="J75" s="496">
        <f t="shared" si="22"/>
        <v>13144.599892898303</v>
      </c>
      <c r="K75" s="634">
        <f t="shared" si="23"/>
        <v>300144.59755443328</v>
      </c>
      <c r="L75" s="618">
        <f>+K75-45</f>
        <v>300099.59755443328</v>
      </c>
      <c r="M75" s="440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676"/>
      <c r="AT75" s="676"/>
      <c r="AU75" s="84"/>
    </row>
    <row r="76" spans="1:47" s="439" customFormat="1" ht="20.25" customHeight="1">
      <c r="A76" s="121"/>
      <c r="B76" s="427">
        <v>26</v>
      </c>
      <c r="C76" s="431" t="s">
        <v>177</v>
      </c>
      <c r="D76" s="428">
        <v>0</v>
      </c>
      <c r="E76" s="429">
        <v>0</v>
      </c>
      <c r="F76" s="430">
        <v>605000</v>
      </c>
      <c r="G76" s="550">
        <v>675549.73350999993</v>
      </c>
      <c r="H76" s="550">
        <v>687349.85384642496</v>
      </c>
      <c r="I76" s="578">
        <v>4.58E-2</v>
      </c>
      <c r="J76" s="583">
        <f t="shared" si="22"/>
        <v>31480.623306166264</v>
      </c>
      <c r="K76" s="639">
        <f t="shared" si="23"/>
        <v>718830.47715259122</v>
      </c>
      <c r="L76" s="612">
        <f>+K76-30</f>
        <v>718800.47715259122</v>
      </c>
      <c r="M76" s="440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676"/>
      <c r="AT76" s="676"/>
      <c r="AU76" s="84"/>
    </row>
    <row r="77" spans="1:47" s="439" customFormat="1" ht="20.25" customHeight="1">
      <c r="A77" s="121"/>
      <c r="B77" s="419">
        <v>27</v>
      </c>
      <c r="C77" s="432" t="s">
        <v>178</v>
      </c>
      <c r="D77" s="420"/>
      <c r="E77" s="421"/>
      <c r="F77" s="422"/>
      <c r="G77" s="551">
        <v>0</v>
      </c>
      <c r="H77" s="551">
        <v>957149.85384642496</v>
      </c>
      <c r="I77" s="547">
        <v>4.58E-2</v>
      </c>
      <c r="J77" s="497">
        <f t="shared" si="22"/>
        <v>43837.463306166261</v>
      </c>
      <c r="K77" s="635">
        <f t="shared" si="23"/>
        <v>1000987.3171525912</v>
      </c>
      <c r="L77" s="613">
        <f>+K77-37</f>
        <v>1000950.3171525912</v>
      </c>
      <c r="M77" s="446" t="s">
        <v>150</v>
      </c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676"/>
      <c r="AT77" s="676"/>
      <c r="AU77" s="84"/>
    </row>
    <row r="78" spans="1:47" s="439" customFormat="1" ht="20.25" customHeight="1">
      <c r="A78" s="121"/>
      <c r="B78" s="423">
        <v>28</v>
      </c>
      <c r="C78" s="433" t="s">
        <v>179</v>
      </c>
      <c r="D78" s="424">
        <v>0</v>
      </c>
      <c r="E78" s="425">
        <v>0</v>
      </c>
      <c r="F78" s="426">
        <v>1080000</v>
      </c>
      <c r="G78" s="552">
        <v>1205900.46</v>
      </c>
      <c r="H78" s="552">
        <v>1226999.71805</v>
      </c>
      <c r="I78" s="548">
        <v>4.58E-2</v>
      </c>
      <c r="J78" s="508">
        <f t="shared" si="22"/>
        <v>56196.58708669</v>
      </c>
      <c r="K78" s="636">
        <f t="shared" si="23"/>
        <v>1283196.3051366899</v>
      </c>
      <c r="L78" s="614">
        <f>+K78-46</f>
        <v>1283150.3051366899</v>
      </c>
      <c r="M78" s="440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676"/>
      <c r="AT78" s="676"/>
      <c r="AU78" s="84"/>
    </row>
    <row r="79" spans="1:47" s="439" customFormat="1" ht="20.25" customHeight="1">
      <c r="A79" s="121"/>
      <c r="B79" s="427">
        <v>29</v>
      </c>
      <c r="C79" s="431" t="s">
        <v>180</v>
      </c>
      <c r="D79" s="428">
        <v>0</v>
      </c>
      <c r="E79" s="429">
        <v>0</v>
      </c>
      <c r="F79" s="430">
        <v>405000</v>
      </c>
      <c r="G79" s="550">
        <v>452200.04533200001</v>
      </c>
      <c r="H79" s="550">
        <v>460099.54612531001</v>
      </c>
      <c r="I79" s="547">
        <v>4.58E-2</v>
      </c>
      <c r="J79" s="497">
        <f t="shared" si="22"/>
        <v>21072.5592125392</v>
      </c>
      <c r="K79" s="635">
        <f t="shared" si="23"/>
        <v>481172.10533784924</v>
      </c>
      <c r="L79" s="612">
        <f>+K79-22</f>
        <v>481150.10533784924</v>
      </c>
      <c r="M79" s="440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676"/>
      <c r="AT79" s="676"/>
      <c r="AU79" s="84"/>
    </row>
    <row r="80" spans="1:47" s="439" customFormat="1" ht="20.25" customHeight="1">
      <c r="A80" s="121"/>
      <c r="B80" s="419">
        <v>30</v>
      </c>
      <c r="C80" s="432" t="s">
        <v>181</v>
      </c>
      <c r="D80" s="420"/>
      <c r="E80" s="421"/>
      <c r="F80" s="422"/>
      <c r="G80" s="551">
        <v>0</v>
      </c>
      <c r="H80" s="551">
        <v>639049.54612531001</v>
      </c>
      <c r="I80" s="547">
        <v>4.58E-2</v>
      </c>
      <c r="J80" s="497">
        <f t="shared" si="22"/>
        <v>29268.469212539199</v>
      </c>
      <c r="K80" s="635">
        <f t="shared" si="23"/>
        <v>668318.01533784915</v>
      </c>
      <c r="L80" s="613">
        <f>+K80-18</f>
        <v>668300.01533784915</v>
      </c>
      <c r="M80" s="446" t="s">
        <v>150</v>
      </c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676"/>
      <c r="AT80" s="676"/>
      <c r="AU80" s="84"/>
    </row>
    <row r="81" spans="1:47" s="439" customFormat="1" ht="20.25" customHeight="1">
      <c r="A81" s="121"/>
      <c r="B81" s="419">
        <v>31</v>
      </c>
      <c r="C81" s="432" t="s">
        <v>182</v>
      </c>
      <c r="D81" s="420">
        <v>0</v>
      </c>
      <c r="E81" s="421">
        <v>0</v>
      </c>
      <c r="F81" s="422">
        <v>720000</v>
      </c>
      <c r="G81" s="551">
        <v>803949.63389599998</v>
      </c>
      <c r="H81" s="551">
        <v>817999.75248917995</v>
      </c>
      <c r="I81" s="547">
        <v>4.58E-2</v>
      </c>
      <c r="J81" s="497">
        <f t="shared" si="22"/>
        <v>37464.388664004444</v>
      </c>
      <c r="K81" s="635">
        <f t="shared" si="23"/>
        <v>855464.14115318435</v>
      </c>
      <c r="L81" s="613">
        <f>+K81-14</f>
        <v>855450.14115318435</v>
      </c>
      <c r="M81" s="440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676"/>
      <c r="AT81" s="676"/>
      <c r="AU81" s="84"/>
    </row>
    <row r="82" spans="1:47" s="439" customFormat="1" ht="20.25" customHeight="1">
      <c r="A82" s="121"/>
      <c r="B82" s="653">
        <v>32</v>
      </c>
      <c r="C82" s="654" t="s">
        <v>193</v>
      </c>
      <c r="D82" s="655">
        <v>0</v>
      </c>
      <c r="E82" s="656">
        <v>0</v>
      </c>
      <c r="F82" s="657">
        <v>720000</v>
      </c>
      <c r="G82" s="658">
        <v>0</v>
      </c>
      <c r="H82" s="658">
        <v>0</v>
      </c>
      <c r="I82" s="659">
        <v>0</v>
      </c>
      <c r="J82" s="660">
        <f t="shared" si="22"/>
        <v>0</v>
      </c>
      <c r="K82" s="661">
        <v>1257000</v>
      </c>
      <c r="L82" s="662">
        <f>+K82</f>
        <v>1257000</v>
      </c>
      <c r="M82" s="440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676"/>
      <c r="AT82" s="676"/>
      <c r="AU82" s="84"/>
    </row>
    <row r="83" spans="1:47" s="439" customFormat="1" ht="20.25" customHeight="1">
      <c r="A83" s="121"/>
      <c r="B83" s="566">
        <v>33</v>
      </c>
      <c r="C83" s="567" t="s">
        <v>119</v>
      </c>
      <c r="D83" s="568"/>
      <c r="E83" s="569"/>
      <c r="F83" s="570"/>
      <c r="G83" s="571">
        <v>2549.5</v>
      </c>
      <c r="H83" s="571">
        <v>2550.11625</v>
      </c>
      <c r="I83" s="572">
        <v>4.58E-2</v>
      </c>
      <c r="J83" s="573">
        <f t="shared" si="22"/>
        <v>116.79532425000001</v>
      </c>
      <c r="K83" s="640">
        <f t="shared" si="23"/>
        <v>2666.9115742499998</v>
      </c>
      <c r="L83" s="619">
        <f>+K83-17</f>
        <v>2649.9115742499998</v>
      </c>
      <c r="M83" s="440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676"/>
      <c r="AT83" s="676"/>
      <c r="AU83" s="84"/>
    </row>
    <row r="84" spans="1:47" s="439" customFormat="1" ht="20.25" customHeight="1">
      <c r="A84" s="121"/>
      <c r="B84" s="574">
        <v>34</v>
      </c>
      <c r="C84" s="575" t="s">
        <v>183</v>
      </c>
      <c r="D84" s="576"/>
      <c r="E84" s="277"/>
      <c r="F84" s="577"/>
      <c r="G84" s="556">
        <v>41500</v>
      </c>
      <c r="H84" s="556">
        <v>42200.25</v>
      </c>
      <c r="I84" s="449">
        <v>4.58E-2</v>
      </c>
      <c r="J84" s="251">
        <f t="shared" si="22"/>
        <v>1932.77145</v>
      </c>
      <c r="K84" s="641">
        <f t="shared" si="23"/>
        <v>44133.02145</v>
      </c>
      <c r="L84" s="620">
        <f>+K84-33</f>
        <v>44100.02145</v>
      </c>
      <c r="M84" s="440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676"/>
      <c r="AT84" s="676"/>
      <c r="AU84" s="84"/>
    </row>
    <row r="85" spans="1:47" s="439" customFormat="1" ht="20.25" customHeight="1" thickBot="1">
      <c r="A85" s="121"/>
      <c r="B85" s="557">
        <v>35</v>
      </c>
      <c r="C85" s="558" t="s">
        <v>184</v>
      </c>
      <c r="D85" s="559"/>
      <c r="E85" s="560"/>
      <c r="F85" s="561"/>
      <c r="G85" s="562"/>
      <c r="H85" s="563"/>
      <c r="I85" s="564"/>
      <c r="J85" s="565"/>
      <c r="K85" s="562"/>
      <c r="L85" s="621"/>
      <c r="M85" s="440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676"/>
      <c r="AT85" s="676"/>
      <c r="AU85" s="84"/>
    </row>
    <row r="86" spans="1:47" s="439" customFormat="1" ht="16.5" thickTop="1">
      <c r="A86" s="84"/>
      <c r="B86" s="84"/>
      <c r="C86" s="274" t="s">
        <v>157</v>
      </c>
      <c r="D86" s="141"/>
      <c r="E86" s="142"/>
      <c r="F86" s="142"/>
      <c r="G86" s="142"/>
      <c r="H86" s="142"/>
      <c r="I86" s="143"/>
      <c r="J86" s="141"/>
      <c r="K86" s="142"/>
      <c r="L86" s="14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676"/>
      <c r="AT86" s="676"/>
      <c r="AU86" s="84"/>
    </row>
    <row r="87" spans="1:47" s="439" customFormat="1">
      <c r="A87" s="84"/>
      <c r="B87" s="84"/>
      <c r="C87" s="302" t="s">
        <v>123</v>
      </c>
      <c r="D87" s="141"/>
      <c r="E87" s="142"/>
      <c r="F87" s="142"/>
      <c r="G87" s="142"/>
      <c r="H87" s="142"/>
      <c r="I87" s="143"/>
      <c r="J87" s="141"/>
      <c r="K87" s="142"/>
      <c r="L87" s="14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676"/>
      <c r="AT87" s="676"/>
      <c r="AU87" s="84"/>
    </row>
    <row r="88" spans="1:47" s="439" customFormat="1">
      <c r="A88" s="84"/>
      <c r="B88" s="84"/>
      <c r="C88" s="84" t="s">
        <v>185</v>
      </c>
      <c r="D88" s="141"/>
      <c r="E88" s="142"/>
      <c r="F88" s="142"/>
      <c r="G88" s="142"/>
      <c r="H88" s="142"/>
      <c r="I88" s="143"/>
      <c r="J88" s="141"/>
      <c r="K88" s="142"/>
      <c r="L88" s="14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676"/>
      <c r="AT88" s="676"/>
      <c r="AU88" s="84"/>
    </row>
  </sheetData>
  <mergeCells count="52">
    <mergeCell ref="A1:L1"/>
    <mergeCell ref="A3:L3"/>
    <mergeCell ref="A4:A5"/>
    <mergeCell ref="B4:B5"/>
    <mergeCell ref="C4:C5"/>
    <mergeCell ref="D4:D5"/>
    <mergeCell ref="E4:E5"/>
    <mergeCell ref="F4:F5"/>
    <mergeCell ref="G4:G5"/>
    <mergeCell ref="H4:H5"/>
    <mergeCell ref="I4:L4"/>
    <mergeCell ref="A13:L13"/>
    <mergeCell ref="A14:A15"/>
    <mergeCell ref="B14:B15"/>
    <mergeCell ref="C14:C15"/>
    <mergeCell ref="D14:D15"/>
    <mergeCell ref="E14:E15"/>
    <mergeCell ref="F14:F15"/>
    <mergeCell ref="G14:G15"/>
    <mergeCell ref="H14:H15"/>
    <mergeCell ref="I14:L14"/>
    <mergeCell ref="A20:L20"/>
    <mergeCell ref="A21:A22"/>
    <mergeCell ref="B21:B22"/>
    <mergeCell ref="C21:C22"/>
    <mergeCell ref="D21:D22"/>
    <mergeCell ref="E21:E22"/>
    <mergeCell ref="F21:F22"/>
    <mergeCell ref="G21:G22"/>
    <mergeCell ref="H21:H22"/>
    <mergeCell ref="I21:L21"/>
    <mergeCell ref="A35:L35"/>
    <mergeCell ref="A36:A37"/>
    <mergeCell ref="B36:B37"/>
    <mergeCell ref="C36:C37"/>
    <mergeCell ref="D36:D37"/>
    <mergeCell ref="E36:E37"/>
    <mergeCell ref="F36:F37"/>
    <mergeCell ref="G36:G37"/>
    <mergeCell ref="H36:H37"/>
    <mergeCell ref="I44:L44"/>
    <mergeCell ref="B49:L49"/>
    <mergeCell ref="I36:L36"/>
    <mergeCell ref="A43:L43"/>
    <mergeCell ref="A44:A45"/>
    <mergeCell ref="B44:B45"/>
    <mergeCell ref="C44:C45"/>
    <mergeCell ref="D44:D45"/>
    <mergeCell ref="E44:E45"/>
    <mergeCell ref="F44:F45"/>
    <mergeCell ref="G44:G45"/>
    <mergeCell ref="H44:H45"/>
  </mergeCells>
  <pageMargins left="0.9055118110236221" right="0.31496062992125984" top="0.35433070866141736" bottom="0.15748031496062992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7" zoomScale="80" zoomScaleNormal="80" workbookViewId="0">
      <selection activeCell="A13" sqref="A13:F13"/>
    </sheetView>
  </sheetViews>
  <sheetFormatPr baseColWidth="10" defaultRowHeight="15.75"/>
  <cols>
    <col min="1" max="1" width="4.28515625" style="2" customWidth="1"/>
    <col min="2" max="2" width="6.85546875" style="2" customWidth="1"/>
    <col min="3" max="3" width="45.5703125" style="2" customWidth="1"/>
    <col min="4" max="4" width="17" style="4" customWidth="1"/>
    <col min="5" max="5" width="20.42578125" style="2" hidden="1" customWidth="1"/>
    <col min="6" max="7" width="16.28515625" style="5" customWidth="1"/>
    <col min="8" max="8" width="15" style="41" customWidth="1"/>
    <col min="9" max="9" width="15" style="4" customWidth="1"/>
    <col min="10" max="10" width="17.7109375" style="5" customWidth="1"/>
    <col min="11" max="11" width="23.42578125" style="2" customWidth="1"/>
    <col min="12" max="12" width="22.42578125" style="2" bestFit="1" customWidth="1"/>
    <col min="13" max="16384" width="11.42578125" style="2"/>
  </cols>
  <sheetData>
    <row r="1" spans="1:14" ht="21">
      <c r="A1" s="736" t="s">
        <v>0</v>
      </c>
      <c r="B1" s="736"/>
      <c r="C1" s="736"/>
      <c r="D1" s="736"/>
      <c r="E1" s="736"/>
      <c r="F1" s="736"/>
      <c r="G1" s="54"/>
      <c r="H1" s="740" t="s">
        <v>1</v>
      </c>
      <c r="I1" s="740"/>
      <c r="J1" s="740"/>
      <c r="K1" s="1" t="s">
        <v>2</v>
      </c>
    </row>
    <row r="2" spans="1:14" ht="40.5" customHeight="1">
      <c r="A2" s="736"/>
      <c r="B2" s="736"/>
      <c r="C2" s="736"/>
      <c r="D2" s="736"/>
      <c r="E2" s="736"/>
      <c r="F2" s="736"/>
      <c r="G2" s="54"/>
      <c r="H2" s="741" t="s">
        <v>72</v>
      </c>
      <c r="I2" s="741"/>
      <c r="J2" s="741"/>
      <c r="K2" s="3"/>
    </row>
    <row r="3" spans="1:14" ht="24.75" customHeight="1">
      <c r="A3" s="742" t="s">
        <v>3</v>
      </c>
      <c r="B3" s="742"/>
      <c r="C3" s="742"/>
      <c r="D3" s="742"/>
      <c r="E3" s="742"/>
      <c r="F3" s="742"/>
      <c r="G3" s="69"/>
      <c r="H3" s="2"/>
    </row>
    <row r="4" spans="1:14" ht="24.75" customHeight="1">
      <c r="A4" s="55"/>
      <c r="B4" s="55"/>
      <c r="C4" s="55"/>
      <c r="D4" s="776" t="s">
        <v>7</v>
      </c>
      <c r="E4" s="55"/>
      <c r="F4" s="776" t="s">
        <v>74</v>
      </c>
      <c r="G4" s="776" t="s">
        <v>75</v>
      </c>
      <c r="H4" s="778" t="s">
        <v>76</v>
      </c>
      <c r="I4" s="779"/>
      <c r="J4" s="779"/>
    </row>
    <row r="5" spans="1:14" ht="30">
      <c r="A5" s="6" t="s">
        <v>4</v>
      </c>
      <c r="B5" s="7" t="s">
        <v>5</v>
      </c>
      <c r="C5" s="7" t="s">
        <v>6</v>
      </c>
      <c r="D5" s="777"/>
      <c r="E5" s="8" t="s">
        <v>10</v>
      </c>
      <c r="F5" s="777"/>
      <c r="G5" s="777"/>
      <c r="H5" s="10" t="s">
        <v>78</v>
      </c>
      <c r="I5" s="11" t="s">
        <v>77</v>
      </c>
      <c r="J5" s="11" t="s">
        <v>79</v>
      </c>
      <c r="K5" s="734" t="s">
        <v>70</v>
      </c>
      <c r="L5" s="735"/>
      <c r="M5" s="735"/>
      <c r="N5" s="735"/>
    </row>
    <row r="6" spans="1:14">
      <c r="A6" s="12">
        <v>2</v>
      </c>
      <c r="B6" s="70" t="s">
        <v>12</v>
      </c>
      <c r="C6" s="14" t="s">
        <v>14</v>
      </c>
      <c r="D6" s="71">
        <v>1793000</v>
      </c>
      <c r="E6" s="72" t="e">
        <f>+D6+#REF!</f>
        <v>#REF!</v>
      </c>
      <c r="F6" s="71">
        <v>1891100</v>
      </c>
      <c r="G6" s="71">
        <v>2013600</v>
      </c>
      <c r="H6" s="73">
        <v>4.0500000000000001E-2</v>
      </c>
      <c r="I6" s="40">
        <f>+G6*H6</f>
        <v>81550.8</v>
      </c>
      <c r="J6" s="71">
        <f>+G6+I6</f>
        <v>2095150.8</v>
      </c>
      <c r="K6" s="76">
        <f>+(G6+I6)*ROUND(J6,-1)</f>
        <v>4389655198620</v>
      </c>
      <c r="L6" s="76">
        <f>+J6-K6</f>
        <v>-4389653103469.2002</v>
      </c>
    </row>
    <row r="7" spans="1:14">
      <c r="A7" s="12">
        <v>3</v>
      </c>
      <c r="B7" s="70" t="s">
        <v>12</v>
      </c>
      <c r="C7" s="14" t="s">
        <v>15</v>
      </c>
      <c r="D7" s="71">
        <v>1793000</v>
      </c>
      <c r="E7" s="72" t="e">
        <f>+D7+#REF!</f>
        <v>#REF!</v>
      </c>
      <c r="F7" s="71">
        <v>1891100</v>
      </c>
      <c r="G7" s="71">
        <v>2013600</v>
      </c>
      <c r="H7" s="73">
        <v>4.0500000000000001E-2</v>
      </c>
      <c r="I7" s="40">
        <f t="shared" ref="I7:I12" si="0">+G7*H7</f>
        <v>81550.8</v>
      </c>
      <c r="J7" s="71">
        <f t="shared" ref="J7:J12" si="1">+G7+I7</f>
        <v>2095150.8</v>
      </c>
      <c r="K7" s="76">
        <f t="shared" ref="K7:K12" si="2">ROUND(J7,-1)</f>
        <v>2095150</v>
      </c>
    </row>
    <row r="8" spans="1:14">
      <c r="A8" s="12">
        <v>4</v>
      </c>
      <c r="B8" s="70" t="s">
        <v>12</v>
      </c>
      <c r="C8" s="14" t="s">
        <v>16</v>
      </c>
      <c r="D8" s="71">
        <v>1793000</v>
      </c>
      <c r="E8" s="72" t="e">
        <f>+D8+#REF!</f>
        <v>#REF!</v>
      </c>
      <c r="F8" s="71">
        <v>1891100</v>
      </c>
      <c r="G8" s="71">
        <v>2013600</v>
      </c>
      <c r="H8" s="73">
        <v>4.0500000000000001E-2</v>
      </c>
      <c r="I8" s="40">
        <f t="shared" si="0"/>
        <v>81550.8</v>
      </c>
      <c r="J8" s="71">
        <f t="shared" si="1"/>
        <v>2095150.8</v>
      </c>
      <c r="K8" s="76">
        <f t="shared" si="2"/>
        <v>2095150</v>
      </c>
    </row>
    <row r="9" spans="1:14">
      <c r="A9" s="12">
        <v>5</v>
      </c>
      <c r="B9" s="70" t="s">
        <v>12</v>
      </c>
      <c r="C9" s="14" t="s">
        <v>17</v>
      </c>
      <c r="D9" s="71">
        <v>1793000</v>
      </c>
      <c r="E9" s="72" t="e">
        <f>+D9+#REF!</f>
        <v>#REF!</v>
      </c>
      <c r="F9" s="71">
        <v>1891100</v>
      </c>
      <c r="G9" s="71">
        <v>2013600</v>
      </c>
      <c r="H9" s="73">
        <v>4.0500000000000001E-2</v>
      </c>
      <c r="I9" s="40">
        <f t="shared" si="0"/>
        <v>81550.8</v>
      </c>
      <c r="J9" s="71">
        <f t="shared" si="1"/>
        <v>2095150.8</v>
      </c>
      <c r="K9" s="76">
        <f t="shared" si="2"/>
        <v>2095150</v>
      </c>
    </row>
    <row r="10" spans="1:14">
      <c r="A10" s="12">
        <v>8</v>
      </c>
      <c r="B10" s="70" t="s">
        <v>12</v>
      </c>
      <c r="C10" s="14" t="s">
        <v>20</v>
      </c>
      <c r="D10" s="71">
        <v>1793000</v>
      </c>
      <c r="E10" s="72" t="e">
        <f>+D10+#REF!</f>
        <v>#REF!</v>
      </c>
      <c r="F10" s="71">
        <v>1891100</v>
      </c>
      <c r="G10" s="71">
        <v>2013600</v>
      </c>
      <c r="H10" s="73">
        <v>4.0500000000000001E-2</v>
      </c>
      <c r="I10" s="40">
        <f t="shared" si="0"/>
        <v>81550.8</v>
      </c>
      <c r="J10" s="71">
        <f t="shared" si="1"/>
        <v>2095150.8</v>
      </c>
      <c r="K10" s="76">
        <f t="shared" si="2"/>
        <v>2095150</v>
      </c>
    </row>
    <row r="11" spans="1:14">
      <c r="A11" s="12">
        <v>10</v>
      </c>
      <c r="B11" s="70" t="s">
        <v>12</v>
      </c>
      <c r="C11" s="14" t="s">
        <v>22</v>
      </c>
      <c r="D11" s="71">
        <v>1793000</v>
      </c>
      <c r="E11" s="72" t="e">
        <f>+D11+#REF!</f>
        <v>#REF!</v>
      </c>
      <c r="F11" s="71">
        <v>1891100</v>
      </c>
      <c r="G11" s="71">
        <v>2013600</v>
      </c>
      <c r="H11" s="73">
        <v>4.0500000000000001E-2</v>
      </c>
      <c r="I11" s="40">
        <f t="shared" si="0"/>
        <v>81550.8</v>
      </c>
      <c r="J11" s="71">
        <f t="shared" si="1"/>
        <v>2095150.8</v>
      </c>
      <c r="K11" s="76">
        <f t="shared" si="2"/>
        <v>2095150</v>
      </c>
    </row>
    <row r="12" spans="1:14">
      <c r="A12" s="12">
        <v>13</v>
      </c>
      <c r="B12" s="70" t="s">
        <v>12</v>
      </c>
      <c r="C12" s="14" t="s">
        <v>25</v>
      </c>
      <c r="D12" s="71">
        <v>1679000</v>
      </c>
      <c r="E12" s="72" t="e">
        <f>+D12+#REF!</f>
        <v>#REF!</v>
      </c>
      <c r="F12" s="71">
        <v>1770800</v>
      </c>
      <c r="G12" s="71">
        <v>1885500</v>
      </c>
      <c r="H12" s="73">
        <v>4.0500000000000001E-2</v>
      </c>
      <c r="I12" s="40">
        <f t="shared" si="0"/>
        <v>76362.75</v>
      </c>
      <c r="J12" s="71">
        <f t="shared" si="1"/>
        <v>1961862.75</v>
      </c>
      <c r="K12" s="76">
        <f t="shared" si="2"/>
        <v>1961860</v>
      </c>
    </row>
    <row r="13" spans="1:14" ht="24.75" customHeight="1">
      <c r="A13" s="736" t="s">
        <v>26</v>
      </c>
      <c r="B13" s="736"/>
      <c r="C13" s="736"/>
      <c r="D13" s="736"/>
      <c r="E13" s="736"/>
      <c r="F13" s="736"/>
      <c r="G13" s="69"/>
      <c r="H13" s="2"/>
      <c r="I13" s="2"/>
      <c r="J13" s="2"/>
    </row>
    <row r="14" spans="1:14" ht="75">
      <c r="A14" s="23" t="s">
        <v>4</v>
      </c>
      <c r="B14" s="7" t="s">
        <v>5</v>
      </c>
      <c r="C14" s="7" t="s">
        <v>6</v>
      </c>
      <c r="D14" s="8" t="s">
        <v>7</v>
      </c>
      <c r="E14" s="8" t="s">
        <v>10</v>
      </c>
      <c r="F14" s="8" t="s">
        <v>11</v>
      </c>
      <c r="G14" s="8"/>
      <c r="H14" s="10" t="s">
        <v>8</v>
      </c>
      <c r="I14" s="11" t="s">
        <v>9</v>
      </c>
      <c r="J14" s="11" t="s">
        <v>66</v>
      </c>
    </row>
    <row r="15" spans="1:14" s="67" customFormat="1">
      <c r="A15" s="64"/>
      <c r="B15" s="65" t="s">
        <v>27</v>
      </c>
      <c r="C15" s="68" t="s">
        <v>73</v>
      </c>
      <c r="D15" s="66">
        <v>0</v>
      </c>
      <c r="E15" s="66"/>
      <c r="F15" s="66">
        <v>0</v>
      </c>
      <c r="G15" s="74">
        <v>4300000</v>
      </c>
      <c r="H15" s="75"/>
      <c r="I15" s="74"/>
      <c r="J15" s="74"/>
    </row>
    <row r="16" spans="1:14" ht="31.5">
      <c r="A16" s="24">
        <v>1</v>
      </c>
      <c r="B16" s="58" t="s">
        <v>27</v>
      </c>
      <c r="C16" s="59" t="s">
        <v>28</v>
      </c>
      <c r="D16" s="60">
        <v>3200550</v>
      </c>
      <c r="E16" s="62" t="e">
        <f>+D16+#REF!</f>
        <v>#REF!</v>
      </c>
      <c r="F16" s="60">
        <v>3375600</v>
      </c>
      <c r="G16" s="60">
        <v>3594300</v>
      </c>
      <c r="H16" s="63">
        <f>+$K$2</f>
        <v>0</v>
      </c>
      <c r="I16" s="61">
        <f t="shared" ref="I16" si="3">+F16*H16</f>
        <v>0</v>
      </c>
      <c r="J16" s="60">
        <f>+F16+I16</f>
        <v>3375600</v>
      </c>
    </row>
    <row r="17" spans="1:10" ht="23.25" customHeight="1">
      <c r="B17" s="736" t="s">
        <v>29</v>
      </c>
      <c r="C17" s="736"/>
      <c r="D17" s="736"/>
      <c r="E17" s="736"/>
      <c r="F17" s="736"/>
      <c r="G17" s="69"/>
      <c r="H17" s="2"/>
      <c r="I17" s="2"/>
      <c r="J17" s="2"/>
    </row>
    <row r="18" spans="1:10" ht="75">
      <c r="A18" s="32"/>
      <c r="B18" s="33" t="s">
        <v>4</v>
      </c>
      <c r="C18" s="7" t="s">
        <v>29</v>
      </c>
      <c r="D18" s="8" t="s">
        <v>30</v>
      </c>
      <c r="E18" s="8" t="s">
        <v>31</v>
      </c>
      <c r="F18" s="8" t="s">
        <v>11</v>
      </c>
      <c r="G18" s="8"/>
      <c r="H18" s="10" t="s">
        <v>8</v>
      </c>
      <c r="I18" s="11" t="s">
        <v>9</v>
      </c>
      <c r="J18" s="11" t="s">
        <v>66</v>
      </c>
    </row>
    <row r="19" spans="1:10">
      <c r="A19" s="32"/>
      <c r="B19" s="13">
        <v>1</v>
      </c>
      <c r="C19" s="14" t="s">
        <v>32</v>
      </c>
      <c r="D19" s="34">
        <v>59400</v>
      </c>
      <c r="E19" s="18" t="e">
        <f>+D19+#REF!</f>
        <v>#REF!</v>
      </c>
      <c r="F19" s="34">
        <v>62600</v>
      </c>
      <c r="G19" s="34"/>
      <c r="H19" s="19">
        <f t="shared" ref="H19:H32" si="4">+$K$2</f>
        <v>0</v>
      </c>
      <c r="I19" s="20">
        <f>+F19*H19</f>
        <v>0</v>
      </c>
      <c r="J19" s="35">
        <f t="shared" ref="J19:J32" si="5">+F19+I19</f>
        <v>62600</v>
      </c>
    </row>
    <row r="20" spans="1:10">
      <c r="A20" s="32"/>
      <c r="B20" s="13">
        <v>2</v>
      </c>
      <c r="C20" s="36" t="s">
        <v>33</v>
      </c>
      <c r="D20" s="34">
        <v>37800</v>
      </c>
      <c r="E20" s="18" t="e">
        <f>+D20+#REF!</f>
        <v>#REF!</v>
      </c>
      <c r="F20" s="34">
        <v>39900</v>
      </c>
      <c r="G20" s="34"/>
      <c r="H20" s="19">
        <f t="shared" si="4"/>
        <v>0</v>
      </c>
      <c r="I20" s="20">
        <f t="shared" ref="I20:I32" si="6">+F20*H20</f>
        <v>0</v>
      </c>
      <c r="J20" s="35">
        <f t="shared" si="5"/>
        <v>39900</v>
      </c>
    </row>
    <row r="21" spans="1:10">
      <c r="A21" s="32"/>
      <c r="B21" s="13">
        <v>3</v>
      </c>
      <c r="C21" s="37" t="s">
        <v>34</v>
      </c>
      <c r="D21" s="34">
        <v>315600</v>
      </c>
      <c r="E21" s="18" t="e">
        <f>+D21+#REF!</f>
        <v>#REF!</v>
      </c>
      <c r="F21" s="34">
        <v>332900</v>
      </c>
      <c r="G21" s="34"/>
      <c r="H21" s="19">
        <f t="shared" si="4"/>
        <v>0</v>
      </c>
      <c r="I21" s="20">
        <f t="shared" si="6"/>
        <v>0</v>
      </c>
      <c r="J21" s="35">
        <f t="shared" si="5"/>
        <v>332900</v>
      </c>
    </row>
    <row r="22" spans="1:10">
      <c r="A22" s="32"/>
      <c r="B22" s="13">
        <v>4</v>
      </c>
      <c r="C22" s="37" t="s">
        <v>35</v>
      </c>
      <c r="D22" s="34"/>
      <c r="E22" s="34">
        <v>480000</v>
      </c>
      <c r="F22" s="34">
        <v>480000</v>
      </c>
      <c r="G22" s="34"/>
      <c r="H22" s="19">
        <f t="shared" si="4"/>
        <v>0</v>
      </c>
      <c r="I22" s="20">
        <f t="shared" si="6"/>
        <v>0</v>
      </c>
      <c r="J22" s="35">
        <f t="shared" si="5"/>
        <v>480000</v>
      </c>
    </row>
    <row r="23" spans="1:10">
      <c r="A23" s="32"/>
      <c r="B23" s="13">
        <v>5</v>
      </c>
      <c r="C23" s="14" t="s">
        <v>36</v>
      </c>
      <c r="D23" s="34">
        <v>7800</v>
      </c>
      <c r="E23" s="18" t="e">
        <f>+D23+#REF!</f>
        <v>#REF!</v>
      </c>
      <c r="F23" s="34">
        <v>8200</v>
      </c>
      <c r="G23" s="34"/>
      <c r="H23" s="19">
        <f t="shared" si="4"/>
        <v>0</v>
      </c>
      <c r="I23" s="20">
        <f t="shared" si="6"/>
        <v>0</v>
      </c>
      <c r="J23" s="35">
        <f t="shared" si="5"/>
        <v>8200</v>
      </c>
    </row>
    <row r="24" spans="1:10">
      <c r="A24" s="32"/>
      <c r="B24" s="13">
        <v>6</v>
      </c>
      <c r="C24" s="38" t="s">
        <v>37</v>
      </c>
      <c r="D24" s="39">
        <v>115700</v>
      </c>
      <c r="E24" s="18" t="e">
        <f>+D24+#REF!</f>
        <v>#REF!</v>
      </c>
      <c r="F24" s="39">
        <v>122000</v>
      </c>
      <c r="G24" s="39"/>
      <c r="H24" s="19">
        <f t="shared" si="4"/>
        <v>0</v>
      </c>
      <c r="I24" s="20">
        <f t="shared" si="6"/>
        <v>0</v>
      </c>
      <c r="J24" s="35">
        <f t="shared" si="5"/>
        <v>122000</v>
      </c>
    </row>
    <row r="25" spans="1:10">
      <c r="A25" s="32"/>
      <c r="B25" s="13">
        <v>7</v>
      </c>
      <c r="C25" s="38" t="s">
        <v>38</v>
      </c>
      <c r="D25" s="39">
        <v>206000</v>
      </c>
      <c r="E25" s="18" t="e">
        <f>+D25+#REF!</f>
        <v>#REF!</v>
      </c>
      <c r="F25" s="39">
        <v>217300</v>
      </c>
      <c r="G25" s="39"/>
      <c r="H25" s="19">
        <f t="shared" si="4"/>
        <v>0</v>
      </c>
      <c r="I25" s="20">
        <f t="shared" si="6"/>
        <v>0</v>
      </c>
      <c r="J25" s="35">
        <f t="shared" si="5"/>
        <v>217300</v>
      </c>
    </row>
    <row r="26" spans="1:10">
      <c r="A26" s="32"/>
      <c r="B26" s="13">
        <v>8</v>
      </c>
      <c r="C26" s="37" t="s">
        <v>39</v>
      </c>
      <c r="D26" s="34">
        <v>5200</v>
      </c>
      <c r="E26" s="18" t="e">
        <f>+D26+#REF!</f>
        <v>#REF!</v>
      </c>
      <c r="F26" s="34">
        <v>5500</v>
      </c>
      <c r="G26" s="34"/>
      <c r="H26" s="19">
        <f t="shared" si="4"/>
        <v>0</v>
      </c>
      <c r="I26" s="20">
        <f t="shared" si="6"/>
        <v>0</v>
      </c>
      <c r="J26" s="35">
        <f t="shared" si="5"/>
        <v>5500</v>
      </c>
    </row>
    <row r="27" spans="1:10">
      <c r="A27" s="32"/>
      <c r="B27" s="13">
        <v>9</v>
      </c>
      <c r="C27" s="37" t="s">
        <v>40</v>
      </c>
      <c r="D27" s="34">
        <v>59500</v>
      </c>
      <c r="E27" s="18" t="e">
        <f>+D27+#REF!</f>
        <v>#REF!</v>
      </c>
      <c r="F27" s="34">
        <v>62800</v>
      </c>
      <c r="G27" s="34"/>
      <c r="H27" s="19">
        <f t="shared" si="4"/>
        <v>0</v>
      </c>
      <c r="I27" s="20">
        <f t="shared" si="6"/>
        <v>0</v>
      </c>
      <c r="J27" s="35">
        <f t="shared" si="5"/>
        <v>62800</v>
      </c>
    </row>
    <row r="28" spans="1:10">
      <c r="A28" s="32"/>
      <c r="B28" s="13">
        <v>10</v>
      </c>
      <c r="C28" s="37" t="s">
        <v>41</v>
      </c>
      <c r="D28" s="34">
        <v>17900</v>
      </c>
      <c r="E28" s="18" t="e">
        <f>+D28+#REF!</f>
        <v>#REF!</v>
      </c>
      <c r="F28" s="34">
        <v>18900</v>
      </c>
      <c r="G28" s="34"/>
      <c r="H28" s="19">
        <f t="shared" si="4"/>
        <v>0</v>
      </c>
      <c r="I28" s="20">
        <f t="shared" si="6"/>
        <v>0</v>
      </c>
      <c r="J28" s="35">
        <f t="shared" si="5"/>
        <v>18900</v>
      </c>
    </row>
    <row r="29" spans="1:10">
      <c r="A29" s="32"/>
      <c r="B29" s="13">
        <v>11</v>
      </c>
      <c r="C29" s="37" t="s">
        <v>42</v>
      </c>
      <c r="D29" s="34">
        <v>11600</v>
      </c>
      <c r="E29" s="18" t="e">
        <f>+D29+#REF!</f>
        <v>#REF!</v>
      </c>
      <c r="F29" s="34">
        <v>12200</v>
      </c>
      <c r="G29" s="34"/>
      <c r="H29" s="19">
        <f t="shared" si="4"/>
        <v>0</v>
      </c>
      <c r="I29" s="20">
        <f t="shared" si="6"/>
        <v>0</v>
      </c>
      <c r="J29" s="35">
        <f t="shared" si="5"/>
        <v>12200</v>
      </c>
    </row>
    <row r="30" spans="1:10">
      <c r="A30" s="32"/>
      <c r="B30" s="13">
        <v>12</v>
      </c>
      <c r="C30" s="37" t="s">
        <v>43</v>
      </c>
      <c r="D30" s="34">
        <v>186000</v>
      </c>
      <c r="E30" s="18" t="e">
        <f>+D30+#REF!</f>
        <v>#REF!</v>
      </c>
      <c r="F30" s="34">
        <v>196200</v>
      </c>
      <c r="G30" s="34"/>
      <c r="H30" s="19">
        <f t="shared" si="4"/>
        <v>0</v>
      </c>
      <c r="I30" s="20">
        <f t="shared" si="6"/>
        <v>0</v>
      </c>
      <c r="J30" s="35">
        <f t="shared" si="5"/>
        <v>196200</v>
      </c>
    </row>
    <row r="31" spans="1:10">
      <c r="A31" s="32"/>
      <c r="B31" s="13">
        <v>13</v>
      </c>
      <c r="C31" s="37" t="s">
        <v>44</v>
      </c>
      <c r="D31" s="34">
        <v>36700</v>
      </c>
      <c r="E31" s="18" t="e">
        <f>+D31+#REF!</f>
        <v>#REF!</v>
      </c>
      <c r="F31" s="34">
        <v>38700</v>
      </c>
      <c r="G31" s="34"/>
      <c r="H31" s="19">
        <f t="shared" si="4"/>
        <v>0</v>
      </c>
      <c r="I31" s="20">
        <f t="shared" si="6"/>
        <v>0</v>
      </c>
      <c r="J31" s="35">
        <f t="shared" si="5"/>
        <v>38700</v>
      </c>
    </row>
    <row r="32" spans="1:10">
      <c r="A32" s="32"/>
      <c r="B32" s="13">
        <v>14</v>
      </c>
      <c r="C32" s="37" t="s">
        <v>45</v>
      </c>
      <c r="D32" s="34">
        <v>225000</v>
      </c>
      <c r="E32" s="18" t="e">
        <f>+D32+#REF!</f>
        <v>#REF!</v>
      </c>
      <c r="F32" s="34">
        <v>237300</v>
      </c>
      <c r="G32" s="34"/>
      <c r="H32" s="19">
        <f t="shared" si="4"/>
        <v>0</v>
      </c>
      <c r="I32" s="20">
        <f t="shared" si="6"/>
        <v>0</v>
      </c>
      <c r="J32" s="35">
        <f t="shared" si="5"/>
        <v>237300</v>
      </c>
    </row>
    <row r="34" spans="1:10" ht="39.75" customHeight="1">
      <c r="B34" s="743" t="s">
        <v>46</v>
      </c>
      <c r="C34" s="744"/>
      <c r="D34" s="744"/>
      <c r="E34" s="744"/>
      <c r="F34" s="744"/>
      <c r="G34" s="744"/>
      <c r="H34" s="744"/>
      <c r="I34" s="744"/>
      <c r="J34" s="745"/>
    </row>
    <row r="36" spans="1:10" ht="46.5" customHeight="1">
      <c r="B36" s="746" t="s">
        <v>47</v>
      </c>
      <c r="C36" s="747"/>
      <c r="D36" s="747"/>
      <c r="E36" s="747"/>
      <c r="F36" s="747"/>
      <c r="G36" s="747"/>
      <c r="H36" s="747"/>
      <c r="I36" s="747"/>
      <c r="J36" s="748"/>
    </row>
    <row r="37" spans="1:10" ht="42.75" customHeight="1">
      <c r="A37" s="32"/>
      <c r="B37" s="33" t="s">
        <v>4</v>
      </c>
      <c r="C37" s="7" t="s">
        <v>29</v>
      </c>
      <c r="D37" s="7" t="s">
        <v>69</v>
      </c>
      <c r="E37" s="750"/>
      <c r="F37" s="751"/>
      <c r="G37" s="56"/>
      <c r="H37" s="10" t="s">
        <v>8</v>
      </c>
      <c r="I37" s="11" t="s">
        <v>9</v>
      </c>
      <c r="J37" s="11" t="s">
        <v>67</v>
      </c>
    </row>
    <row r="38" spans="1:10">
      <c r="A38" s="32"/>
      <c r="B38" s="12">
        <v>1</v>
      </c>
      <c r="C38" s="42" t="s">
        <v>48</v>
      </c>
      <c r="D38" s="43">
        <v>196200</v>
      </c>
      <c r="E38" s="738"/>
      <c r="F38" s="739"/>
      <c r="G38" s="48"/>
      <c r="H38" s="19">
        <f t="shared" ref="H38:H52" si="7">+$K$2</f>
        <v>0</v>
      </c>
      <c r="I38" s="20">
        <f t="shared" ref="I38:I52" si="8">+D38*H38</f>
        <v>0</v>
      </c>
      <c r="J38" s="35">
        <f t="shared" ref="J38:J52" si="9">+D38+I38</f>
        <v>196200</v>
      </c>
    </row>
    <row r="39" spans="1:10">
      <c r="A39" s="32"/>
      <c r="B39" s="12">
        <v>2</v>
      </c>
      <c r="C39" s="42" t="s">
        <v>49</v>
      </c>
      <c r="D39" s="43">
        <v>449200</v>
      </c>
      <c r="E39" s="738"/>
      <c r="F39" s="739"/>
      <c r="G39" s="48"/>
      <c r="H39" s="19">
        <f t="shared" si="7"/>
        <v>0</v>
      </c>
      <c r="I39" s="20">
        <f t="shared" si="8"/>
        <v>0</v>
      </c>
      <c r="J39" s="35">
        <f t="shared" si="9"/>
        <v>449200</v>
      </c>
    </row>
    <row r="40" spans="1:10" ht="23.25" customHeight="1">
      <c r="A40" s="32"/>
      <c r="B40" s="752">
        <v>3</v>
      </c>
      <c r="C40" s="755" t="s">
        <v>50</v>
      </c>
      <c r="D40" s="43">
        <v>314000</v>
      </c>
      <c r="E40" s="759"/>
      <c r="F40" s="760"/>
      <c r="G40" s="51"/>
      <c r="H40" s="19">
        <f t="shared" si="7"/>
        <v>0</v>
      </c>
      <c r="I40" s="20">
        <f t="shared" si="8"/>
        <v>0</v>
      </c>
      <c r="J40" s="35">
        <f t="shared" si="9"/>
        <v>314000</v>
      </c>
    </row>
    <row r="41" spans="1:10">
      <c r="A41" s="32"/>
      <c r="B41" s="753"/>
      <c r="C41" s="756"/>
      <c r="D41" s="43">
        <v>471000</v>
      </c>
      <c r="E41" s="762"/>
      <c r="F41" s="763"/>
      <c r="G41" s="52"/>
      <c r="H41" s="19">
        <f t="shared" si="7"/>
        <v>0</v>
      </c>
      <c r="I41" s="20">
        <f t="shared" si="8"/>
        <v>0</v>
      </c>
      <c r="J41" s="35">
        <f t="shared" si="9"/>
        <v>471000</v>
      </c>
    </row>
    <row r="42" spans="1:10">
      <c r="A42" s="32"/>
      <c r="B42" s="753"/>
      <c r="C42" s="756"/>
      <c r="D42" s="43">
        <v>628000</v>
      </c>
      <c r="E42" s="762"/>
      <c r="F42" s="763"/>
      <c r="G42" s="52"/>
      <c r="H42" s="19">
        <f t="shared" si="7"/>
        <v>0</v>
      </c>
      <c r="I42" s="20">
        <f t="shared" si="8"/>
        <v>0</v>
      </c>
      <c r="J42" s="35">
        <f t="shared" si="9"/>
        <v>628000</v>
      </c>
    </row>
    <row r="43" spans="1:10">
      <c r="A43" s="32"/>
      <c r="B43" s="753"/>
      <c r="C43" s="756"/>
      <c r="D43" s="43">
        <v>942000</v>
      </c>
      <c r="E43" s="762"/>
      <c r="F43" s="763"/>
      <c r="G43" s="52"/>
      <c r="H43" s="19">
        <f t="shared" si="7"/>
        <v>0</v>
      </c>
      <c r="I43" s="20">
        <f t="shared" si="8"/>
        <v>0</v>
      </c>
      <c r="J43" s="35">
        <f t="shared" si="9"/>
        <v>942000</v>
      </c>
    </row>
    <row r="44" spans="1:10">
      <c r="A44" s="32"/>
      <c r="B44" s="753"/>
      <c r="C44" s="756"/>
      <c r="D44" s="43">
        <v>1256000</v>
      </c>
      <c r="E44" s="762"/>
      <c r="F44" s="763"/>
      <c r="G44" s="52"/>
      <c r="H44" s="19">
        <f t="shared" si="7"/>
        <v>0</v>
      </c>
      <c r="I44" s="20">
        <f t="shared" si="8"/>
        <v>0</v>
      </c>
      <c r="J44" s="35">
        <f t="shared" si="9"/>
        <v>1256000</v>
      </c>
    </row>
    <row r="45" spans="1:10">
      <c r="A45" s="32"/>
      <c r="B45" s="754"/>
      <c r="C45" s="757"/>
      <c r="D45" s="43">
        <v>1570000</v>
      </c>
      <c r="E45" s="765"/>
      <c r="F45" s="766"/>
      <c r="G45" s="53"/>
      <c r="H45" s="19">
        <f t="shared" si="7"/>
        <v>0</v>
      </c>
      <c r="I45" s="20">
        <f t="shared" si="8"/>
        <v>0</v>
      </c>
      <c r="J45" s="35">
        <f t="shared" si="9"/>
        <v>1570000</v>
      </c>
    </row>
    <row r="46" spans="1:10">
      <c r="A46" s="32"/>
      <c r="B46" s="12">
        <v>4</v>
      </c>
      <c r="C46" s="42" t="s">
        <v>52</v>
      </c>
      <c r="D46" s="44"/>
      <c r="E46" s="768"/>
      <c r="F46" s="769"/>
      <c r="G46" s="49"/>
      <c r="H46" s="19">
        <f t="shared" si="7"/>
        <v>0</v>
      </c>
      <c r="I46" s="20">
        <f t="shared" si="8"/>
        <v>0</v>
      </c>
      <c r="J46" s="35">
        <f t="shared" si="9"/>
        <v>0</v>
      </c>
    </row>
    <row r="47" spans="1:10">
      <c r="A47" s="32"/>
      <c r="B47" s="12">
        <v>5</v>
      </c>
      <c r="C47" s="42" t="s">
        <v>54</v>
      </c>
      <c r="D47" s="45">
        <v>0.05</v>
      </c>
      <c r="E47" s="771"/>
      <c r="F47" s="772"/>
      <c r="G47" s="50"/>
      <c r="H47" s="19">
        <f t="shared" si="7"/>
        <v>0</v>
      </c>
      <c r="I47" s="20">
        <f t="shared" si="8"/>
        <v>0</v>
      </c>
      <c r="J47" s="35">
        <f t="shared" si="9"/>
        <v>0.05</v>
      </c>
    </row>
    <row r="48" spans="1:10">
      <c r="A48" s="32"/>
      <c r="B48" s="12">
        <v>6</v>
      </c>
      <c r="C48" s="42" t="s">
        <v>56</v>
      </c>
      <c r="D48" s="45">
        <v>2.5000000000000001E-2</v>
      </c>
      <c r="E48" s="771"/>
      <c r="F48" s="772"/>
      <c r="G48" s="50"/>
      <c r="H48" s="19">
        <f t="shared" si="7"/>
        <v>0</v>
      </c>
      <c r="I48" s="20">
        <f t="shared" si="8"/>
        <v>0</v>
      </c>
      <c r="J48" s="35">
        <f t="shared" si="9"/>
        <v>2.5000000000000001E-2</v>
      </c>
    </row>
    <row r="49" spans="1:10">
      <c r="B49" s="12">
        <v>7</v>
      </c>
      <c r="C49" s="42" t="s">
        <v>49</v>
      </c>
      <c r="D49" s="46"/>
      <c r="E49" s="738"/>
      <c r="F49" s="739"/>
      <c r="G49" s="48"/>
      <c r="H49" s="19">
        <f t="shared" si="7"/>
        <v>0</v>
      </c>
      <c r="I49" s="20">
        <f t="shared" si="8"/>
        <v>0</v>
      </c>
      <c r="J49" s="35">
        <f t="shared" si="9"/>
        <v>0</v>
      </c>
    </row>
    <row r="50" spans="1:10">
      <c r="B50" s="12">
        <v>8</v>
      </c>
      <c r="C50" s="42" t="s">
        <v>57</v>
      </c>
      <c r="D50" s="46"/>
      <c r="E50" s="738"/>
      <c r="F50" s="739"/>
      <c r="G50" s="48"/>
      <c r="H50" s="19">
        <f t="shared" si="7"/>
        <v>0</v>
      </c>
      <c r="I50" s="20">
        <f t="shared" si="8"/>
        <v>0</v>
      </c>
      <c r="J50" s="35">
        <f t="shared" si="9"/>
        <v>0</v>
      </c>
    </row>
    <row r="51" spans="1:10">
      <c r="B51" s="12">
        <v>9</v>
      </c>
      <c r="C51" s="42" t="s">
        <v>58</v>
      </c>
      <c r="D51" s="46"/>
      <c r="E51" s="738"/>
      <c r="F51" s="739"/>
      <c r="G51" s="48"/>
      <c r="H51" s="19">
        <f t="shared" si="7"/>
        <v>0</v>
      </c>
      <c r="I51" s="20">
        <f t="shared" si="8"/>
        <v>0</v>
      </c>
      <c r="J51" s="35">
        <f t="shared" si="9"/>
        <v>0</v>
      </c>
    </row>
    <row r="52" spans="1:10">
      <c r="B52" s="12">
        <v>10</v>
      </c>
      <c r="C52" s="42" t="s">
        <v>59</v>
      </c>
      <c r="D52" s="46"/>
      <c r="E52" s="738"/>
      <c r="F52" s="739"/>
      <c r="G52" s="48"/>
      <c r="H52" s="19">
        <f t="shared" si="7"/>
        <v>0</v>
      </c>
      <c r="I52" s="20">
        <f t="shared" si="8"/>
        <v>0</v>
      </c>
      <c r="J52" s="35">
        <f t="shared" si="9"/>
        <v>0</v>
      </c>
    </row>
    <row r="53" spans="1:10" ht="46.5" customHeight="1">
      <c r="B53" s="746" t="s">
        <v>60</v>
      </c>
      <c r="C53" s="747"/>
      <c r="D53" s="747"/>
      <c r="E53" s="747"/>
      <c r="F53" s="747"/>
      <c r="G53" s="747"/>
      <c r="H53" s="747"/>
      <c r="I53" s="747"/>
      <c r="J53" s="748"/>
    </row>
    <row r="54" spans="1:10" ht="42.75" customHeight="1">
      <c r="A54" s="32"/>
      <c r="B54" s="33" t="s">
        <v>4</v>
      </c>
      <c r="C54" s="7" t="s">
        <v>29</v>
      </c>
      <c r="D54" s="7" t="s">
        <v>69</v>
      </c>
      <c r="E54" s="750"/>
      <c r="F54" s="751"/>
      <c r="G54" s="56"/>
      <c r="H54" s="10" t="s">
        <v>8</v>
      </c>
      <c r="I54" s="11" t="s">
        <v>9</v>
      </c>
      <c r="J54" s="11" t="s">
        <v>67</v>
      </c>
    </row>
    <row r="55" spans="1:10" ht="29.25" customHeight="1">
      <c r="B55" s="12">
        <v>11</v>
      </c>
      <c r="C55" s="47" t="s">
        <v>61</v>
      </c>
      <c r="D55" s="46"/>
      <c r="E55" s="774"/>
      <c r="F55" s="775"/>
      <c r="G55" s="57"/>
      <c r="H55" s="19">
        <f>+$K$2</f>
        <v>0</v>
      </c>
      <c r="I55" s="20">
        <f>+D55*H55</f>
        <v>0</v>
      </c>
      <c r="J55" s="35">
        <f>+D55+I55</f>
        <v>0</v>
      </c>
    </row>
    <row r="56" spans="1:10" ht="29.25" customHeight="1">
      <c r="B56" s="12">
        <v>12</v>
      </c>
      <c r="C56" s="47" t="s">
        <v>62</v>
      </c>
      <c r="D56" s="46"/>
      <c r="E56" s="774"/>
      <c r="F56" s="775"/>
      <c r="G56" s="57"/>
      <c r="H56" s="19">
        <f>+$K$2</f>
        <v>0</v>
      </c>
      <c r="I56" s="20">
        <f>+D56*H56</f>
        <v>0</v>
      </c>
      <c r="J56" s="35">
        <f>+D56+I56</f>
        <v>0</v>
      </c>
    </row>
    <row r="57" spans="1:10" ht="29.25" customHeight="1">
      <c r="B57" s="12">
        <v>13</v>
      </c>
      <c r="C57" s="47" t="s">
        <v>63</v>
      </c>
      <c r="D57" s="46"/>
      <c r="E57" s="774"/>
      <c r="F57" s="775"/>
      <c r="G57" s="57"/>
      <c r="H57" s="19">
        <f>+$K$2</f>
        <v>0</v>
      </c>
      <c r="I57" s="20">
        <f>+D57*H57</f>
        <v>0</v>
      </c>
      <c r="J57" s="35">
        <f>+D57+I57</f>
        <v>0</v>
      </c>
    </row>
    <row r="58" spans="1:10" ht="29.25" customHeight="1">
      <c r="B58" s="12">
        <v>14</v>
      </c>
      <c r="C58" s="47" t="s">
        <v>64</v>
      </c>
      <c r="D58" s="46"/>
      <c r="E58" s="774"/>
      <c r="F58" s="775"/>
      <c r="G58" s="57"/>
      <c r="H58" s="19">
        <f>+$K$2</f>
        <v>0</v>
      </c>
      <c r="I58" s="20">
        <f>+D58*H58</f>
        <v>0</v>
      </c>
      <c r="J58" s="35">
        <f>+D58+I58</f>
        <v>0</v>
      </c>
    </row>
    <row r="59" spans="1:10" ht="29.25" customHeight="1">
      <c r="B59" s="12">
        <v>15</v>
      </c>
      <c r="C59" s="47" t="s">
        <v>65</v>
      </c>
      <c r="D59" s="46"/>
      <c r="E59" s="774"/>
      <c r="F59" s="775"/>
      <c r="G59" s="57"/>
      <c r="H59" s="19">
        <f>+$K$2</f>
        <v>0</v>
      </c>
      <c r="I59" s="20">
        <f>+D59*H59</f>
        <v>0</v>
      </c>
      <c r="J59" s="35">
        <f>+D59+I59</f>
        <v>0</v>
      </c>
    </row>
  </sheetData>
  <mergeCells count="33">
    <mergeCell ref="E49:F49"/>
    <mergeCell ref="E50:F50"/>
    <mergeCell ref="E58:F58"/>
    <mergeCell ref="E59:F59"/>
    <mergeCell ref="E52:F52"/>
    <mergeCell ref="E55:F55"/>
    <mergeCell ref="E56:F56"/>
    <mergeCell ref="E57:F57"/>
    <mergeCell ref="A1:F2"/>
    <mergeCell ref="H1:J1"/>
    <mergeCell ref="H2:J2"/>
    <mergeCell ref="A3:F3"/>
    <mergeCell ref="A13:F13"/>
    <mergeCell ref="D4:D5"/>
    <mergeCell ref="F4:F5"/>
    <mergeCell ref="G4:G5"/>
    <mergeCell ref="H4:J4"/>
    <mergeCell ref="B17:F17"/>
    <mergeCell ref="K5:N5"/>
    <mergeCell ref="B36:J36"/>
    <mergeCell ref="B53:J53"/>
    <mergeCell ref="E54:F54"/>
    <mergeCell ref="E51:F51"/>
    <mergeCell ref="B34:J34"/>
    <mergeCell ref="E37:F37"/>
    <mergeCell ref="E38:F38"/>
    <mergeCell ref="E39:F39"/>
    <mergeCell ref="B40:B45"/>
    <mergeCell ref="C40:C45"/>
    <mergeCell ref="E40:F45"/>
    <mergeCell ref="E46:F46"/>
    <mergeCell ref="E47:F47"/>
    <mergeCell ref="E48:F4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0"/>
  <sheetViews>
    <sheetView topLeftCell="A46" zoomScale="80" zoomScaleNormal="80" workbookViewId="0">
      <selection activeCell="F59" sqref="F59"/>
    </sheetView>
  </sheetViews>
  <sheetFormatPr baseColWidth="10" defaultRowHeight="15.75"/>
  <cols>
    <col min="1" max="1" width="4.28515625" style="84" customWidth="1"/>
    <col min="2" max="2" width="6.85546875" style="84" customWidth="1"/>
    <col min="3" max="3" width="53.42578125" style="84" customWidth="1"/>
    <col min="4" max="4" width="14.42578125" style="141" customWidth="1"/>
    <col min="5" max="7" width="14.42578125" style="142" customWidth="1"/>
    <col min="8" max="8" width="14.28515625" style="143" customWidth="1"/>
    <col min="9" max="9" width="14.85546875" style="141" customWidth="1"/>
    <col min="10" max="10" width="13.140625" style="142" bestFit="1" customWidth="1"/>
    <col min="11" max="11" width="13.85546875" style="144" customWidth="1"/>
    <col min="12" max="16384" width="11.42578125" style="84"/>
  </cols>
  <sheetData>
    <row r="1" spans="1:11" ht="63" customHeight="1">
      <c r="A1" s="793" t="s">
        <v>110</v>
      </c>
      <c r="B1" s="793"/>
      <c r="C1" s="793"/>
      <c r="D1" s="793"/>
      <c r="E1" s="793"/>
      <c r="F1" s="793"/>
      <c r="G1" s="793"/>
      <c r="H1" s="793"/>
      <c r="I1" s="793"/>
      <c r="J1" s="793"/>
      <c r="K1" s="793"/>
    </row>
    <row r="2" spans="1:11" ht="18" customHeight="1" thickBo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ht="42" customHeight="1" thickTop="1">
      <c r="A3" s="788" t="s">
        <v>3</v>
      </c>
      <c r="B3" s="789"/>
      <c r="C3" s="789"/>
      <c r="D3" s="789"/>
      <c r="E3" s="789"/>
      <c r="F3" s="789"/>
      <c r="G3" s="789"/>
      <c r="H3" s="789"/>
      <c r="I3" s="789"/>
      <c r="J3" s="789"/>
      <c r="K3" s="790"/>
    </row>
    <row r="4" spans="1:11" ht="24.75" customHeight="1">
      <c r="A4" s="782" t="s">
        <v>4</v>
      </c>
      <c r="B4" s="780" t="s">
        <v>5</v>
      </c>
      <c r="C4" s="780" t="s">
        <v>6</v>
      </c>
      <c r="D4" s="791" t="s">
        <v>7</v>
      </c>
      <c r="E4" s="791" t="s">
        <v>74</v>
      </c>
      <c r="F4" s="791" t="s">
        <v>75</v>
      </c>
      <c r="G4" s="784" t="s">
        <v>79</v>
      </c>
      <c r="H4" s="803" t="s">
        <v>112</v>
      </c>
      <c r="I4" s="804"/>
      <c r="J4" s="804"/>
      <c r="K4" s="805"/>
    </row>
    <row r="5" spans="1:11" ht="30.75" customHeight="1">
      <c r="A5" s="783"/>
      <c r="B5" s="781"/>
      <c r="C5" s="781"/>
      <c r="D5" s="792"/>
      <c r="E5" s="792"/>
      <c r="F5" s="792"/>
      <c r="G5" s="785"/>
      <c r="H5" s="86" t="s">
        <v>80</v>
      </c>
      <c r="I5" s="87" t="s">
        <v>81</v>
      </c>
      <c r="J5" s="87" t="s">
        <v>82</v>
      </c>
      <c r="K5" s="88" t="s">
        <v>83</v>
      </c>
    </row>
    <row r="6" spans="1:11" ht="25.5" customHeight="1">
      <c r="A6" s="177">
        <v>1</v>
      </c>
      <c r="B6" s="178" t="s">
        <v>12</v>
      </c>
      <c r="C6" s="179" t="s">
        <v>16</v>
      </c>
      <c r="D6" s="180">
        <v>1793000</v>
      </c>
      <c r="E6" s="180">
        <v>1891100</v>
      </c>
      <c r="F6" s="180">
        <v>2013600</v>
      </c>
      <c r="G6" s="181">
        <v>2095150</v>
      </c>
      <c r="H6" s="182">
        <v>3.3300000000000003E-2</v>
      </c>
      <c r="I6" s="183">
        <f>+G6*H6</f>
        <v>69768.49500000001</v>
      </c>
      <c r="J6" s="184">
        <f t="shared" ref="J6:J8" si="0">+G6+I6</f>
        <v>2164918.4950000001</v>
      </c>
      <c r="K6" s="185">
        <f>+J6-18</f>
        <v>2164900.4950000001</v>
      </c>
    </row>
    <row r="7" spans="1:11" ht="25.5" customHeight="1">
      <c r="A7" s="177">
        <v>2</v>
      </c>
      <c r="B7" s="178" t="s">
        <v>12</v>
      </c>
      <c r="C7" s="179" t="s">
        <v>22</v>
      </c>
      <c r="D7" s="180">
        <v>1793000</v>
      </c>
      <c r="E7" s="180">
        <v>1891100</v>
      </c>
      <c r="F7" s="180">
        <v>2013600</v>
      </c>
      <c r="G7" s="181">
        <v>2095150</v>
      </c>
      <c r="H7" s="182">
        <v>3.3300000000000003E-2</v>
      </c>
      <c r="I7" s="183">
        <f t="shared" ref="I7:I8" si="1">+G7*H7</f>
        <v>69768.49500000001</v>
      </c>
      <c r="J7" s="184">
        <f t="shared" si="0"/>
        <v>2164918.4950000001</v>
      </c>
      <c r="K7" s="185">
        <f t="shared" ref="K7" si="2">+J7-18</f>
        <v>2164900.4950000001</v>
      </c>
    </row>
    <row r="8" spans="1:11" ht="43.5" customHeight="1" thickBot="1">
      <c r="A8" s="186">
        <v>3</v>
      </c>
      <c r="B8" s="187" t="s">
        <v>12</v>
      </c>
      <c r="C8" s="188" t="s">
        <v>109</v>
      </c>
      <c r="D8" s="189">
        <v>0</v>
      </c>
      <c r="E8" s="190">
        <v>1646000</v>
      </c>
      <c r="F8" s="190">
        <v>1752600</v>
      </c>
      <c r="G8" s="191">
        <v>1823600</v>
      </c>
      <c r="H8" s="156">
        <v>3.3300000000000003E-2</v>
      </c>
      <c r="I8" s="192">
        <f t="shared" si="1"/>
        <v>60725.880000000005</v>
      </c>
      <c r="J8" s="190">
        <f t="shared" si="0"/>
        <v>1884325.88</v>
      </c>
      <c r="K8" s="193">
        <f>+J8-26</f>
        <v>1884299.88</v>
      </c>
    </row>
    <row r="9" spans="1:11" ht="37.5" customHeight="1" thickTop="1">
      <c r="A9" s="194">
        <v>4</v>
      </c>
      <c r="B9" s="195" t="s">
        <v>12</v>
      </c>
      <c r="C9" s="196" t="s">
        <v>13</v>
      </c>
      <c r="D9" s="197">
        <v>1793000</v>
      </c>
      <c r="E9" s="83">
        <v>1891100</v>
      </c>
      <c r="F9" s="198">
        <v>2013600</v>
      </c>
      <c r="G9" s="199">
        <v>2095200</v>
      </c>
      <c r="H9" s="145">
        <v>3.3300000000000003E-2</v>
      </c>
      <c r="I9" s="146">
        <f>+G9*H9</f>
        <v>69770.16</v>
      </c>
      <c r="J9" s="83">
        <f t="shared" ref="J9:J19" si="3">+G9+I9</f>
        <v>2164970.16</v>
      </c>
      <c r="K9" s="147">
        <f>+J9-20</f>
        <v>2164950.16</v>
      </c>
    </row>
    <row r="10" spans="1:11" ht="37.5" customHeight="1">
      <c r="A10" s="200">
        <v>5</v>
      </c>
      <c r="B10" s="201" t="s">
        <v>12</v>
      </c>
      <c r="C10" s="202" t="s">
        <v>14</v>
      </c>
      <c r="D10" s="78">
        <v>1793000</v>
      </c>
      <c r="E10" s="78">
        <v>1891100</v>
      </c>
      <c r="F10" s="78">
        <v>2013600</v>
      </c>
      <c r="G10" s="203">
        <v>2095150</v>
      </c>
      <c r="H10" s="175">
        <v>3.3300000000000003E-2</v>
      </c>
      <c r="I10" s="77">
        <f>+G10*H10</f>
        <v>69768.49500000001</v>
      </c>
      <c r="J10" s="78">
        <f>+G10+I10</f>
        <v>2164918.4950000001</v>
      </c>
      <c r="K10" s="176">
        <f>+J10-18</f>
        <v>2164900.4950000001</v>
      </c>
    </row>
    <row r="11" spans="1:11" ht="37.5" customHeight="1">
      <c r="A11" s="204">
        <v>6</v>
      </c>
      <c r="B11" s="205" t="s">
        <v>12</v>
      </c>
      <c r="C11" s="206" t="s">
        <v>15</v>
      </c>
      <c r="D11" s="207">
        <v>1793000</v>
      </c>
      <c r="E11" s="207">
        <v>1891100</v>
      </c>
      <c r="F11" s="207">
        <v>2013600</v>
      </c>
      <c r="G11" s="208">
        <v>2095150</v>
      </c>
      <c r="H11" s="79">
        <v>3.3300000000000003E-2</v>
      </c>
      <c r="I11" s="77">
        <f t="shared" ref="I11:I13" si="4">+G11*H11</f>
        <v>69768.49500000001</v>
      </c>
      <c r="J11" s="78">
        <f t="shared" ref="J11:J13" si="5">+G11+I11</f>
        <v>2164918.4950000001</v>
      </c>
      <c r="K11" s="176">
        <f t="shared" ref="K11:K13" si="6">+J11-18</f>
        <v>2164900.4950000001</v>
      </c>
    </row>
    <row r="12" spans="1:11" ht="37.5" customHeight="1">
      <c r="A12" s="204">
        <v>7</v>
      </c>
      <c r="B12" s="205" t="s">
        <v>12</v>
      </c>
      <c r="C12" s="206" t="s">
        <v>17</v>
      </c>
      <c r="D12" s="207">
        <v>1793000</v>
      </c>
      <c r="E12" s="207">
        <v>1891100</v>
      </c>
      <c r="F12" s="207">
        <v>2013600</v>
      </c>
      <c r="G12" s="208">
        <v>2095150</v>
      </c>
      <c r="H12" s="79">
        <v>3.3300000000000003E-2</v>
      </c>
      <c r="I12" s="77">
        <f t="shared" si="4"/>
        <v>69768.49500000001</v>
      </c>
      <c r="J12" s="78">
        <f t="shared" si="5"/>
        <v>2164918.4950000001</v>
      </c>
      <c r="K12" s="176">
        <f t="shared" si="6"/>
        <v>2164900.4950000001</v>
      </c>
    </row>
    <row r="13" spans="1:11" ht="37.5" customHeight="1">
      <c r="A13" s="204">
        <v>8</v>
      </c>
      <c r="B13" s="205" t="s">
        <v>12</v>
      </c>
      <c r="C13" s="206" t="s">
        <v>20</v>
      </c>
      <c r="D13" s="207">
        <v>1793000</v>
      </c>
      <c r="E13" s="207">
        <v>1891100</v>
      </c>
      <c r="F13" s="207">
        <v>2013600</v>
      </c>
      <c r="G13" s="208">
        <v>2095150</v>
      </c>
      <c r="H13" s="79">
        <v>3.3300000000000003E-2</v>
      </c>
      <c r="I13" s="77">
        <f t="shared" si="4"/>
        <v>69768.49500000001</v>
      </c>
      <c r="J13" s="78">
        <f t="shared" si="5"/>
        <v>2164918.4950000001</v>
      </c>
      <c r="K13" s="176">
        <f t="shared" si="6"/>
        <v>2164900.4950000001</v>
      </c>
    </row>
    <row r="14" spans="1:11" ht="37.5" customHeight="1">
      <c r="A14" s="204">
        <v>9</v>
      </c>
      <c r="B14" s="205" t="s">
        <v>12</v>
      </c>
      <c r="C14" s="206" t="s">
        <v>18</v>
      </c>
      <c r="D14" s="209">
        <v>1679000</v>
      </c>
      <c r="E14" s="207">
        <v>1770800</v>
      </c>
      <c r="F14" s="210">
        <v>1885500</v>
      </c>
      <c r="G14" s="208">
        <v>1961900</v>
      </c>
      <c r="H14" s="79">
        <v>3.3300000000000003E-2</v>
      </c>
      <c r="I14" s="77">
        <f t="shared" ref="I14:I19" si="7">+G14*H14</f>
        <v>65331.270000000004</v>
      </c>
      <c r="J14" s="78">
        <f t="shared" si="3"/>
        <v>2027231.27</v>
      </c>
      <c r="K14" s="148">
        <f>+J14-31</f>
        <v>2027200.27</v>
      </c>
    </row>
    <row r="15" spans="1:11" ht="37.5" customHeight="1">
      <c r="A15" s="204">
        <v>10</v>
      </c>
      <c r="B15" s="205" t="s">
        <v>12</v>
      </c>
      <c r="C15" s="206" t="s">
        <v>21</v>
      </c>
      <c r="D15" s="209">
        <v>1465000</v>
      </c>
      <c r="E15" s="207">
        <v>1545100</v>
      </c>
      <c r="F15" s="210">
        <v>1645200</v>
      </c>
      <c r="G15" s="208">
        <v>1711800</v>
      </c>
      <c r="H15" s="79">
        <v>3.3300000000000003E-2</v>
      </c>
      <c r="I15" s="77">
        <f t="shared" si="7"/>
        <v>57002.94</v>
      </c>
      <c r="J15" s="78">
        <f t="shared" si="3"/>
        <v>1768802.94</v>
      </c>
      <c r="K15" s="148">
        <f>+J15-3</f>
        <v>1768799.94</v>
      </c>
    </row>
    <row r="16" spans="1:11" ht="37.5" customHeight="1">
      <c r="A16" s="204">
        <v>11</v>
      </c>
      <c r="B16" s="205" t="s">
        <v>12</v>
      </c>
      <c r="C16" s="206" t="s">
        <v>23</v>
      </c>
      <c r="D16" s="209">
        <v>1608000</v>
      </c>
      <c r="E16" s="207">
        <v>1696000</v>
      </c>
      <c r="F16" s="210">
        <v>1805900</v>
      </c>
      <c r="G16" s="208">
        <v>1879000</v>
      </c>
      <c r="H16" s="79">
        <v>3.3300000000000003E-2</v>
      </c>
      <c r="I16" s="77">
        <f t="shared" si="7"/>
        <v>62570.700000000004</v>
      </c>
      <c r="J16" s="78">
        <f t="shared" si="3"/>
        <v>1941570.7</v>
      </c>
      <c r="K16" s="148">
        <f>+J16-21</f>
        <v>1941549.7</v>
      </c>
    </row>
    <row r="17" spans="1:11" ht="37.5" customHeight="1">
      <c r="A17" s="204">
        <v>12</v>
      </c>
      <c r="B17" s="205" t="s">
        <v>12</v>
      </c>
      <c r="C17" s="206" t="s">
        <v>24</v>
      </c>
      <c r="D17" s="209">
        <v>1608000</v>
      </c>
      <c r="E17" s="207">
        <v>1696000</v>
      </c>
      <c r="F17" s="210">
        <v>1805900</v>
      </c>
      <c r="G17" s="208">
        <v>1879000</v>
      </c>
      <c r="H17" s="79">
        <v>3.3300000000000003E-2</v>
      </c>
      <c r="I17" s="77">
        <f t="shared" si="7"/>
        <v>62570.700000000004</v>
      </c>
      <c r="J17" s="78">
        <f t="shared" si="3"/>
        <v>1941570.7</v>
      </c>
      <c r="K17" s="148">
        <f t="shared" ref="K17" si="8">+J17-21</f>
        <v>1941549.7</v>
      </c>
    </row>
    <row r="18" spans="1:11" ht="37.5" customHeight="1">
      <c r="A18" s="211">
        <v>13</v>
      </c>
      <c r="B18" s="212" t="s">
        <v>12</v>
      </c>
      <c r="C18" s="213" t="s">
        <v>19</v>
      </c>
      <c r="D18" s="214">
        <v>1679000</v>
      </c>
      <c r="E18" s="215">
        <v>1770800</v>
      </c>
      <c r="F18" s="216">
        <v>1885500</v>
      </c>
      <c r="G18" s="217">
        <v>1961900</v>
      </c>
      <c r="H18" s="79">
        <v>3.3300000000000003E-2</v>
      </c>
      <c r="I18" s="77">
        <f t="shared" si="7"/>
        <v>65331.270000000004</v>
      </c>
      <c r="J18" s="78">
        <f t="shared" si="3"/>
        <v>2027231.27</v>
      </c>
      <c r="K18" s="148">
        <f>+J18-31</f>
        <v>2027200.27</v>
      </c>
    </row>
    <row r="19" spans="1:11" ht="37.5" customHeight="1" thickBot="1">
      <c r="A19" s="218">
        <v>14</v>
      </c>
      <c r="B19" s="219" t="s">
        <v>12</v>
      </c>
      <c r="C19" s="220" t="s">
        <v>25</v>
      </c>
      <c r="D19" s="221">
        <v>1679000</v>
      </c>
      <c r="E19" s="222">
        <v>1770800</v>
      </c>
      <c r="F19" s="223">
        <v>1885500</v>
      </c>
      <c r="G19" s="224">
        <v>1961900</v>
      </c>
      <c r="H19" s="80">
        <v>3.3300000000000003E-2</v>
      </c>
      <c r="I19" s="81">
        <f t="shared" si="7"/>
        <v>65331.270000000004</v>
      </c>
      <c r="J19" s="82">
        <f t="shared" si="3"/>
        <v>2027231.27</v>
      </c>
      <c r="K19" s="149">
        <f>+J19-31</f>
        <v>2027200.27</v>
      </c>
    </row>
    <row r="20" spans="1:11" ht="16.5" customHeight="1" thickTop="1">
      <c r="A20" s="96"/>
      <c r="B20" s="97"/>
      <c r="C20" s="98"/>
      <c r="D20" s="99"/>
      <c r="E20" s="99"/>
      <c r="F20" s="99"/>
      <c r="G20" s="99"/>
      <c r="H20" s="100"/>
      <c r="I20" s="101"/>
      <c r="J20" s="99"/>
      <c r="K20" s="102"/>
    </row>
    <row r="21" spans="1:11" ht="9.75" customHeight="1">
      <c r="A21" s="96"/>
      <c r="B21" s="97"/>
      <c r="C21" s="98"/>
      <c r="D21" s="99"/>
      <c r="E21" s="99"/>
      <c r="F21" s="99"/>
      <c r="G21" s="99"/>
      <c r="H21" s="100"/>
      <c r="I21" s="101"/>
      <c r="J21" s="99"/>
      <c r="K21" s="102"/>
    </row>
    <row r="22" spans="1:11" ht="9.75" customHeight="1" thickBot="1">
      <c r="A22" s="96"/>
      <c r="B22" s="97"/>
      <c r="C22" s="98"/>
      <c r="D22" s="99"/>
      <c r="E22" s="99"/>
      <c r="F22" s="99"/>
      <c r="G22" s="99"/>
      <c r="H22" s="100"/>
      <c r="I22" s="101"/>
      <c r="J22" s="99"/>
      <c r="K22" s="102"/>
    </row>
    <row r="23" spans="1:11" ht="39.75" customHeight="1" thickTop="1">
      <c r="A23" s="794" t="s">
        <v>26</v>
      </c>
      <c r="B23" s="795"/>
      <c r="C23" s="795"/>
      <c r="D23" s="795"/>
      <c r="E23" s="795"/>
      <c r="F23" s="795"/>
      <c r="G23" s="795"/>
      <c r="H23" s="795"/>
      <c r="I23" s="795"/>
      <c r="J23" s="795"/>
      <c r="K23" s="796"/>
    </row>
    <row r="24" spans="1:11" s="103" customFormat="1" ht="24.75" customHeight="1">
      <c r="A24" s="802" t="s">
        <v>4</v>
      </c>
      <c r="B24" s="801" t="s">
        <v>5</v>
      </c>
      <c r="C24" s="801" t="s">
        <v>6</v>
      </c>
      <c r="D24" s="797" t="s">
        <v>7</v>
      </c>
      <c r="E24" s="797" t="s">
        <v>74</v>
      </c>
      <c r="F24" s="798" t="s">
        <v>75</v>
      </c>
      <c r="G24" s="786" t="s">
        <v>79</v>
      </c>
      <c r="H24" s="799" t="s">
        <v>112</v>
      </c>
      <c r="I24" s="799"/>
      <c r="J24" s="799"/>
      <c r="K24" s="800"/>
    </row>
    <row r="25" spans="1:11" s="103" customFormat="1" ht="31.5" customHeight="1">
      <c r="A25" s="802"/>
      <c r="B25" s="801"/>
      <c r="C25" s="801"/>
      <c r="D25" s="797"/>
      <c r="E25" s="797"/>
      <c r="F25" s="798"/>
      <c r="G25" s="787"/>
      <c r="H25" s="172" t="s">
        <v>80</v>
      </c>
      <c r="I25" s="173" t="s">
        <v>81</v>
      </c>
      <c r="J25" s="173" t="s">
        <v>82</v>
      </c>
      <c r="K25" s="174" t="s">
        <v>83</v>
      </c>
    </row>
    <row r="26" spans="1:11" s="103" customFormat="1" ht="32.25" customHeight="1">
      <c r="A26" s="104">
        <v>1</v>
      </c>
      <c r="B26" s="105" t="s">
        <v>27</v>
      </c>
      <c r="C26" s="106" t="s">
        <v>108</v>
      </c>
      <c r="D26" s="107">
        <v>0</v>
      </c>
      <c r="E26" s="107">
        <v>0</v>
      </c>
      <c r="F26" s="108">
        <v>4300000</v>
      </c>
      <c r="G26" s="109">
        <v>4474150</v>
      </c>
      <c r="H26" s="150">
        <v>3.3300000000000003E-2</v>
      </c>
      <c r="I26" s="151">
        <f>+G26*H26</f>
        <v>148989.19500000001</v>
      </c>
      <c r="J26" s="152">
        <f>+G26+I26</f>
        <v>4623139.1950000003</v>
      </c>
      <c r="K26" s="153">
        <f>+J26-39</f>
        <v>4623100.1950000003</v>
      </c>
    </row>
    <row r="27" spans="1:11" s="103" customFormat="1" ht="32.25" customHeight="1" thickBot="1">
      <c r="A27" s="110">
        <v>2</v>
      </c>
      <c r="B27" s="89" t="s">
        <v>27</v>
      </c>
      <c r="C27" s="90" t="s">
        <v>28</v>
      </c>
      <c r="D27" s="94">
        <v>3200550</v>
      </c>
      <c r="E27" s="94">
        <v>3375600</v>
      </c>
      <c r="F27" s="111">
        <v>3594300</v>
      </c>
      <c r="G27" s="111">
        <v>3739900</v>
      </c>
      <c r="H27" s="154">
        <v>3.3300000000000003E-2</v>
      </c>
      <c r="I27" s="151">
        <f t="shared" ref="I27:I31" si="9">+G27*H27</f>
        <v>124538.67000000001</v>
      </c>
      <c r="J27" s="152">
        <f t="shared" ref="J27:J31" si="10">+G27+I27</f>
        <v>3864438.67</v>
      </c>
      <c r="K27" s="153">
        <f>+J27-39</f>
        <v>3864399.67</v>
      </c>
    </row>
    <row r="28" spans="1:11" s="103" customFormat="1" ht="32.25" customHeight="1" thickTop="1">
      <c r="A28" s="112">
        <v>3</v>
      </c>
      <c r="B28" s="113" t="s">
        <v>27</v>
      </c>
      <c r="C28" s="114" t="s">
        <v>111</v>
      </c>
      <c r="D28" s="94">
        <v>0</v>
      </c>
      <c r="E28" s="94">
        <v>0</v>
      </c>
      <c r="F28" s="111">
        <v>0</v>
      </c>
      <c r="G28" s="111">
        <v>3849850</v>
      </c>
      <c r="H28" s="154">
        <v>3.3300000000000003E-2</v>
      </c>
      <c r="I28" s="151">
        <f t="shared" si="9"/>
        <v>128200.00500000002</v>
      </c>
      <c r="J28" s="152">
        <f t="shared" si="10"/>
        <v>3978050.0049999999</v>
      </c>
      <c r="K28" s="155">
        <f>ROUND(J28,-1)</f>
        <v>3978050</v>
      </c>
    </row>
    <row r="29" spans="1:11" s="103" customFormat="1" ht="32.25" customHeight="1">
      <c r="A29" s="112">
        <v>4</v>
      </c>
      <c r="B29" s="113" t="s">
        <v>27</v>
      </c>
      <c r="C29" s="114" t="s">
        <v>113</v>
      </c>
      <c r="D29" s="94">
        <v>0</v>
      </c>
      <c r="E29" s="94">
        <v>0</v>
      </c>
      <c r="F29" s="111">
        <v>0</v>
      </c>
      <c r="G29" s="111">
        <v>3700000</v>
      </c>
      <c r="H29" s="154">
        <v>3.3300000000000003E-2</v>
      </c>
      <c r="I29" s="151">
        <f t="shared" si="9"/>
        <v>123210.00000000001</v>
      </c>
      <c r="J29" s="152">
        <f t="shared" si="10"/>
        <v>3823210</v>
      </c>
      <c r="K29" s="155">
        <f t="shared" ref="K29" si="11">ROUND(J29,-2)</f>
        <v>3823200</v>
      </c>
    </row>
    <row r="30" spans="1:11" s="103" customFormat="1" ht="32.25" customHeight="1">
      <c r="A30" s="112">
        <v>5</v>
      </c>
      <c r="B30" s="113" t="s">
        <v>27</v>
      </c>
      <c r="C30" s="114" t="s">
        <v>114</v>
      </c>
      <c r="D30" s="94">
        <v>0</v>
      </c>
      <c r="E30" s="94">
        <v>0</v>
      </c>
      <c r="F30" s="111">
        <v>0</v>
      </c>
      <c r="G30" s="111">
        <v>4351000</v>
      </c>
      <c r="H30" s="154">
        <v>3.3300000000000003E-2</v>
      </c>
      <c r="I30" s="151">
        <f t="shared" si="9"/>
        <v>144888.30000000002</v>
      </c>
      <c r="J30" s="152">
        <f t="shared" si="10"/>
        <v>4495888.3</v>
      </c>
      <c r="K30" s="155">
        <f>+J30-38</f>
        <v>4495850.3</v>
      </c>
    </row>
    <row r="31" spans="1:11" s="103" customFormat="1" ht="32.25" customHeight="1" thickBot="1">
      <c r="A31" s="110">
        <v>6</v>
      </c>
      <c r="B31" s="91" t="s">
        <v>27</v>
      </c>
      <c r="C31" s="92" t="s">
        <v>115</v>
      </c>
      <c r="D31" s="93">
        <v>0</v>
      </c>
      <c r="E31" s="93">
        <v>0</v>
      </c>
      <c r="F31" s="115">
        <v>0</v>
      </c>
      <c r="G31" s="115">
        <v>3200000</v>
      </c>
      <c r="H31" s="156">
        <v>3.3300000000000003E-2</v>
      </c>
      <c r="I31" s="157">
        <f t="shared" si="9"/>
        <v>106560.00000000001</v>
      </c>
      <c r="J31" s="158">
        <f t="shared" si="10"/>
        <v>3306560</v>
      </c>
      <c r="K31" s="159">
        <f>+J31-10</f>
        <v>3306550</v>
      </c>
    </row>
    <row r="32" spans="1:11" s="120" customFormat="1" ht="23.25" customHeight="1" thickTop="1" thickBot="1">
      <c r="A32" s="96"/>
      <c r="B32" s="96"/>
      <c r="C32" s="98"/>
      <c r="D32" s="116"/>
      <c r="E32" s="116"/>
      <c r="F32" s="116"/>
      <c r="G32" s="116"/>
      <c r="H32" s="117"/>
      <c r="I32" s="118"/>
      <c r="J32" s="116"/>
      <c r="K32" s="119"/>
    </row>
    <row r="33" spans="1:11" ht="32.25" customHeight="1" thickTop="1">
      <c r="B33" s="788" t="s">
        <v>29</v>
      </c>
      <c r="C33" s="789"/>
      <c r="D33" s="789"/>
      <c r="E33" s="789"/>
      <c r="F33" s="789"/>
      <c r="G33" s="789"/>
      <c r="H33" s="789"/>
      <c r="I33" s="789"/>
      <c r="J33" s="789"/>
      <c r="K33" s="790"/>
    </row>
    <row r="34" spans="1:11" ht="39.75" customHeight="1">
      <c r="A34" s="121"/>
      <c r="B34" s="122" t="s">
        <v>4</v>
      </c>
      <c r="C34" s="123" t="s">
        <v>29</v>
      </c>
      <c r="D34" s="124" t="s">
        <v>84</v>
      </c>
      <c r="E34" s="124" t="s">
        <v>85</v>
      </c>
      <c r="F34" s="125" t="s">
        <v>86</v>
      </c>
      <c r="G34" s="126" t="s">
        <v>116</v>
      </c>
      <c r="H34" s="169" t="s">
        <v>80</v>
      </c>
      <c r="I34" s="170" t="s">
        <v>81</v>
      </c>
      <c r="J34" s="170" t="s">
        <v>82</v>
      </c>
      <c r="K34" s="171" t="s">
        <v>83</v>
      </c>
    </row>
    <row r="35" spans="1:11" ht="20.25" customHeight="1">
      <c r="A35" s="121"/>
      <c r="B35" s="127">
        <v>1</v>
      </c>
      <c r="C35" s="128" t="s">
        <v>87</v>
      </c>
      <c r="D35" s="129">
        <v>59400</v>
      </c>
      <c r="E35" s="107">
        <v>62600</v>
      </c>
      <c r="F35" s="109">
        <v>66600</v>
      </c>
      <c r="G35" s="130">
        <v>69300</v>
      </c>
      <c r="H35" s="160">
        <v>3.3300000000000003E-2</v>
      </c>
      <c r="I35" s="161">
        <f>+G35*H35</f>
        <v>2307.69</v>
      </c>
      <c r="J35" s="162">
        <f t="shared" ref="J35:J54" si="12">+G35+I35</f>
        <v>71607.69</v>
      </c>
      <c r="K35" s="163">
        <f>+J35-8</f>
        <v>71599.69</v>
      </c>
    </row>
    <row r="36" spans="1:11" ht="20.25" customHeight="1">
      <c r="A36" s="121"/>
      <c r="B36" s="131">
        <v>2</v>
      </c>
      <c r="C36" s="132" t="s">
        <v>88</v>
      </c>
      <c r="D36" s="133">
        <v>37800</v>
      </c>
      <c r="E36" s="94">
        <v>39900</v>
      </c>
      <c r="F36" s="111">
        <v>42450</v>
      </c>
      <c r="G36" s="134">
        <v>44200</v>
      </c>
      <c r="H36" s="164">
        <v>3.3300000000000003E-2</v>
      </c>
      <c r="I36" s="161">
        <f t="shared" ref="I36:I54" si="13">+G36*H36</f>
        <v>1471.8600000000001</v>
      </c>
      <c r="J36" s="162">
        <f t="shared" si="12"/>
        <v>45671.86</v>
      </c>
      <c r="K36" s="165">
        <f>+J36-22</f>
        <v>45649.86</v>
      </c>
    </row>
    <row r="37" spans="1:11" ht="20.25" customHeight="1">
      <c r="A37" s="121"/>
      <c r="B37" s="131">
        <v>3</v>
      </c>
      <c r="C37" s="132" t="s">
        <v>89</v>
      </c>
      <c r="D37" s="133">
        <v>37800</v>
      </c>
      <c r="E37" s="94">
        <v>39900</v>
      </c>
      <c r="F37" s="111">
        <v>66222</v>
      </c>
      <c r="G37" s="134">
        <v>68900</v>
      </c>
      <c r="H37" s="164">
        <v>3.3300000000000003E-2</v>
      </c>
      <c r="I37" s="161">
        <f t="shared" si="13"/>
        <v>2294.3700000000003</v>
      </c>
      <c r="J37" s="162">
        <f t="shared" si="12"/>
        <v>71194.37</v>
      </c>
      <c r="K37" s="165">
        <f>+J37-44</f>
        <v>71150.37</v>
      </c>
    </row>
    <row r="38" spans="1:11" ht="20.25" customHeight="1">
      <c r="A38" s="121"/>
      <c r="B38" s="131">
        <v>4</v>
      </c>
      <c r="C38" s="135" t="s">
        <v>90</v>
      </c>
      <c r="D38" s="133">
        <v>315600</v>
      </c>
      <c r="E38" s="94">
        <v>332900</v>
      </c>
      <c r="F38" s="111">
        <v>354450</v>
      </c>
      <c r="G38" s="134">
        <v>368800</v>
      </c>
      <c r="H38" s="164">
        <v>3.3300000000000003E-2</v>
      </c>
      <c r="I38" s="161">
        <f t="shared" si="13"/>
        <v>12281.04</v>
      </c>
      <c r="J38" s="162">
        <f t="shared" si="12"/>
        <v>381081.04</v>
      </c>
      <c r="K38" s="165">
        <f>+J38-31</f>
        <v>381050.04</v>
      </c>
    </row>
    <row r="39" spans="1:11" ht="20.25" customHeight="1">
      <c r="A39" s="121"/>
      <c r="B39" s="131">
        <v>5</v>
      </c>
      <c r="C39" s="135" t="s">
        <v>91</v>
      </c>
      <c r="D39" s="133"/>
      <c r="E39" s="94">
        <v>480000</v>
      </c>
      <c r="F39" s="111">
        <v>511100</v>
      </c>
      <c r="G39" s="134">
        <v>531800</v>
      </c>
      <c r="H39" s="164">
        <v>3.3300000000000003E-2</v>
      </c>
      <c r="I39" s="161">
        <f t="shared" si="13"/>
        <v>17708.940000000002</v>
      </c>
      <c r="J39" s="162">
        <f t="shared" si="12"/>
        <v>549508.93999999994</v>
      </c>
      <c r="K39" s="165">
        <f>+J39-9</f>
        <v>549499.93999999994</v>
      </c>
    </row>
    <row r="40" spans="1:11" ht="20.25" customHeight="1">
      <c r="A40" s="121"/>
      <c r="B40" s="131">
        <v>6</v>
      </c>
      <c r="C40" s="136" t="s">
        <v>92</v>
      </c>
      <c r="D40" s="133">
        <v>7800</v>
      </c>
      <c r="E40" s="94">
        <v>8200</v>
      </c>
      <c r="F40" s="111">
        <v>8700</v>
      </c>
      <c r="G40" s="134">
        <v>9050</v>
      </c>
      <c r="H40" s="164">
        <v>3.3300000000000003E-2</v>
      </c>
      <c r="I40" s="161">
        <f t="shared" si="13"/>
        <v>301.36500000000001</v>
      </c>
      <c r="J40" s="162">
        <f t="shared" si="12"/>
        <v>9351.3649999999998</v>
      </c>
      <c r="K40" s="165">
        <f t="shared" ref="K40" si="14">ROUND(J40,-1)</f>
        <v>9350</v>
      </c>
    </row>
    <row r="41" spans="1:11" ht="20.25" customHeight="1">
      <c r="A41" s="121"/>
      <c r="B41" s="131">
        <v>7</v>
      </c>
      <c r="C41" s="135" t="s">
        <v>93</v>
      </c>
      <c r="D41" s="133">
        <v>115700</v>
      </c>
      <c r="E41" s="94">
        <v>122000</v>
      </c>
      <c r="F41" s="111">
        <v>129900</v>
      </c>
      <c r="G41" s="134">
        <v>135200</v>
      </c>
      <c r="H41" s="164">
        <v>3.3300000000000003E-2</v>
      </c>
      <c r="I41" s="161">
        <f t="shared" si="13"/>
        <v>4502.1600000000008</v>
      </c>
      <c r="J41" s="162">
        <f t="shared" si="12"/>
        <v>139702.16</v>
      </c>
      <c r="K41" s="165">
        <f>ROUND(J41,-2)</f>
        <v>139700</v>
      </c>
    </row>
    <row r="42" spans="1:11" ht="20.25" customHeight="1">
      <c r="A42" s="121"/>
      <c r="B42" s="131">
        <v>8</v>
      </c>
      <c r="C42" s="135" t="s">
        <v>94</v>
      </c>
      <c r="D42" s="133">
        <v>206000</v>
      </c>
      <c r="E42" s="94">
        <v>217300</v>
      </c>
      <c r="F42" s="111">
        <v>231350</v>
      </c>
      <c r="G42" s="134">
        <v>240700</v>
      </c>
      <c r="H42" s="164">
        <v>3.3300000000000003E-2</v>
      </c>
      <c r="I42" s="161">
        <f t="shared" si="13"/>
        <v>8015.31</v>
      </c>
      <c r="J42" s="162">
        <f t="shared" si="12"/>
        <v>248715.31</v>
      </c>
      <c r="K42" s="165">
        <f>+J42-15</f>
        <v>248700.31</v>
      </c>
    </row>
    <row r="43" spans="1:11" ht="20.25" customHeight="1">
      <c r="A43" s="121"/>
      <c r="B43" s="131">
        <v>9</v>
      </c>
      <c r="C43" s="135" t="s">
        <v>95</v>
      </c>
      <c r="D43" s="133">
        <v>5200</v>
      </c>
      <c r="E43" s="94">
        <v>5500</v>
      </c>
      <c r="F43" s="111">
        <v>5850</v>
      </c>
      <c r="G43" s="134">
        <v>6100</v>
      </c>
      <c r="H43" s="164">
        <v>3.3300000000000003E-2</v>
      </c>
      <c r="I43" s="161">
        <f t="shared" si="13"/>
        <v>203.13000000000002</v>
      </c>
      <c r="J43" s="162">
        <f t="shared" si="12"/>
        <v>6303.13</v>
      </c>
      <c r="K43" s="165">
        <f t="shared" ref="K43:K50" si="15">ROUND(J43,-2)</f>
        <v>6300</v>
      </c>
    </row>
    <row r="44" spans="1:11" ht="20.25" customHeight="1">
      <c r="A44" s="121"/>
      <c r="B44" s="131">
        <v>10</v>
      </c>
      <c r="C44" s="135" t="s">
        <v>96</v>
      </c>
      <c r="D44" s="133">
        <v>59500</v>
      </c>
      <c r="E44" s="94">
        <v>62800</v>
      </c>
      <c r="F44" s="111">
        <v>66850</v>
      </c>
      <c r="G44" s="134">
        <v>69600</v>
      </c>
      <c r="H44" s="164">
        <v>3.3300000000000003E-2</v>
      </c>
      <c r="I44" s="161">
        <f t="shared" si="13"/>
        <v>2317.6800000000003</v>
      </c>
      <c r="J44" s="162">
        <f t="shared" si="12"/>
        <v>71917.679999999993</v>
      </c>
      <c r="K44" s="165">
        <f t="shared" si="15"/>
        <v>71900</v>
      </c>
    </row>
    <row r="45" spans="1:11" ht="20.25" customHeight="1">
      <c r="A45" s="121"/>
      <c r="B45" s="131">
        <v>11</v>
      </c>
      <c r="C45" s="135" t="s">
        <v>97</v>
      </c>
      <c r="D45" s="133">
        <v>17900</v>
      </c>
      <c r="E45" s="94">
        <v>18900</v>
      </c>
      <c r="F45" s="111">
        <v>20100</v>
      </c>
      <c r="G45" s="134">
        <v>20900</v>
      </c>
      <c r="H45" s="164">
        <v>3.3300000000000003E-2</v>
      </c>
      <c r="I45" s="161">
        <f t="shared" si="13"/>
        <v>695.97</v>
      </c>
      <c r="J45" s="162">
        <f t="shared" si="12"/>
        <v>21595.97</v>
      </c>
      <c r="K45" s="165">
        <f>+J45-46</f>
        <v>21549.97</v>
      </c>
    </row>
    <row r="46" spans="1:11" ht="20.25" customHeight="1">
      <c r="A46" s="121"/>
      <c r="B46" s="131">
        <v>12</v>
      </c>
      <c r="C46" s="135" t="s">
        <v>98</v>
      </c>
      <c r="D46" s="133">
        <v>11600</v>
      </c>
      <c r="E46" s="94">
        <v>12200</v>
      </c>
      <c r="F46" s="111">
        <v>12950</v>
      </c>
      <c r="G46" s="134">
        <v>13500</v>
      </c>
      <c r="H46" s="164">
        <v>3.3300000000000003E-2</v>
      </c>
      <c r="I46" s="161">
        <f t="shared" si="13"/>
        <v>449.55000000000007</v>
      </c>
      <c r="J46" s="162">
        <f t="shared" si="12"/>
        <v>13949.55</v>
      </c>
      <c r="K46" s="165">
        <f>ROUND(J46,-1)</f>
        <v>13950</v>
      </c>
    </row>
    <row r="47" spans="1:11" ht="20.25" customHeight="1">
      <c r="A47" s="121"/>
      <c r="B47" s="131">
        <v>13</v>
      </c>
      <c r="C47" s="135" t="s">
        <v>99</v>
      </c>
      <c r="D47" s="133">
        <v>0</v>
      </c>
      <c r="E47" s="94">
        <v>196200</v>
      </c>
      <c r="F47" s="111">
        <v>208900</v>
      </c>
      <c r="G47" s="134">
        <v>217400</v>
      </c>
      <c r="H47" s="164">
        <v>3.3300000000000003E-2</v>
      </c>
      <c r="I47" s="161">
        <f t="shared" si="13"/>
        <v>7239.420000000001</v>
      </c>
      <c r="J47" s="162">
        <f t="shared" si="12"/>
        <v>224639.42</v>
      </c>
      <c r="K47" s="165">
        <f>+J47-39</f>
        <v>224600.42</v>
      </c>
    </row>
    <row r="48" spans="1:11" ht="20.25" customHeight="1">
      <c r="A48" s="121"/>
      <c r="B48" s="131">
        <v>14</v>
      </c>
      <c r="C48" s="135" t="s">
        <v>100</v>
      </c>
      <c r="D48" s="133">
        <v>0</v>
      </c>
      <c r="E48" s="94">
        <v>0</v>
      </c>
      <c r="F48" s="111">
        <v>325884</v>
      </c>
      <c r="G48" s="134">
        <v>339100</v>
      </c>
      <c r="H48" s="164">
        <v>3.3300000000000003E-2</v>
      </c>
      <c r="I48" s="161">
        <f t="shared" si="13"/>
        <v>11292.03</v>
      </c>
      <c r="J48" s="162">
        <f t="shared" si="12"/>
        <v>350392.03</v>
      </c>
      <c r="K48" s="165">
        <f>+J48-42</f>
        <v>350350.03</v>
      </c>
    </row>
    <row r="49" spans="1:11" ht="20.25" customHeight="1">
      <c r="A49" s="121"/>
      <c r="B49" s="131">
        <v>15</v>
      </c>
      <c r="C49" s="135" t="s">
        <v>101</v>
      </c>
      <c r="D49" s="133">
        <v>36700</v>
      </c>
      <c r="E49" s="94">
        <v>38700</v>
      </c>
      <c r="F49" s="111">
        <v>41200</v>
      </c>
      <c r="G49" s="134">
        <v>42900</v>
      </c>
      <c r="H49" s="164">
        <v>3.3300000000000003E-2</v>
      </c>
      <c r="I49" s="161">
        <f t="shared" si="13"/>
        <v>1428.5700000000002</v>
      </c>
      <c r="J49" s="162">
        <f t="shared" si="12"/>
        <v>44328.57</v>
      </c>
      <c r="K49" s="165">
        <f>+J49-29</f>
        <v>44299.57</v>
      </c>
    </row>
    <row r="50" spans="1:11" ht="20.25" customHeight="1">
      <c r="A50" s="121"/>
      <c r="B50" s="131">
        <v>16</v>
      </c>
      <c r="C50" s="135" t="s">
        <v>102</v>
      </c>
      <c r="D50" s="133">
        <v>0</v>
      </c>
      <c r="E50" s="94">
        <v>0</v>
      </c>
      <c r="F50" s="111">
        <v>64272</v>
      </c>
      <c r="G50" s="134">
        <v>66900</v>
      </c>
      <c r="H50" s="164">
        <v>3.3300000000000003E-2</v>
      </c>
      <c r="I50" s="161">
        <f t="shared" si="13"/>
        <v>2227.7700000000004</v>
      </c>
      <c r="J50" s="162">
        <f t="shared" si="12"/>
        <v>69127.77</v>
      </c>
      <c r="K50" s="165">
        <f t="shared" si="15"/>
        <v>69100</v>
      </c>
    </row>
    <row r="51" spans="1:11" ht="20.25" customHeight="1">
      <c r="A51" s="121"/>
      <c r="B51" s="131">
        <v>17</v>
      </c>
      <c r="C51" s="135" t="s">
        <v>103</v>
      </c>
      <c r="D51" s="133">
        <v>225000</v>
      </c>
      <c r="E51" s="94">
        <v>237300</v>
      </c>
      <c r="F51" s="111">
        <v>252650</v>
      </c>
      <c r="G51" s="134">
        <v>262900</v>
      </c>
      <c r="H51" s="164">
        <v>3.3300000000000003E-2</v>
      </c>
      <c r="I51" s="161">
        <f t="shared" si="13"/>
        <v>8754.5700000000015</v>
      </c>
      <c r="J51" s="162">
        <f t="shared" si="12"/>
        <v>271654.57</v>
      </c>
      <c r="K51" s="165">
        <f>+J51-5</f>
        <v>271649.57</v>
      </c>
    </row>
    <row r="52" spans="1:11" ht="20.25" customHeight="1">
      <c r="A52" s="121"/>
      <c r="B52" s="131">
        <v>18</v>
      </c>
      <c r="C52" s="135" t="s">
        <v>104</v>
      </c>
      <c r="D52" s="133">
        <v>0</v>
      </c>
      <c r="E52" s="94">
        <v>0</v>
      </c>
      <c r="F52" s="111">
        <v>605000</v>
      </c>
      <c r="G52" s="134">
        <v>629500</v>
      </c>
      <c r="H52" s="164">
        <v>3.3300000000000003E-2</v>
      </c>
      <c r="I52" s="161">
        <f t="shared" si="13"/>
        <v>20962.350000000002</v>
      </c>
      <c r="J52" s="162">
        <f t="shared" si="12"/>
        <v>650462.35</v>
      </c>
      <c r="K52" s="165">
        <f>+J52-12</f>
        <v>650450.35</v>
      </c>
    </row>
    <row r="53" spans="1:11" ht="20.25" customHeight="1">
      <c r="A53" s="121"/>
      <c r="B53" s="131">
        <v>19</v>
      </c>
      <c r="C53" s="135" t="s">
        <v>105</v>
      </c>
      <c r="D53" s="133">
        <v>0</v>
      </c>
      <c r="E53" s="94">
        <v>0</v>
      </c>
      <c r="F53" s="111">
        <v>1080000</v>
      </c>
      <c r="G53" s="134">
        <v>1123700</v>
      </c>
      <c r="H53" s="164">
        <v>3.3300000000000003E-2</v>
      </c>
      <c r="I53" s="161">
        <f t="shared" si="13"/>
        <v>37419.210000000006</v>
      </c>
      <c r="J53" s="162">
        <f t="shared" si="12"/>
        <v>1161119.21</v>
      </c>
      <c r="K53" s="165">
        <f>ROUND(J53,-2)</f>
        <v>1161100</v>
      </c>
    </row>
    <row r="54" spans="1:11" ht="20.25" customHeight="1">
      <c r="A54" s="121"/>
      <c r="B54" s="131">
        <v>20</v>
      </c>
      <c r="C54" s="135" t="s">
        <v>106</v>
      </c>
      <c r="D54" s="133">
        <v>0</v>
      </c>
      <c r="E54" s="94">
        <v>0</v>
      </c>
      <c r="F54" s="111">
        <v>405000</v>
      </c>
      <c r="G54" s="134">
        <v>421400</v>
      </c>
      <c r="H54" s="164">
        <v>3.3300000000000003E-2</v>
      </c>
      <c r="I54" s="161">
        <f t="shared" si="13"/>
        <v>14032.62</v>
      </c>
      <c r="J54" s="162">
        <f t="shared" si="12"/>
        <v>435432.62</v>
      </c>
      <c r="K54" s="165">
        <f>+J54-33</f>
        <v>435399.62</v>
      </c>
    </row>
    <row r="55" spans="1:11" ht="20.25" customHeight="1">
      <c r="A55" s="121"/>
      <c r="B55" s="131">
        <v>21</v>
      </c>
      <c r="C55" s="135" t="s">
        <v>107</v>
      </c>
      <c r="D55" s="133">
        <v>0</v>
      </c>
      <c r="E55" s="94">
        <v>0</v>
      </c>
      <c r="F55" s="111">
        <v>720000</v>
      </c>
      <c r="G55" s="134">
        <v>749200</v>
      </c>
      <c r="H55" s="164">
        <v>3.3300000000000003E-2</v>
      </c>
      <c r="I55" s="242">
        <f t="shared" ref="I55" si="16">+G55*H55</f>
        <v>24948.360000000004</v>
      </c>
      <c r="J55" s="162">
        <f t="shared" ref="J55" si="17">+G55+I55</f>
        <v>774148.36</v>
      </c>
      <c r="K55" s="165">
        <f>+J55-48</f>
        <v>774100.36</v>
      </c>
    </row>
    <row r="56" spans="1:11" ht="20.25" customHeight="1">
      <c r="A56" s="121"/>
      <c r="B56" s="233">
        <v>22</v>
      </c>
      <c r="C56" s="234" t="s">
        <v>119</v>
      </c>
      <c r="D56" s="235"/>
      <c r="E56" s="236"/>
      <c r="F56" s="237"/>
      <c r="G56" s="238"/>
      <c r="H56" s="239"/>
      <c r="I56" s="242"/>
      <c r="J56" s="240"/>
      <c r="K56" s="241">
        <v>2500</v>
      </c>
    </row>
    <row r="57" spans="1:11" ht="20.25" customHeight="1">
      <c r="A57" s="121"/>
      <c r="B57" s="225">
        <v>23</v>
      </c>
      <c r="C57" s="226" t="s">
        <v>120</v>
      </c>
      <c r="D57" s="227"/>
      <c r="E57" s="95"/>
      <c r="F57" s="228"/>
      <c r="G57" s="229"/>
      <c r="H57" s="230"/>
      <c r="I57" s="242"/>
      <c r="J57" s="231"/>
      <c r="K57" s="232"/>
    </row>
    <row r="58" spans="1:11" ht="20.25" customHeight="1" thickBot="1">
      <c r="A58" s="121"/>
      <c r="B58" s="137">
        <v>24</v>
      </c>
      <c r="C58" s="138" t="s">
        <v>121</v>
      </c>
      <c r="D58" s="139"/>
      <c r="E58" s="93"/>
      <c r="F58" s="115"/>
      <c r="G58" s="140"/>
      <c r="H58" s="166"/>
      <c r="I58" s="243"/>
      <c r="J58" s="167"/>
      <c r="K58" s="168"/>
    </row>
    <row r="59" spans="1:11" ht="16.5" thickTop="1">
      <c r="C59" s="84" t="s">
        <v>117</v>
      </c>
    </row>
    <row r="60" spans="1:11">
      <c r="C60" s="84" t="s">
        <v>118</v>
      </c>
    </row>
  </sheetData>
  <mergeCells count="20">
    <mergeCell ref="A1:K1"/>
    <mergeCell ref="A3:K3"/>
    <mergeCell ref="A23:K23"/>
    <mergeCell ref="D24:D25"/>
    <mergeCell ref="E24:E25"/>
    <mergeCell ref="F24:F25"/>
    <mergeCell ref="H24:K24"/>
    <mergeCell ref="C24:C25"/>
    <mergeCell ref="B24:B25"/>
    <mergeCell ref="A24:A25"/>
    <mergeCell ref="H4:K4"/>
    <mergeCell ref="C4:C5"/>
    <mergeCell ref="B4:B5"/>
    <mergeCell ref="A4:A5"/>
    <mergeCell ref="G4:G5"/>
    <mergeCell ref="G24:G25"/>
    <mergeCell ref="B33:K33"/>
    <mergeCell ref="D4:D5"/>
    <mergeCell ref="E4:E5"/>
    <mergeCell ref="F4:F5"/>
  </mergeCells>
  <pageMargins left="0.70866141732283472" right="0.31496062992125984" top="0.35433070866141736" bottom="0.15748031496062992" header="0.31496062992125984" footer="0.31496062992125984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60"/>
  <sheetViews>
    <sheetView topLeftCell="A25" zoomScale="80" zoomScaleNormal="80" workbookViewId="0">
      <selection activeCell="G8" sqref="G8"/>
    </sheetView>
  </sheetViews>
  <sheetFormatPr baseColWidth="10" defaultRowHeight="15.75"/>
  <cols>
    <col min="1" max="1" width="4.28515625" style="84" customWidth="1"/>
    <col min="2" max="2" width="6.85546875" style="84" customWidth="1"/>
    <col min="3" max="3" width="53.42578125" style="84" customWidth="1"/>
    <col min="4" max="4" width="14.42578125" style="141" hidden="1" customWidth="1"/>
    <col min="5" max="6" width="14.42578125" style="142" hidden="1" customWidth="1"/>
    <col min="7" max="7" width="14.42578125" style="142" customWidth="1"/>
    <col min="8" max="8" width="14.28515625" style="143" customWidth="1"/>
    <col min="9" max="9" width="14.85546875" style="141" customWidth="1"/>
    <col min="10" max="10" width="13.140625" style="142" bestFit="1" customWidth="1"/>
    <col min="11" max="11" width="13.85546875" style="144" customWidth="1"/>
    <col min="12" max="14" width="11.42578125" style="84"/>
    <col min="15" max="15" width="14.28515625" style="84" bestFit="1" customWidth="1"/>
    <col min="16" max="16384" width="11.42578125" style="84"/>
  </cols>
  <sheetData>
    <row r="1" spans="1:11" ht="63" customHeight="1">
      <c r="A1" s="793" t="s">
        <v>110</v>
      </c>
      <c r="B1" s="793"/>
      <c r="C1" s="793"/>
      <c r="D1" s="793"/>
      <c r="E1" s="793"/>
      <c r="F1" s="793"/>
      <c r="G1" s="793"/>
      <c r="H1" s="793"/>
      <c r="I1" s="793"/>
      <c r="J1" s="793"/>
      <c r="K1" s="793"/>
    </row>
    <row r="2" spans="1:11" ht="18" customHeight="1" thickBo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ht="42" customHeight="1" thickTop="1">
      <c r="A3" s="788" t="s">
        <v>3</v>
      </c>
      <c r="B3" s="789"/>
      <c r="C3" s="789"/>
      <c r="D3" s="789"/>
      <c r="E3" s="789"/>
      <c r="F3" s="789"/>
      <c r="G3" s="789"/>
      <c r="H3" s="789"/>
      <c r="I3" s="789"/>
      <c r="J3" s="789"/>
      <c r="K3" s="790"/>
    </row>
    <row r="4" spans="1:11" ht="24.75" customHeight="1">
      <c r="A4" s="782" t="s">
        <v>4</v>
      </c>
      <c r="B4" s="780" t="s">
        <v>5</v>
      </c>
      <c r="C4" s="780" t="s">
        <v>6</v>
      </c>
      <c r="D4" s="791" t="s">
        <v>7</v>
      </c>
      <c r="E4" s="791" t="s">
        <v>74</v>
      </c>
      <c r="F4" s="791" t="s">
        <v>75</v>
      </c>
      <c r="G4" s="784" t="s">
        <v>79</v>
      </c>
      <c r="H4" s="803" t="s">
        <v>112</v>
      </c>
      <c r="I4" s="804"/>
      <c r="J4" s="804"/>
      <c r="K4" s="805"/>
    </row>
    <row r="5" spans="1:11" ht="30.75" customHeight="1">
      <c r="A5" s="783"/>
      <c r="B5" s="781"/>
      <c r="C5" s="781"/>
      <c r="D5" s="792"/>
      <c r="E5" s="792"/>
      <c r="F5" s="792"/>
      <c r="G5" s="785"/>
      <c r="H5" s="86" t="s">
        <v>80</v>
      </c>
      <c r="I5" s="87" t="s">
        <v>81</v>
      </c>
      <c r="J5" s="87" t="s">
        <v>82</v>
      </c>
      <c r="K5" s="88" t="s">
        <v>83</v>
      </c>
    </row>
    <row r="6" spans="1:11" ht="25.5" customHeight="1">
      <c r="A6" s="177">
        <v>1</v>
      </c>
      <c r="B6" s="178" t="s">
        <v>12</v>
      </c>
      <c r="C6" s="179" t="s">
        <v>16</v>
      </c>
      <c r="D6" s="180">
        <v>1793000</v>
      </c>
      <c r="E6" s="180">
        <v>1891100</v>
      </c>
      <c r="F6" s="180">
        <v>2013600</v>
      </c>
      <c r="G6" s="181">
        <v>2095150</v>
      </c>
      <c r="H6" s="182">
        <v>3.3300000000000003E-2</v>
      </c>
      <c r="I6" s="183">
        <f>+G6*H6</f>
        <v>69768.49500000001</v>
      </c>
      <c r="J6" s="184">
        <f t="shared" ref="J6:J19" si="0">+G6+I6</f>
        <v>2164918.4950000001</v>
      </c>
      <c r="K6" s="185">
        <f>+J6-18</f>
        <v>2164900.4950000001</v>
      </c>
    </row>
    <row r="7" spans="1:11" ht="25.5" customHeight="1">
      <c r="A7" s="177">
        <v>2</v>
      </c>
      <c r="B7" s="178" t="s">
        <v>12</v>
      </c>
      <c r="C7" s="179" t="s">
        <v>22</v>
      </c>
      <c r="D7" s="180">
        <v>1793000</v>
      </c>
      <c r="E7" s="180">
        <v>1891100</v>
      </c>
      <c r="F7" s="180">
        <v>2013600</v>
      </c>
      <c r="G7" s="181">
        <v>2095150</v>
      </c>
      <c r="H7" s="182">
        <v>3.3300000000000003E-2</v>
      </c>
      <c r="I7" s="183">
        <f t="shared" ref="I7:I8" si="1">+G7*H7</f>
        <v>69768.49500000001</v>
      </c>
      <c r="J7" s="184">
        <f t="shared" si="0"/>
        <v>2164918.4950000001</v>
      </c>
      <c r="K7" s="185">
        <f t="shared" ref="K7" si="2">+J7-18</f>
        <v>2164900.4950000001</v>
      </c>
    </row>
    <row r="8" spans="1:11" ht="43.5" customHeight="1" thickBot="1">
      <c r="A8" s="186">
        <v>3</v>
      </c>
      <c r="B8" s="187" t="s">
        <v>12</v>
      </c>
      <c r="C8" s="188" t="s">
        <v>109</v>
      </c>
      <c r="D8" s="189">
        <v>0</v>
      </c>
      <c r="E8" s="190">
        <v>1646000</v>
      </c>
      <c r="F8" s="190">
        <v>1752600</v>
      </c>
      <c r="G8" s="191">
        <v>1823600</v>
      </c>
      <c r="H8" s="156">
        <v>3.3300000000000003E-2</v>
      </c>
      <c r="I8" s="192">
        <f t="shared" si="1"/>
        <v>60725.880000000005</v>
      </c>
      <c r="J8" s="190">
        <f t="shared" si="0"/>
        <v>1884325.88</v>
      </c>
      <c r="K8" s="193">
        <f>+J8-26</f>
        <v>1884299.88</v>
      </c>
    </row>
    <row r="9" spans="1:11" ht="37.5" customHeight="1" thickTop="1">
      <c r="A9" s="194">
        <v>4</v>
      </c>
      <c r="B9" s="195" t="s">
        <v>12</v>
      </c>
      <c r="C9" s="196" t="s">
        <v>13</v>
      </c>
      <c r="D9" s="197">
        <v>1793000</v>
      </c>
      <c r="E9" s="83">
        <v>1891100</v>
      </c>
      <c r="F9" s="198">
        <v>2013600</v>
      </c>
      <c r="G9" s="199">
        <v>2095200</v>
      </c>
      <c r="H9" s="145">
        <v>3.3300000000000003E-2</v>
      </c>
      <c r="I9" s="146">
        <f>+G9*H9</f>
        <v>69770.16</v>
      </c>
      <c r="J9" s="83">
        <f t="shared" si="0"/>
        <v>2164970.16</v>
      </c>
      <c r="K9" s="147">
        <f>+J9-20</f>
        <v>2164950.16</v>
      </c>
    </row>
    <row r="10" spans="1:11" ht="37.5" customHeight="1">
      <c r="A10" s="200">
        <v>5</v>
      </c>
      <c r="B10" s="201" t="s">
        <v>12</v>
      </c>
      <c r="C10" s="202" t="s">
        <v>14</v>
      </c>
      <c r="D10" s="78">
        <v>1793000</v>
      </c>
      <c r="E10" s="78">
        <v>1891100</v>
      </c>
      <c r="F10" s="78">
        <v>2013600</v>
      </c>
      <c r="G10" s="203">
        <v>2095150</v>
      </c>
      <c r="H10" s="175">
        <v>3.3300000000000003E-2</v>
      </c>
      <c r="I10" s="77">
        <f>+G10*H10</f>
        <v>69768.49500000001</v>
      </c>
      <c r="J10" s="78">
        <f>+G10+I10</f>
        <v>2164918.4950000001</v>
      </c>
      <c r="K10" s="176">
        <f>+J10-18</f>
        <v>2164900.4950000001</v>
      </c>
    </row>
    <row r="11" spans="1:11" ht="37.5" customHeight="1">
      <c r="A11" s="204">
        <v>6</v>
      </c>
      <c r="B11" s="205" t="s">
        <v>12</v>
      </c>
      <c r="C11" s="206" t="s">
        <v>15</v>
      </c>
      <c r="D11" s="207">
        <v>1793000</v>
      </c>
      <c r="E11" s="207">
        <v>1891100</v>
      </c>
      <c r="F11" s="207">
        <v>2013600</v>
      </c>
      <c r="G11" s="208">
        <v>2095150</v>
      </c>
      <c r="H11" s="79">
        <v>3.3300000000000003E-2</v>
      </c>
      <c r="I11" s="77">
        <f t="shared" ref="I11:I19" si="3">+G11*H11</f>
        <v>69768.49500000001</v>
      </c>
      <c r="J11" s="78">
        <f t="shared" ref="J11:J13" si="4">+G11+I11</f>
        <v>2164918.4950000001</v>
      </c>
      <c r="K11" s="176">
        <f t="shared" ref="K11:K13" si="5">+J11-18</f>
        <v>2164900.4950000001</v>
      </c>
    </row>
    <row r="12" spans="1:11" ht="37.5" customHeight="1">
      <c r="A12" s="204">
        <v>7</v>
      </c>
      <c r="B12" s="205" t="s">
        <v>12</v>
      </c>
      <c r="C12" s="206" t="s">
        <v>17</v>
      </c>
      <c r="D12" s="207">
        <v>1793000</v>
      </c>
      <c r="E12" s="207">
        <v>1891100</v>
      </c>
      <c r="F12" s="207">
        <v>2013600</v>
      </c>
      <c r="G12" s="208">
        <v>2095150</v>
      </c>
      <c r="H12" s="79">
        <v>3.3300000000000003E-2</v>
      </c>
      <c r="I12" s="77">
        <f t="shared" si="3"/>
        <v>69768.49500000001</v>
      </c>
      <c r="J12" s="78">
        <f t="shared" si="4"/>
        <v>2164918.4950000001</v>
      </c>
      <c r="K12" s="176">
        <f t="shared" si="5"/>
        <v>2164900.4950000001</v>
      </c>
    </row>
    <row r="13" spans="1:11" ht="37.5" customHeight="1">
      <c r="A13" s="204">
        <v>8</v>
      </c>
      <c r="B13" s="205" t="s">
        <v>12</v>
      </c>
      <c r="C13" s="206" t="s">
        <v>20</v>
      </c>
      <c r="D13" s="207">
        <v>1793000</v>
      </c>
      <c r="E13" s="207">
        <v>1891100</v>
      </c>
      <c r="F13" s="207">
        <v>2013600</v>
      </c>
      <c r="G13" s="208">
        <v>2095150</v>
      </c>
      <c r="H13" s="79">
        <v>3.3300000000000003E-2</v>
      </c>
      <c r="I13" s="77">
        <f t="shared" si="3"/>
        <v>69768.49500000001</v>
      </c>
      <c r="J13" s="78">
        <f t="shared" si="4"/>
        <v>2164918.4950000001</v>
      </c>
      <c r="K13" s="176">
        <f t="shared" si="5"/>
        <v>2164900.4950000001</v>
      </c>
    </row>
    <row r="14" spans="1:11" ht="37.5" customHeight="1">
      <c r="A14" s="204">
        <v>9</v>
      </c>
      <c r="B14" s="205" t="s">
        <v>12</v>
      </c>
      <c r="C14" s="206" t="s">
        <v>18</v>
      </c>
      <c r="D14" s="209">
        <v>1679000</v>
      </c>
      <c r="E14" s="207">
        <v>1770800</v>
      </c>
      <c r="F14" s="210">
        <v>1885500</v>
      </c>
      <c r="G14" s="208">
        <v>1961900</v>
      </c>
      <c r="H14" s="79">
        <v>3.3300000000000003E-2</v>
      </c>
      <c r="I14" s="77">
        <f t="shared" si="3"/>
        <v>65331.270000000004</v>
      </c>
      <c r="J14" s="78">
        <f t="shared" si="0"/>
        <v>2027231.27</v>
      </c>
      <c r="K14" s="148">
        <f>+J14-31</f>
        <v>2027200.27</v>
      </c>
    </row>
    <row r="15" spans="1:11" ht="37.5" customHeight="1">
      <c r="A15" s="204">
        <v>10</v>
      </c>
      <c r="B15" s="205" t="s">
        <v>12</v>
      </c>
      <c r="C15" s="206" t="s">
        <v>21</v>
      </c>
      <c r="D15" s="209">
        <v>1465000</v>
      </c>
      <c r="E15" s="207">
        <v>1545100</v>
      </c>
      <c r="F15" s="210">
        <v>1645200</v>
      </c>
      <c r="G15" s="208">
        <v>1711800</v>
      </c>
      <c r="H15" s="79">
        <v>3.3300000000000003E-2</v>
      </c>
      <c r="I15" s="77">
        <f t="shared" si="3"/>
        <v>57002.94</v>
      </c>
      <c r="J15" s="78">
        <f t="shared" si="0"/>
        <v>1768802.94</v>
      </c>
      <c r="K15" s="148">
        <f>+J15-3</f>
        <v>1768799.94</v>
      </c>
    </row>
    <row r="16" spans="1:11" ht="37.5" customHeight="1">
      <c r="A16" s="204">
        <v>11</v>
      </c>
      <c r="B16" s="205" t="s">
        <v>12</v>
      </c>
      <c r="C16" s="206" t="s">
        <v>23</v>
      </c>
      <c r="D16" s="209">
        <v>1608000</v>
      </c>
      <c r="E16" s="207">
        <v>1696000</v>
      </c>
      <c r="F16" s="210">
        <v>1805900</v>
      </c>
      <c r="G16" s="208">
        <v>1879000</v>
      </c>
      <c r="H16" s="79">
        <v>3.3300000000000003E-2</v>
      </c>
      <c r="I16" s="77">
        <f t="shared" si="3"/>
        <v>62570.700000000004</v>
      </c>
      <c r="J16" s="78">
        <f t="shared" si="0"/>
        <v>1941570.7</v>
      </c>
      <c r="K16" s="148">
        <f>+J16-21</f>
        <v>1941549.7</v>
      </c>
    </row>
    <row r="17" spans="1:15" ht="37.5" customHeight="1">
      <c r="A17" s="204">
        <v>12</v>
      </c>
      <c r="B17" s="205" t="s">
        <v>12</v>
      </c>
      <c r="C17" s="206" t="s">
        <v>24</v>
      </c>
      <c r="D17" s="209">
        <v>1608000</v>
      </c>
      <c r="E17" s="207">
        <v>1696000</v>
      </c>
      <c r="F17" s="210">
        <v>1805900</v>
      </c>
      <c r="G17" s="208">
        <v>1879000</v>
      </c>
      <c r="H17" s="79">
        <v>3.3300000000000003E-2</v>
      </c>
      <c r="I17" s="77">
        <f t="shared" si="3"/>
        <v>62570.700000000004</v>
      </c>
      <c r="J17" s="78">
        <f t="shared" si="0"/>
        <v>1941570.7</v>
      </c>
      <c r="K17" s="148">
        <f t="shared" ref="K17" si="6">+J17-21</f>
        <v>1941549.7</v>
      </c>
    </row>
    <row r="18" spans="1:15" ht="37.5" customHeight="1">
      <c r="A18" s="211">
        <v>13</v>
      </c>
      <c r="B18" s="212" t="s">
        <v>12</v>
      </c>
      <c r="C18" s="213" t="s">
        <v>19</v>
      </c>
      <c r="D18" s="214">
        <v>1679000</v>
      </c>
      <c r="E18" s="215">
        <v>1770800</v>
      </c>
      <c r="F18" s="216">
        <v>1885500</v>
      </c>
      <c r="G18" s="217">
        <v>1961900</v>
      </c>
      <c r="H18" s="79">
        <v>3.3300000000000003E-2</v>
      </c>
      <c r="I18" s="77">
        <f t="shared" si="3"/>
        <v>65331.270000000004</v>
      </c>
      <c r="J18" s="78">
        <f t="shared" si="0"/>
        <v>2027231.27</v>
      </c>
      <c r="K18" s="148">
        <f>+J18-31</f>
        <v>2027200.27</v>
      </c>
    </row>
    <row r="19" spans="1:15" ht="37.5" customHeight="1" thickBot="1">
      <c r="A19" s="218">
        <v>14</v>
      </c>
      <c r="B19" s="219" t="s">
        <v>12</v>
      </c>
      <c r="C19" s="220" t="s">
        <v>25</v>
      </c>
      <c r="D19" s="221">
        <v>1679000</v>
      </c>
      <c r="E19" s="222">
        <v>1770800</v>
      </c>
      <c r="F19" s="223">
        <v>1885500</v>
      </c>
      <c r="G19" s="224">
        <v>1961900</v>
      </c>
      <c r="H19" s="80">
        <v>3.3300000000000003E-2</v>
      </c>
      <c r="I19" s="81">
        <f t="shared" si="3"/>
        <v>65331.270000000004</v>
      </c>
      <c r="J19" s="82">
        <f t="shared" si="0"/>
        <v>2027231.27</v>
      </c>
      <c r="K19" s="149">
        <f>+J19-31</f>
        <v>2027200.27</v>
      </c>
    </row>
    <row r="20" spans="1:15" ht="16.5" customHeight="1" thickTop="1">
      <c r="A20" s="96"/>
      <c r="B20" s="97"/>
      <c r="C20" s="98"/>
      <c r="D20" s="99"/>
      <c r="E20" s="99"/>
      <c r="F20" s="99"/>
      <c r="G20" s="99"/>
      <c r="H20" s="100"/>
      <c r="I20" s="101"/>
      <c r="J20" s="99"/>
      <c r="K20" s="102"/>
    </row>
    <row r="21" spans="1:15" ht="9.75" customHeight="1">
      <c r="A21" s="96"/>
      <c r="B21" s="97"/>
      <c r="C21" s="98"/>
      <c r="D21" s="99"/>
      <c r="E21" s="99"/>
      <c r="F21" s="99"/>
      <c r="G21" s="99"/>
      <c r="H21" s="100"/>
      <c r="I21" s="101"/>
      <c r="J21" s="99"/>
      <c r="K21" s="102"/>
    </row>
    <row r="22" spans="1:15" ht="9.75" customHeight="1" thickBot="1">
      <c r="A22" s="96"/>
      <c r="B22" s="97"/>
      <c r="C22" s="98"/>
      <c r="D22" s="99"/>
      <c r="E22" s="99"/>
      <c r="F22" s="99"/>
      <c r="G22" s="99"/>
      <c r="H22" s="100"/>
      <c r="I22" s="101"/>
      <c r="J22" s="99"/>
      <c r="K22" s="102"/>
    </row>
    <row r="23" spans="1:15" ht="39.75" customHeight="1" thickTop="1">
      <c r="A23" s="794" t="s">
        <v>26</v>
      </c>
      <c r="B23" s="795"/>
      <c r="C23" s="795"/>
      <c r="D23" s="795"/>
      <c r="E23" s="795"/>
      <c r="F23" s="795"/>
      <c r="G23" s="795"/>
      <c r="H23" s="795"/>
      <c r="I23" s="795"/>
      <c r="J23" s="795"/>
      <c r="K23" s="796"/>
    </row>
    <row r="24" spans="1:15" s="103" customFormat="1" ht="24.75" customHeight="1">
      <c r="A24" s="802" t="s">
        <v>4</v>
      </c>
      <c r="B24" s="801" t="s">
        <v>5</v>
      </c>
      <c r="C24" s="801" t="s">
        <v>6</v>
      </c>
      <c r="D24" s="797" t="s">
        <v>7</v>
      </c>
      <c r="E24" s="797" t="s">
        <v>74</v>
      </c>
      <c r="F24" s="798" t="s">
        <v>75</v>
      </c>
      <c r="G24" s="786" t="s">
        <v>79</v>
      </c>
      <c r="H24" s="799" t="s">
        <v>112</v>
      </c>
      <c r="I24" s="799"/>
      <c r="J24" s="799"/>
      <c r="K24" s="800"/>
    </row>
    <row r="25" spans="1:15" s="103" customFormat="1" ht="31.5" customHeight="1">
      <c r="A25" s="802"/>
      <c r="B25" s="801"/>
      <c r="C25" s="801"/>
      <c r="D25" s="797"/>
      <c r="E25" s="797"/>
      <c r="F25" s="798"/>
      <c r="G25" s="787"/>
      <c r="H25" s="172" t="s">
        <v>80</v>
      </c>
      <c r="I25" s="173" t="s">
        <v>81</v>
      </c>
      <c r="J25" s="173" t="s">
        <v>82</v>
      </c>
      <c r="K25" s="174" t="s">
        <v>83</v>
      </c>
    </row>
    <row r="26" spans="1:15" s="103" customFormat="1" ht="32.25" customHeight="1">
      <c r="A26" s="104">
        <v>1</v>
      </c>
      <c r="B26" s="105" t="s">
        <v>27</v>
      </c>
      <c r="C26" s="106" t="s">
        <v>108</v>
      </c>
      <c r="D26" s="107">
        <v>0</v>
      </c>
      <c r="E26" s="107">
        <v>0</v>
      </c>
      <c r="F26" s="108">
        <v>4300000</v>
      </c>
      <c r="G26" s="109">
        <v>4474150</v>
      </c>
      <c r="H26" s="150">
        <v>3.3300000000000003E-2</v>
      </c>
      <c r="I26" s="151">
        <f>+G26*H26</f>
        <v>148989.19500000001</v>
      </c>
      <c r="J26" s="152">
        <f>+G26+I26</f>
        <v>4623139.1950000003</v>
      </c>
      <c r="K26" s="153">
        <f>+J26-39</f>
        <v>4623100.1950000003</v>
      </c>
    </row>
    <row r="27" spans="1:15" s="103" customFormat="1" ht="32.25" customHeight="1" thickBot="1">
      <c r="A27" s="110">
        <v>2</v>
      </c>
      <c r="B27" s="89" t="s">
        <v>27</v>
      </c>
      <c r="C27" s="90" t="s">
        <v>28</v>
      </c>
      <c r="D27" s="94">
        <v>3200550</v>
      </c>
      <c r="E27" s="94">
        <v>3375600</v>
      </c>
      <c r="F27" s="111">
        <v>3594300</v>
      </c>
      <c r="G27" s="111">
        <v>3739900</v>
      </c>
      <c r="H27" s="154">
        <v>3.3300000000000003E-2</v>
      </c>
      <c r="I27" s="151">
        <f t="shared" ref="I27:I31" si="7">+G27*H27</f>
        <v>124538.67000000001</v>
      </c>
      <c r="J27" s="152">
        <f t="shared" ref="J27:J31" si="8">+G27+I27</f>
        <v>3864438.67</v>
      </c>
      <c r="K27" s="153">
        <f>+J27-39</f>
        <v>3864399.67</v>
      </c>
    </row>
    <row r="28" spans="1:15" s="103" customFormat="1" ht="32.25" customHeight="1" thickTop="1">
      <c r="A28" s="112">
        <v>3</v>
      </c>
      <c r="B28" s="113" t="s">
        <v>27</v>
      </c>
      <c r="C28" s="114" t="s">
        <v>111</v>
      </c>
      <c r="D28" s="94">
        <v>0</v>
      </c>
      <c r="E28" s="94">
        <v>0</v>
      </c>
      <c r="F28" s="111">
        <v>0</v>
      </c>
      <c r="G28" s="111">
        <v>3849850</v>
      </c>
      <c r="H28" s="154">
        <v>3.3300000000000003E-2</v>
      </c>
      <c r="I28" s="151">
        <f t="shared" si="7"/>
        <v>128200.00500000002</v>
      </c>
      <c r="J28" s="152">
        <f t="shared" si="8"/>
        <v>3978050.0049999999</v>
      </c>
      <c r="K28" s="155">
        <f>ROUND(J28,-1)</f>
        <v>3978050</v>
      </c>
      <c r="O28" s="273"/>
    </row>
    <row r="29" spans="1:15" s="103" customFormat="1" ht="32.25" customHeight="1">
      <c r="A29" s="112">
        <v>4</v>
      </c>
      <c r="B29" s="113" t="s">
        <v>27</v>
      </c>
      <c r="C29" s="114" t="s">
        <v>113</v>
      </c>
      <c r="D29" s="94">
        <v>0</v>
      </c>
      <c r="E29" s="94">
        <v>0</v>
      </c>
      <c r="F29" s="111">
        <v>0</v>
      </c>
      <c r="G29" s="111">
        <v>3700000</v>
      </c>
      <c r="H29" s="154">
        <v>3.3300000000000003E-2</v>
      </c>
      <c r="I29" s="151">
        <f t="shared" si="7"/>
        <v>123210.00000000001</v>
      </c>
      <c r="J29" s="152">
        <f t="shared" si="8"/>
        <v>3823210</v>
      </c>
      <c r="K29" s="155">
        <f t="shared" ref="K29" si="9">ROUND(J29,-2)</f>
        <v>3823200</v>
      </c>
    </row>
    <row r="30" spans="1:15" s="103" customFormat="1" ht="32.25" customHeight="1">
      <c r="A30" s="112">
        <v>5</v>
      </c>
      <c r="B30" s="113" t="s">
        <v>27</v>
      </c>
      <c r="C30" s="114" t="s">
        <v>114</v>
      </c>
      <c r="D30" s="94">
        <v>0</v>
      </c>
      <c r="E30" s="94">
        <v>0</v>
      </c>
      <c r="F30" s="111">
        <v>0</v>
      </c>
      <c r="G30" s="111">
        <v>4351000</v>
      </c>
      <c r="H30" s="154">
        <v>3.3300000000000003E-2</v>
      </c>
      <c r="I30" s="151">
        <f t="shared" si="7"/>
        <v>144888.30000000002</v>
      </c>
      <c r="J30" s="152">
        <f t="shared" si="8"/>
        <v>4495888.3</v>
      </c>
      <c r="K30" s="155">
        <f>+J30-38</f>
        <v>4495850.3</v>
      </c>
    </row>
    <row r="31" spans="1:15" s="103" customFormat="1" ht="32.25" customHeight="1" thickBot="1">
      <c r="A31" s="110">
        <v>6</v>
      </c>
      <c r="B31" s="91" t="s">
        <v>27</v>
      </c>
      <c r="C31" s="92" t="s">
        <v>115</v>
      </c>
      <c r="D31" s="93">
        <v>0</v>
      </c>
      <c r="E31" s="93">
        <v>0</v>
      </c>
      <c r="F31" s="115">
        <v>0</v>
      </c>
      <c r="G31" s="115">
        <v>3200000</v>
      </c>
      <c r="H31" s="156">
        <v>3.3300000000000003E-2</v>
      </c>
      <c r="I31" s="157">
        <f t="shared" si="7"/>
        <v>106560.00000000001</v>
      </c>
      <c r="J31" s="158">
        <f t="shared" si="8"/>
        <v>3306560</v>
      </c>
      <c r="K31" s="159">
        <f>+J31-10</f>
        <v>3306550</v>
      </c>
    </row>
    <row r="32" spans="1:15" s="120" customFormat="1" ht="23.25" customHeight="1" thickTop="1" thickBot="1">
      <c r="A32" s="96"/>
      <c r="B32" s="96"/>
      <c r="C32" s="98"/>
      <c r="D32" s="116"/>
      <c r="E32" s="116"/>
      <c r="F32" s="116"/>
      <c r="G32" s="116"/>
      <c r="H32" s="117"/>
      <c r="I32" s="118"/>
      <c r="J32" s="116"/>
      <c r="K32" s="119"/>
    </row>
    <row r="33" spans="1:11" ht="32.25" customHeight="1" thickTop="1">
      <c r="B33" s="788" t="s">
        <v>29</v>
      </c>
      <c r="C33" s="789"/>
      <c r="D33" s="789"/>
      <c r="E33" s="789"/>
      <c r="F33" s="789"/>
      <c r="G33" s="789"/>
      <c r="H33" s="789"/>
      <c r="I33" s="789"/>
      <c r="J33" s="789"/>
      <c r="K33" s="790"/>
    </row>
    <row r="34" spans="1:11" ht="39.75" customHeight="1">
      <c r="A34" s="121"/>
      <c r="B34" s="122" t="s">
        <v>4</v>
      </c>
      <c r="C34" s="123" t="s">
        <v>29</v>
      </c>
      <c r="D34" s="124" t="s">
        <v>84</v>
      </c>
      <c r="E34" s="124" t="s">
        <v>85</v>
      </c>
      <c r="F34" s="125" t="s">
        <v>86</v>
      </c>
      <c r="G34" s="126" t="s">
        <v>116</v>
      </c>
      <c r="H34" s="169" t="s">
        <v>80</v>
      </c>
      <c r="I34" s="170" t="s">
        <v>81</v>
      </c>
      <c r="J34" s="170" t="s">
        <v>82</v>
      </c>
      <c r="K34" s="171" t="s">
        <v>83</v>
      </c>
    </row>
    <row r="35" spans="1:11" ht="20.25" customHeight="1">
      <c r="A35" s="121"/>
      <c r="B35" s="127">
        <v>1</v>
      </c>
      <c r="C35" s="128" t="s">
        <v>87</v>
      </c>
      <c r="D35" s="129">
        <v>59400</v>
      </c>
      <c r="E35" s="107">
        <v>62600</v>
      </c>
      <c r="F35" s="109">
        <v>66600</v>
      </c>
      <c r="G35" s="130">
        <v>69300</v>
      </c>
      <c r="H35" s="160">
        <v>3.3300000000000003E-2</v>
      </c>
      <c r="I35" s="161">
        <f>+G35*H35</f>
        <v>2307.69</v>
      </c>
      <c r="J35" s="162">
        <f t="shared" ref="J35:J55" si="10">+G35+I35</f>
        <v>71607.69</v>
      </c>
      <c r="K35" s="163">
        <f>+J35-8</f>
        <v>71599.69</v>
      </c>
    </row>
    <row r="36" spans="1:11" ht="20.25" customHeight="1">
      <c r="A36" s="121"/>
      <c r="B36" s="131">
        <v>2</v>
      </c>
      <c r="C36" s="132" t="s">
        <v>88</v>
      </c>
      <c r="D36" s="133">
        <v>37800</v>
      </c>
      <c r="E36" s="94">
        <v>39900</v>
      </c>
      <c r="F36" s="111">
        <v>42450</v>
      </c>
      <c r="G36" s="134">
        <v>44200</v>
      </c>
      <c r="H36" s="164">
        <v>3.3300000000000003E-2</v>
      </c>
      <c r="I36" s="161">
        <f t="shared" ref="I36:I55" si="11">+G36*H36</f>
        <v>1471.8600000000001</v>
      </c>
      <c r="J36" s="162">
        <f t="shared" si="10"/>
        <v>45671.86</v>
      </c>
      <c r="K36" s="165">
        <f>+J36-22</f>
        <v>45649.86</v>
      </c>
    </row>
    <row r="37" spans="1:11" ht="20.25" customHeight="1">
      <c r="A37" s="121"/>
      <c r="B37" s="131">
        <v>3</v>
      </c>
      <c r="C37" s="132" t="s">
        <v>89</v>
      </c>
      <c r="D37" s="133">
        <v>37800</v>
      </c>
      <c r="E37" s="94">
        <v>39900</v>
      </c>
      <c r="F37" s="111">
        <v>66222</v>
      </c>
      <c r="G37" s="134">
        <v>68900</v>
      </c>
      <c r="H37" s="164">
        <v>3.3300000000000003E-2</v>
      </c>
      <c r="I37" s="161">
        <f t="shared" si="11"/>
        <v>2294.3700000000003</v>
      </c>
      <c r="J37" s="162">
        <f t="shared" si="10"/>
        <v>71194.37</v>
      </c>
      <c r="K37" s="165">
        <f>+J37-44</f>
        <v>71150.37</v>
      </c>
    </row>
    <row r="38" spans="1:11" ht="20.25" customHeight="1">
      <c r="A38" s="121"/>
      <c r="B38" s="131">
        <v>4</v>
      </c>
      <c r="C38" s="135" t="s">
        <v>90</v>
      </c>
      <c r="D38" s="133">
        <v>315600</v>
      </c>
      <c r="E38" s="94">
        <v>332900</v>
      </c>
      <c r="F38" s="111">
        <v>354450</v>
      </c>
      <c r="G38" s="134">
        <v>368800</v>
      </c>
      <c r="H38" s="164">
        <v>3.3300000000000003E-2</v>
      </c>
      <c r="I38" s="161">
        <f t="shared" si="11"/>
        <v>12281.04</v>
      </c>
      <c r="J38" s="162">
        <f t="shared" si="10"/>
        <v>381081.04</v>
      </c>
      <c r="K38" s="165">
        <f>+J38-31</f>
        <v>381050.04</v>
      </c>
    </row>
    <row r="39" spans="1:11" ht="20.25" customHeight="1">
      <c r="A39" s="121"/>
      <c r="B39" s="131">
        <v>5</v>
      </c>
      <c r="C39" s="135" t="s">
        <v>91</v>
      </c>
      <c r="D39" s="133"/>
      <c r="E39" s="94">
        <v>480000</v>
      </c>
      <c r="F39" s="111">
        <v>511100</v>
      </c>
      <c r="G39" s="134">
        <v>531800</v>
      </c>
      <c r="H39" s="164">
        <v>3.3300000000000003E-2</v>
      </c>
      <c r="I39" s="161">
        <f t="shared" si="11"/>
        <v>17708.940000000002</v>
      </c>
      <c r="J39" s="162">
        <f t="shared" si="10"/>
        <v>549508.93999999994</v>
      </c>
      <c r="K39" s="165">
        <f>+J39-9</f>
        <v>549499.93999999994</v>
      </c>
    </row>
    <row r="40" spans="1:11" ht="20.25" customHeight="1">
      <c r="A40" s="121"/>
      <c r="B40" s="131">
        <v>6</v>
      </c>
      <c r="C40" s="136" t="s">
        <v>92</v>
      </c>
      <c r="D40" s="133">
        <v>7800</v>
      </c>
      <c r="E40" s="94">
        <v>8200</v>
      </c>
      <c r="F40" s="111">
        <v>8700</v>
      </c>
      <c r="G40" s="134">
        <v>9050</v>
      </c>
      <c r="H40" s="164">
        <v>3.3300000000000003E-2</v>
      </c>
      <c r="I40" s="161">
        <f t="shared" si="11"/>
        <v>301.36500000000001</v>
      </c>
      <c r="J40" s="162">
        <f t="shared" si="10"/>
        <v>9351.3649999999998</v>
      </c>
      <c r="K40" s="165">
        <f t="shared" ref="K40" si="12">ROUND(J40,-1)</f>
        <v>9350</v>
      </c>
    </row>
    <row r="41" spans="1:11" ht="20.25" customHeight="1">
      <c r="A41" s="121"/>
      <c r="B41" s="131">
        <v>7</v>
      </c>
      <c r="C41" s="135" t="s">
        <v>93</v>
      </c>
      <c r="D41" s="133">
        <v>115700</v>
      </c>
      <c r="E41" s="94">
        <v>122000</v>
      </c>
      <c r="F41" s="111">
        <v>129900</v>
      </c>
      <c r="G41" s="134">
        <v>135200</v>
      </c>
      <c r="H41" s="164">
        <v>3.3300000000000003E-2</v>
      </c>
      <c r="I41" s="161">
        <f t="shared" si="11"/>
        <v>4502.1600000000008</v>
      </c>
      <c r="J41" s="162">
        <f t="shared" si="10"/>
        <v>139702.16</v>
      </c>
      <c r="K41" s="165">
        <f>ROUND(J41,-2)</f>
        <v>139700</v>
      </c>
    </row>
    <row r="42" spans="1:11" ht="20.25" customHeight="1">
      <c r="A42" s="121"/>
      <c r="B42" s="131">
        <v>8</v>
      </c>
      <c r="C42" s="135" t="s">
        <v>94</v>
      </c>
      <c r="D42" s="133">
        <v>206000</v>
      </c>
      <c r="E42" s="94">
        <v>217300</v>
      </c>
      <c r="F42" s="111">
        <v>231350</v>
      </c>
      <c r="G42" s="134">
        <v>240700</v>
      </c>
      <c r="H42" s="164">
        <v>3.3300000000000003E-2</v>
      </c>
      <c r="I42" s="161">
        <f t="shared" si="11"/>
        <v>8015.31</v>
      </c>
      <c r="J42" s="162">
        <f t="shared" si="10"/>
        <v>248715.31</v>
      </c>
      <c r="K42" s="165">
        <f>+J42-15</f>
        <v>248700.31</v>
      </c>
    </row>
    <row r="43" spans="1:11" ht="20.25" customHeight="1">
      <c r="A43" s="121"/>
      <c r="B43" s="131">
        <v>9</v>
      </c>
      <c r="C43" s="135" t="s">
        <v>95</v>
      </c>
      <c r="D43" s="133">
        <v>5200</v>
      </c>
      <c r="E43" s="94">
        <v>5500</v>
      </c>
      <c r="F43" s="111">
        <v>5850</v>
      </c>
      <c r="G43" s="134">
        <v>6100</v>
      </c>
      <c r="H43" s="164">
        <v>3.3300000000000003E-2</v>
      </c>
      <c r="I43" s="161">
        <f t="shared" si="11"/>
        <v>203.13000000000002</v>
      </c>
      <c r="J43" s="162">
        <f t="shared" si="10"/>
        <v>6303.13</v>
      </c>
      <c r="K43" s="165">
        <f t="shared" ref="K43:K50" si="13">ROUND(J43,-2)</f>
        <v>6300</v>
      </c>
    </row>
    <row r="44" spans="1:11" ht="20.25" customHeight="1">
      <c r="A44" s="121"/>
      <c r="B44" s="131">
        <v>10</v>
      </c>
      <c r="C44" s="135" t="s">
        <v>96</v>
      </c>
      <c r="D44" s="133">
        <v>59500</v>
      </c>
      <c r="E44" s="94">
        <v>62800</v>
      </c>
      <c r="F44" s="111">
        <v>66850</v>
      </c>
      <c r="G44" s="134">
        <v>69600</v>
      </c>
      <c r="H44" s="164">
        <v>3.3300000000000003E-2</v>
      </c>
      <c r="I44" s="161">
        <f t="shared" si="11"/>
        <v>2317.6800000000003</v>
      </c>
      <c r="J44" s="162">
        <f t="shared" si="10"/>
        <v>71917.679999999993</v>
      </c>
      <c r="K44" s="165">
        <f t="shared" si="13"/>
        <v>71900</v>
      </c>
    </row>
    <row r="45" spans="1:11" ht="20.25" customHeight="1">
      <c r="A45" s="121"/>
      <c r="B45" s="131">
        <v>11</v>
      </c>
      <c r="C45" s="135" t="s">
        <v>97</v>
      </c>
      <c r="D45" s="133">
        <v>17900</v>
      </c>
      <c r="E45" s="94">
        <v>18900</v>
      </c>
      <c r="F45" s="111">
        <v>20100</v>
      </c>
      <c r="G45" s="134">
        <v>20900</v>
      </c>
      <c r="H45" s="164">
        <v>3.3300000000000003E-2</v>
      </c>
      <c r="I45" s="161">
        <f t="shared" si="11"/>
        <v>695.97</v>
      </c>
      <c r="J45" s="162">
        <f t="shared" si="10"/>
        <v>21595.97</v>
      </c>
      <c r="K45" s="165">
        <f>+J45-46</f>
        <v>21549.97</v>
      </c>
    </row>
    <row r="46" spans="1:11" ht="20.25" customHeight="1">
      <c r="A46" s="121"/>
      <c r="B46" s="131">
        <v>12</v>
      </c>
      <c r="C46" s="135" t="s">
        <v>98</v>
      </c>
      <c r="D46" s="133">
        <v>11600</v>
      </c>
      <c r="E46" s="94">
        <v>12200</v>
      </c>
      <c r="F46" s="111">
        <v>12950</v>
      </c>
      <c r="G46" s="134">
        <v>13500</v>
      </c>
      <c r="H46" s="164">
        <v>3.3300000000000003E-2</v>
      </c>
      <c r="I46" s="161">
        <f t="shared" si="11"/>
        <v>449.55000000000007</v>
      </c>
      <c r="J46" s="162">
        <f t="shared" si="10"/>
        <v>13949.55</v>
      </c>
      <c r="K46" s="165">
        <f>ROUND(J46,-1)</f>
        <v>13950</v>
      </c>
    </row>
    <row r="47" spans="1:11" ht="20.25" customHeight="1">
      <c r="A47" s="121"/>
      <c r="B47" s="131">
        <v>13</v>
      </c>
      <c r="C47" s="135" t="s">
        <v>99</v>
      </c>
      <c r="D47" s="133">
        <v>0</v>
      </c>
      <c r="E47" s="94">
        <v>196200</v>
      </c>
      <c r="F47" s="111">
        <v>208900</v>
      </c>
      <c r="G47" s="134">
        <v>217400</v>
      </c>
      <c r="H47" s="164">
        <v>3.3300000000000003E-2</v>
      </c>
      <c r="I47" s="161">
        <f t="shared" si="11"/>
        <v>7239.420000000001</v>
      </c>
      <c r="J47" s="162">
        <f t="shared" si="10"/>
        <v>224639.42</v>
      </c>
      <c r="K47" s="165">
        <f>+J47-39</f>
        <v>224600.42</v>
      </c>
    </row>
    <row r="48" spans="1:11" ht="20.25" customHeight="1">
      <c r="A48" s="121"/>
      <c r="B48" s="131">
        <v>14</v>
      </c>
      <c r="C48" s="135" t="s">
        <v>100</v>
      </c>
      <c r="D48" s="133">
        <v>0</v>
      </c>
      <c r="E48" s="94">
        <v>0</v>
      </c>
      <c r="F48" s="111">
        <v>325884</v>
      </c>
      <c r="G48" s="134">
        <v>339100</v>
      </c>
      <c r="H48" s="164">
        <v>3.3300000000000003E-2</v>
      </c>
      <c r="I48" s="161">
        <f t="shared" si="11"/>
        <v>11292.03</v>
      </c>
      <c r="J48" s="162">
        <f t="shared" si="10"/>
        <v>350392.03</v>
      </c>
      <c r="K48" s="165">
        <f>+J48-42</f>
        <v>350350.03</v>
      </c>
    </row>
    <row r="49" spans="1:11" ht="20.25" customHeight="1">
      <c r="A49" s="121"/>
      <c r="B49" s="131">
        <v>15</v>
      </c>
      <c r="C49" s="135" t="s">
        <v>101</v>
      </c>
      <c r="D49" s="133">
        <v>36700</v>
      </c>
      <c r="E49" s="94">
        <v>38700</v>
      </c>
      <c r="F49" s="111">
        <v>41200</v>
      </c>
      <c r="G49" s="134">
        <v>42900</v>
      </c>
      <c r="H49" s="164">
        <v>3.3300000000000003E-2</v>
      </c>
      <c r="I49" s="161">
        <f t="shared" si="11"/>
        <v>1428.5700000000002</v>
      </c>
      <c r="J49" s="162">
        <f t="shared" si="10"/>
        <v>44328.57</v>
      </c>
      <c r="K49" s="165">
        <f>+J49-29</f>
        <v>44299.57</v>
      </c>
    </row>
    <row r="50" spans="1:11" ht="20.25" customHeight="1">
      <c r="A50" s="121"/>
      <c r="B50" s="131">
        <v>16</v>
      </c>
      <c r="C50" s="135" t="s">
        <v>102</v>
      </c>
      <c r="D50" s="133">
        <v>0</v>
      </c>
      <c r="E50" s="94">
        <v>0</v>
      </c>
      <c r="F50" s="111">
        <v>64272</v>
      </c>
      <c r="G50" s="134">
        <v>66900</v>
      </c>
      <c r="H50" s="164">
        <v>3.3300000000000003E-2</v>
      </c>
      <c r="I50" s="161">
        <f t="shared" si="11"/>
        <v>2227.7700000000004</v>
      </c>
      <c r="J50" s="162">
        <f t="shared" si="10"/>
        <v>69127.77</v>
      </c>
      <c r="K50" s="165">
        <f t="shared" si="13"/>
        <v>69100</v>
      </c>
    </row>
    <row r="51" spans="1:11" ht="20.25" customHeight="1">
      <c r="A51" s="121"/>
      <c r="B51" s="131">
        <v>17</v>
      </c>
      <c r="C51" s="135" t="s">
        <v>103</v>
      </c>
      <c r="D51" s="133">
        <v>225000</v>
      </c>
      <c r="E51" s="94">
        <v>237300</v>
      </c>
      <c r="F51" s="111">
        <v>252650</v>
      </c>
      <c r="G51" s="134">
        <v>262900</v>
      </c>
      <c r="H51" s="164">
        <v>3.3300000000000003E-2</v>
      </c>
      <c r="I51" s="161">
        <f t="shared" si="11"/>
        <v>8754.5700000000015</v>
      </c>
      <c r="J51" s="162">
        <f t="shared" si="10"/>
        <v>271654.57</v>
      </c>
      <c r="K51" s="165">
        <f>+J51-5</f>
        <v>271649.57</v>
      </c>
    </row>
    <row r="52" spans="1:11" ht="20.25" customHeight="1">
      <c r="A52" s="121"/>
      <c r="B52" s="131">
        <v>18</v>
      </c>
      <c r="C52" s="135" t="s">
        <v>104</v>
      </c>
      <c r="D52" s="133">
        <v>0</v>
      </c>
      <c r="E52" s="94">
        <v>0</v>
      </c>
      <c r="F52" s="111">
        <v>605000</v>
      </c>
      <c r="G52" s="134">
        <v>629500</v>
      </c>
      <c r="H52" s="164">
        <v>3.3300000000000003E-2</v>
      </c>
      <c r="I52" s="161">
        <f t="shared" si="11"/>
        <v>20962.350000000002</v>
      </c>
      <c r="J52" s="162">
        <f t="shared" si="10"/>
        <v>650462.35</v>
      </c>
      <c r="K52" s="165">
        <f>+J52-12</f>
        <v>650450.35</v>
      </c>
    </row>
    <row r="53" spans="1:11" ht="20.25" customHeight="1">
      <c r="A53" s="121"/>
      <c r="B53" s="131">
        <v>19</v>
      </c>
      <c r="C53" s="135" t="s">
        <v>105</v>
      </c>
      <c r="D53" s="133">
        <v>0</v>
      </c>
      <c r="E53" s="94">
        <v>0</v>
      </c>
      <c r="F53" s="111">
        <v>1080000</v>
      </c>
      <c r="G53" s="134">
        <v>1123700</v>
      </c>
      <c r="H53" s="164">
        <v>3.3300000000000003E-2</v>
      </c>
      <c r="I53" s="161">
        <f t="shared" si="11"/>
        <v>37419.210000000006</v>
      </c>
      <c r="J53" s="162">
        <f t="shared" si="10"/>
        <v>1161119.21</v>
      </c>
      <c r="K53" s="165">
        <f>ROUND(J53,-2)</f>
        <v>1161100</v>
      </c>
    </row>
    <row r="54" spans="1:11" ht="20.25" customHeight="1">
      <c r="A54" s="121"/>
      <c r="B54" s="131">
        <v>20</v>
      </c>
      <c r="C54" s="135" t="s">
        <v>106</v>
      </c>
      <c r="D54" s="133">
        <v>0</v>
      </c>
      <c r="E54" s="94">
        <v>0</v>
      </c>
      <c r="F54" s="111">
        <v>405000</v>
      </c>
      <c r="G54" s="134">
        <v>421400</v>
      </c>
      <c r="H54" s="164">
        <v>3.3300000000000003E-2</v>
      </c>
      <c r="I54" s="161">
        <f t="shared" si="11"/>
        <v>14032.62</v>
      </c>
      <c r="J54" s="162">
        <f t="shared" si="10"/>
        <v>435432.62</v>
      </c>
      <c r="K54" s="165">
        <f>+J54-33</f>
        <v>435399.62</v>
      </c>
    </row>
    <row r="55" spans="1:11" ht="20.25" customHeight="1">
      <c r="A55" s="121"/>
      <c r="B55" s="131">
        <v>21</v>
      </c>
      <c r="C55" s="135" t="s">
        <v>107</v>
      </c>
      <c r="D55" s="133">
        <v>0</v>
      </c>
      <c r="E55" s="94">
        <v>0</v>
      </c>
      <c r="F55" s="111">
        <v>720000</v>
      </c>
      <c r="G55" s="134">
        <v>749200</v>
      </c>
      <c r="H55" s="164">
        <v>3.3300000000000003E-2</v>
      </c>
      <c r="I55" s="242">
        <f t="shared" si="11"/>
        <v>24948.360000000004</v>
      </c>
      <c r="J55" s="162">
        <f t="shared" si="10"/>
        <v>774148.36</v>
      </c>
      <c r="K55" s="165">
        <f>+J55-48</f>
        <v>774100.36</v>
      </c>
    </row>
    <row r="56" spans="1:11" ht="20.25" customHeight="1">
      <c r="A56" s="121"/>
      <c r="B56" s="244">
        <v>22</v>
      </c>
      <c r="C56" s="245" t="s">
        <v>119</v>
      </c>
      <c r="D56" s="246"/>
      <c r="E56" s="247"/>
      <c r="F56" s="248"/>
      <c r="G56" s="249"/>
      <c r="H56" s="250"/>
      <c r="I56" s="251"/>
      <c r="J56" s="247"/>
      <c r="K56" s="252">
        <v>2500</v>
      </c>
    </row>
    <row r="57" spans="1:11" ht="20.25" customHeight="1">
      <c r="A57" s="121"/>
      <c r="B57" s="253">
        <v>23</v>
      </c>
      <c r="C57" s="254" t="s">
        <v>120</v>
      </c>
      <c r="D57" s="255"/>
      <c r="E57" s="256"/>
      <c r="F57" s="257"/>
      <c r="G57" s="258"/>
      <c r="H57" s="259"/>
      <c r="I57" s="251"/>
      <c r="J57" s="256"/>
      <c r="K57" s="260">
        <v>40000</v>
      </c>
    </row>
    <row r="58" spans="1:11" ht="20.25" customHeight="1" thickBot="1">
      <c r="A58" s="121"/>
      <c r="B58" s="261">
        <v>24</v>
      </c>
      <c r="C58" s="262" t="s">
        <v>121</v>
      </c>
      <c r="D58" s="263"/>
      <c r="E58" s="264"/>
      <c r="F58" s="265"/>
      <c r="G58" s="266"/>
      <c r="H58" s="267"/>
      <c r="I58" s="268"/>
      <c r="J58" s="264"/>
      <c r="K58" s="269"/>
    </row>
    <row r="59" spans="1:11" ht="16.5" thickTop="1">
      <c r="C59" s="84" t="s">
        <v>117</v>
      </c>
    </row>
    <row r="60" spans="1:11">
      <c r="C60" s="84" t="s">
        <v>118</v>
      </c>
    </row>
  </sheetData>
  <mergeCells count="20">
    <mergeCell ref="B33:K33"/>
    <mergeCell ref="A23:K23"/>
    <mergeCell ref="A24:A25"/>
    <mergeCell ref="B24:B25"/>
    <mergeCell ref="C24:C25"/>
    <mergeCell ref="D24:D25"/>
    <mergeCell ref="E24:E25"/>
    <mergeCell ref="F24:F25"/>
    <mergeCell ref="G24:G25"/>
    <mergeCell ref="H24:K24"/>
    <mergeCell ref="A1:K1"/>
    <mergeCell ref="A3:K3"/>
    <mergeCell ref="A4:A5"/>
    <mergeCell ref="B4:B5"/>
    <mergeCell ref="C4:C5"/>
    <mergeCell ref="D4:D5"/>
    <mergeCell ref="E4:E5"/>
    <mergeCell ref="F4:F5"/>
    <mergeCell ref="G4:G5"/>
    <mergeCell ref="H4:K4"/>
  </mergeCells>
  <pageMargins left="0.70866141732283472" right="0.31496062992125984" top="0.35433070866141736" bottom="0.15748031496062992" header="0.31496062992125984" footer="0.31496062992125984"/>
  <pageSetup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O62"/>
  <sheetViews>
    <sheetView zoomScale="80" zoomScaleNormal="80" workbookViewId="0">
      <selection activeCell="M5" sqref="M5"/>
    </sheetView>
  </sheetViews>
  <sheetFormatPr baseColWidth="10" defaultRowHeight="15.75"/>
  <cols>
    <col min="1" max="1" width="4.28515625" style="84" customWidth="1"/>
    <col min="2" max="2" width="6.85546875" style="84" customWidth="1"/>
    <col min="3" max="3" width="53.42578125" style="84" customWidth="1"/>
    <col min="4" max="4" width="14.42578125" style="141" hidden="1" customWidth="1"/>
    <col min="5" max="6" width="14.42578125" style="142" hidden="1" customWidth="1"/>
    <col min="7" max="7" width="14.42578125" style="142" customWidth="1"/>
    <col min="8" max="8" width="14.28515625" style="143" customWidth="1"/>
    <col min="9" max="9" width="14.85546875" style="141" customWidth="1"/>
    <col min="10" max="10" width="13.140625" style="142" bestFit="1" customWidth="1"/>
    <col min="11" max="11" width="13.85546875" style="144" customWidth="1"/>
    <col min="12" max="12" width="13.42578125" style="84" bestFit="1" customWidth="1"/>
    <col min="13" max="14" width="11.42578125" style="84"/>
    <col min="15" max="15" width="14.28515625" style="84" bestFit="1" customWidth="1"/>
    <col min="16" max="16384" width="11.42578125" style="84"/>
  </cols>
  <sheetData>
    <row r="1" spans="1:12" ht="63" customHeight="1">
      <c r="A1" s="793" t="s">
        <v>122</v>
      </c>
      <c r="B1" s="793"/>
      <c r="C1" s="793"/>
      <c r="D1" s="793"/>
      <c r="E1" s="793"/>
      <c r="F1" s="793"/>
      <c r="G1" s="793"/>
      <c r="H1" s="793"/>
      <c r="I1" s="793"/>
      <c r="J1" s="793"/>
      <c r="K1" s="793"/>
    </row>
    <row r="2" spans="1:12" ht="18" customHeight="1" thickBot="1">
      <c r="A2" s="270"/>
      <c r="B2" s="270"/>
      <c r="C2" s="270"/>
      <c r="D2" s="270"/>
      <c r="E2" s="270"/>
      <c r="F2" s="270"/>
      <c r="G2" s="270"/>
      <c r="H2" s="270"/>
      <c r="I2" s="270"/>
      <c r="J2" s="270"/>
      <c r="K2" s="270"/>
    </row>
    <row r="3" spans="1:12" ht="42" customHeight="1" thickTop="1">
      <c r="A3" s="788" t="s">
        <v>3</v>
      </c>
      <c r="B3" s="789"/>
      <c r="C3" s="789"/>
      <c r="D3" s="789"/>
      <c r="E3" s="789"/>
      <c r="F3" s="789"/>
      <c r="G3" s="789"/>
      <c r="H3" s="789"/>
      <c r="I3" s="789"/>
      <c r="J3" s="789"/>
      <c r="K3" s="790"/>
    </row>
    <row r="4" spans="1:12" ht="24.75" customHeight="1">
      <c r="A4" s="782" t="s">
        <v>4</v>
      </c>
      <c r="B4" s="780" t="s">
        <v>5</v>
      </c>
      <c r="C4" s="780" t="s">
        <v>6</v>
      </c>
      <c r="D4" s="791" t="s">
        <v>7</v>
      </c>
      <c r="E4" s="791" t="s">
        <v>74</v>
      </c>
      <c r="F4" s="791" t="s">
        <v>75</v>
      </c>
      <c r="G4" s="784" t="s">
        <v>124</v>
      </c>
      <c r="H4" s="803" t="s">
        <v>126</v>
      </c>
      <c r="I4" s="804"/>
      <c r="J4" s="804"/>
      <c r="K4" s="805"/>
    </row>
    <row r="5" spans="1:12" ht="30.75" customHeight="1">
      <c r="A5" s="783"/>
      <c r="B5" s="781"/>
      <c r="C5" s="781"/>
      <c r="D5" s="792"/>
      <c r="E5" s="792"/>
      <c r="F5" s="792"/>
      <c r="G5" s="785"/>
      <c r="H5" s="86" t="s">
        <v>80</v>
      </c>
      <c r="I5" s="87" t="s">
        <v>81</v>
      </c>
      <c r="J5" s="87" t="s">
        <v>82</v>
      </c>
      <c r="K5" s="88" t="s">
        <v>83</v>
      </c>
    </row>
    <row r="6" spans="1:12" ht="25.5" customHeight="1">
      <c r="A6" s="177">
        <v>1</v>
      </c>
      <c r="B6" s="178" t="s">
        <v>12</v>
      </c>
      <c r="C6" s="179" t="s">
        <v>22</v>
      </c>
      <c r="D6" s="180">
        <v>1793000</v>
      </c>
      <c r="E6" s="180">
        <v>1891100</v>
      </c>
      <c r="F6" s="180">
        <v>2013600</v>
      </c>
      <c r="G6" s="181">
        <v>2164900.4950000001</v>
      </c>
      <c r="H6" s="182">
        <v>3.8600000000000002E-2</v>
      </c>
      <c r="I6" s="183">
        <f t="shared" ref="I6:I7" si="0">+G6*H6</f>
        <v>83565.159107000014</v>
      </c>
      <c r="J6" s="184">
        <f t="shared" ref="J6:J19" si="1">+G6+I6</f>
        <v>2248465.6541070002</v>
      </c>
      <c r="K6" s="185">
        <f>+J6-16</f>
        <v>2248449.6541070002</v>
      </c>
      <c r="L6" s="279"/>
    </row>
    <row r="7" spans="1:12" ht="43.5" customHeight="1">
      <c r="A7" s="288">
        <v>2</v>
      </c>
      <c r="B7" s="280" t="s">
        <v>12</v>
      </c>
      <c r="C7" s="281" t="s">
        <v>109</v>
      </c>
      <c r="D7" s="282">
        <v>0</v>
      </c>
      <c r="E7" s="283">
        <v>1646000</v>
      </c>
      <c r="F7" s="283">
        <v>1752600</v>
      </c>
      <c r="G7" s="284">
        <v>1884299.88</v>
      </c>
      <c r="H7" s="285">
        <v>3.8600000000000002E-2</v>
      </c>
      <c r="I7" s="286">
        <f t="shared" si="0"/>
        <v>72733.975367999999</v>
      </c>
      <c r="J7" s="283">
        <f t="shared" si="1"/>
        <v>1957033.855368</v>
      </c>
      <c r="K7" s="287">
        <f>+J7-34</f>
        <v>1956999.855368</v>
      </c>
      <c r="L7" s="279"/>
    </row>
    <row r="8" spans="1:12" ht="43.5" customHeight="1">
      <c r="A8" s="200">
        <v>3</v>
      </c>
      <c r="B8" s="201" t="s">
        <v>12</v>
      </c>
      <c r="C8" s="202" t="s">
        <v>16</v>
      </c>
      <c r="D8" s="78">
        <v>1793000</v>
      </c>
      <c r="E8" s="78">
        <v>1891100</v>
      </c>
      <c r="F8" s="78">
        <v>2013600</v>
      </c>
      <c r="G8" s="203">
        <v>2164900.4950000001</v>
      </c>
      <c r="H8" s="175">
        <v>3.8600000000000002E-2</v>
      </c>
      <c r="I8" s="77">
        <f>+G8*H8</f>
        <v>83565.159107000014</v>
      </c>
      <c r="J8" s="78">
        <f t="shared" ref="J8" si="2">+G8+I8</f>
        <v>2248465.6541070002</v>
      </c>
      <c r="K8" s="176">
        <f>+J8-16</f>
        <v>2248449.6541070002</v>
      </c>
      <c r="L8" s="279"/>
    </row>
    <row r="9" spans="1:12" ht="37.5" customHeight="1">
      <c r="A9" s="200">
        <v>4</v>
      </c>
      <c r="B9" s="201" t="s">
        <v>12</v>
      </c>
      <c r="C9" s="202" t="s">
        <v>13</v>
      </c>
      <c r="D9" s="78">
        <v>1793000</v>
      </c>
      <c r="E9" s="78">
        <v>1891100</v>
      </c>
      <c r="F9" s="78">
        <v>2013600</v>
      </c>
      <c r="G9" s="203">
        <v>2164950.16</v>
      </c>
      <c r="H9" s="175">
        <v>3.8600000000000002E-2</v>
      </c>
      <c r="I9" s="77">
        <f>+G9*H9</f>
        <v>83567.076176000017</v>
      </c>
      <c r="J9" s="78">
        <f t="shared" si="1"/>
        <v>2248517.236176</v>
      </c>
      <c r="K9" s="176">
        <f>+J9-17</f>
        <v>2248500.236176</v>
      </c>
      <c r="L9" s="279"/>
    </row>
    <row r="10" spans="1:12" ht="37.5" customHeight="1">
      <c r="A10" s="200">
        <v>5</v>
      </c>
      <c r="B10" s="201" t="s">
        <v>12</v>
      </c>
      <c r="C10" s="202" t="s">
        <v>14</v>
      </c>
      <c r="D10" s="78">
        <v>1793000</v>
      </c>
      <c r="E10" s="78">
        <v>1891100</v>
      </c>
      <c r="F10" s="78">
        <v>2013600</v>
      </c>
      <c r="G10" s="203">
        <v>2164900.4950000001</v>
      </c>
      <c r="H10" s="175">
        <v>3.8600000000000002E-2</v>
      </c>
      <c r="I10" s="77">
        <f>+G10*H10</f>
        <v>83565.159107000014</v>
      </c>
      <c r="J10" s="78">
        <f>+G10+I10</f>
        <v>2248465.6541070002</v>
      </c>
      <c r="K10" s="176">
        <f>+J10-16</f>
        <v>2248449.6541070002</v>
      </c>
      <c r="L10" s="279"/>
    </row>
    <row r="11" spans="1:12" ht="37.5" customHeight="1">
      <c r="A11" s="204">
        <v>6</v>
      </c>
      <c r="B11" s="205" t="s">
        <v>12</v>
      </c>
      <c r="C11" s="206" t="s">
        <v>15</v>
      </c>
      <c r="D11" s="207">
        <v>1793000</v>
      </c>
      <c r="E11" s="207">
        <v>1891100</v>
      </c>
      <c r="F11" s="207">
        <v>2013600</v>
      </c>
      <c r="G11" s="208">
        <v>2164900.4950000001</v>
      </c>
      <c r="H11" s="79">
        <v>3.8600000000000002E-2</v>
      </c>
      <c r="I11" s="77">
        <f t="shared" ref="I11:I19" si="3">+G11*H11</f>
        <v>83565.159107000014</v>
      </c>
      <c r="J11" s="78">
        <f t="shared" ref="J11:J13" si="4">+G11+I11</f>
        <v>2248465.6541070002</v>
      </c>
      <c r="K11" s="176">
        <f t="shared" ref="K11:K12" si="5">+J11-16</f>
        <v>2248449.6541070002</v>
      </c>
      <c r="L11" s="279"/>
    </row>
    <row r="12" spans="1:12" ht="37.5" customHeight="1">
      <c r="A12" s="204">
        <v>7</v>
      </c>
      <c r="B12" s="205" t="s">
        <v>12</v>
      </c>
      <c r="C12" s="206" t="s">
        <v>17</v>
      </c>
      <c r="D12" s="207">
        <v>1793000</v>
      </c>
      <c r="E12" s="207">
        <v>1891100</v>
      </c>
      <c r="F12" s="207">
        <v>2013600</v>
      </c>
      <c r="G12" s="208">
        <v>2164900.4950000001</v>
      </c>
      <c r="H12" s="79">
        <v>3.8600000000000002E-2</v>
      </c>
      <c r="I12" s="77">
        <f t="shared" si="3"/>
        <v>83565.159107000014</v>
      </c>
      <c r="J12" s="78">
        <f t="shared" si="4"/>
        <v>2248465.6541070002</v>
      </c>
      <c r="K12" s="176">
        <f t="shared" si="5"/>
        <v>2248449.6541070002</v>
      </c>
      <c r="L12" s="279"/>
    </row>
    <row r="13" spans="1:12" ht="37.5" customHeight="1">
      <c r="A13" s="204">
        <v>8</v>
      </c>
      <c r="B13" s="205" t="s">
        <v>12</v>
      </c>
      <c r="C13" s="206" t="s">
        <v>20</v>
      </c>
      <c r="D13" s="207">
        <v>1793000</v>
      </c>
      <c r="E13" s="207">
        <v>1891100</v>
      </c>
      <c r="F13" s="207">
        <v>2013600</v>
      </c>
      <c r="G13" s="208">
        <v>2164900.4950000001</v>
      </c>
      <c r="H13" s="79">
        <v>3.8600000000000002E-2</v>
      </c>
      <c r="I13" s="77">
        <f t="shared" si="3"/>
        <v>83565.159107000014</v>
      </c>
      <c r="J13" s="78">
        <f t="shared" si="4"/>
        <v>2248465.6541070002</v>
      </c>
      <c r="K13" s="176">
        <f>+J13-16</f>
        <v>2248449.6541070002</v>
      </c>
      <c r="L13" s="279"/>
    </row>
    <row r="14" spans="1:12" ht="37.5" customHeight="1">
      <c r="A14" s="204">
        <v>9</v>
      </c>
      <c r="B14" s="205" t="s">
        <v>12</v>
      </c>
      <c r="C14" s="206" t="s">
        <v>18</v>
      </c>
      <c r="D14" s="209">
        <v>1679000</v>
      </c>
      <c r="E14" s="207">
        <v>1770800</v>
      </c>
      <c r="F14" s="210">
        <v>1885500</v>
      </c>
      <c r="G14" s="208">
        <v>2027200.27</v>
      </c>
      <c r="H14" s="79">
        <v>3.8600000000000002E-2</v>
      </c>
      <c r="I14" s="77">
        <f t="shared" si="3"/>
        <v>78249.930422000005</v>
      </c>
      <c r="J14" s="78">
        <f t="shared" si="1"/>
        <v>2105450.2004220001</v>
      </c>
      <c r="K14" s="148">
        <f>+J14</f>
        <v>2105450.2004220001</v>
      </c>
      <c r="L14" s="279"/>
    </row>
    <row r="15" spans="1:12" ht="37.5" customHeight="1">
      <c r="A15" s="204">
        <v>10</v>
      </c>
      <c r="B15" s="205" t="s">
        <v>12</v>
      </c>
      <c r="C15" s="206" t="s">
        <v>21</v>
      </c>
      <c r="D15" s="209">
        <v>1465000</v>
      </c>
      <c r="E15" s="207">
        <v>1545100</v>
      </c>
      <c r="F15" s="210">
        <v>1645200</v>
      </c>
      <c r="G15" s="208">
        <v>1768799.94</v>
      </c>
      <c r="H15" s="79">
        <v>3.8600000000000002E-2</v>
      </c>
      <c r="I15" s="77">
        <f t="shared" si="3"/>
        <v>68275.677683999995</v>
      </c>
      <c r="J15" s="78">
        <f t="shared" si="1"/>
        <v>1837075.6176839999</v>
      </c>
      <c r="K15" s="148">
        <f>+J15-26</f>
        <v>1837049.6176839999</v>
      </c>
      <c r="L15" s="279"/>
    </row>
    <row r="16" spans="1:12" ht="37.5" customHeight="1">
      <c r="A16" s="204">
        <v>11</v>
      </c>
      <c r="B16" s="205" t="s">
        <v>12</v>
      </c>
      <c r="C16" s="206" t="s">
        <v>23</v>
      </c>
      <c r="D16" s="209">
        <v>1608000</v>
      </c>
      <c r="E16" s="207">
        <v>1696000</v>
      </c>
      <c r="F16" s="210">
        <v>1805900</v>
      </c>
      <c r="G16" s="208">
        <v>1941549.7</v>
      </c>
      <c r="H16" s="79">
        <v>3.8600000000000002E-2</v>
      </c>
      <c r="I16" s="77">
        <f t="shared" si="3"/>
        <v>74943.818419999996</v>
      </c>
      <c r="J16" s="78">
        <f t="shared" si="1"/>
        <v>2016493.5184199999</v>
      </c>
      <c r="K16" s="148">
        <f>+J16-44</f>
        <v>2016449.5184199999</v>
      </c>
      <c r="L16" s="279"/>
    </row>
    <row r="17" spans="1:15" ht="37.5" customHeight="1">
      <c r="A17" s="204">
        <v>12</v>
      </c>
      <c r="B17" s="205" t="s">
        <v>12</v>
      </c>
      <c r="C17" s="206" t="s">
        <v>24</v>
      </c>
      <c r="D17" s="209">
        <v>1608000</v>
      </c>
      <c r="E17" s="207">
        <v>1696000</v>
      </c>
      <c r="F17" s="210">
        <v>1805900</v>
      </c>
      <c r="G17" s="208">
        <v>1941549.7</v>
      </c>
      <c r="H17" s="79">
        <v>3.8600000000000002E-2</v>
      </c>
      <c r="I17" s="77">
        <f t="shared" si="3"/>
        <v>74943.818419999996</v>
      </c>
      <c r="J17" s="78">
        <f t="shared" si="1"/>
        <v>2016493.5184199999</v>
      </c>
      <c r="K17" s="148">
        <f>+J17-44</f>
        <v>2016449.5184199999</v>
      </c>
      <c r="L17" s="279"/>
    </row>
    <row r="18" spans="1:15" ht="37.5" customHeight="1">
      <c r="A18" s="211">
        <v>13</v>
      </c>
      <c r="B18" s="212" t="s">
        <v>12</v>
      </c>
      <c r="C18" s="213" t="s">
        <v>19</v>
      </c>
      <c r="D18" s="214">
        <v>1679000</v>
      </c>
      <c r="E18" s="215">
        <v>1770800</v>
      </c>
      <c r="F18" s="216">
        <v>1885500</v>
      </c>
      <c r="G18" s="217">
        <v>2027200.27</v>
      </c>
      <c r="H18" s="79">
        <v>3.8600000000000002E-2</v>
      </c>
      <c r="I18" s="77">
        <f t="shared" si="3"/>
        <v>78249.930422000005</v>
      </c>
      <c r="J18" s="78">
        <f t="shared" si="1"/>
        <v>2105450.2004220001</v>
      </c>
      <c r="K18" s="148">
        <f>+J18</f>
        <v>2105450.2004220001</v>
      </c>
      <c r="L18" s="279"/>
    </row>
    <row r="19" spans="1:15" ht="37.5" customHeight="1" thickBot="1">
      <c r="A19" s="218">
        <v>14</v>
      </c>
      <c r="B19" s="219" t="s">
        <v>12</v>
      </c>
      <c r="C19" s="220" t="s">
        <v>25</v>
      </c>
      <c r="D19" s="221">
        <v>1679000</v>
      </c>
      <c r="E19" s="222">
        <v>1770800</v>
      </c>
      <c r="F19" s="223">
        <v>1885500</v>
      </c>
      <c r="G19" s="224">
        <v>2027200.27</v>
      </c>
      <c r="H19" s="80">
        <v>3.8600000000000002E-2</v>
      </c>
      <c r="I19" s="81">
        <f t="shared" si="3"/>
        <v>78249.930422000005</v>
      </c>
      <c r="J19" s="82">
        <f t="shared" si="1"/>
        <v>2105450.2004220001</v>
      </c>
      <c r="K19" s="149">
        <f>+J19</f>
        <v>2105450.2004220001</v>
      </c>
      <c r="L19" s="279"/>
    </row>
    <row r="20" spans="1:15" ht="10.5" customHeight="1" thickTop="1">
      <c r="A20" s="96"/>
      <c r="B20" s="97"/>
      <c r="C20" s="98"/>
      <c r="D20" s="99"/>
      <c r="E20" s="99"/>
      <c r="F20" s="99"/>
      <c r="G20" s="99"/>
      <c r="H20" s="100"/>
      <c r="I20" s="101"/>
      <c r="J20" s="99"/>
      <c r="K20" s="102"/>
      <c r="L20" s="279"/>
    </row>
    <row r="21" spans="1:15" ht="10.5" customHeight="1">
      <c r="A21" s="96"/>
      <c r="B21" s="97"/>
      <c r="C21" s="98"/>
      <c r="D21" s="99"/>
      <c r="E21" s="99"/>
      <c r="F21" s="99"/>
      <c r="G21" s="99"/>
      <c r="H21" s="100"/>
      <c r="I21" s="101"/>
      <c r="J21" s="99"/>
      <c r="K21" s="102"/>
      <c r="L21" s="279"/>
    </row>
    <row r="22" spans="1:15" ht="10.5" customHeight="1" thickBot="1">
      <c r="A22" s="96"/>
      <c r="B22" s="97"/>
      <c r="C22" s="98"/>
      <c r="D22" s="99"/>
      <c r="E22" s="99"/>
      <c r="F22" s="99"/>
      <c r="G22" s="99"/>
      <c r="H22" s="100"/>
      <c r="I22" s="101"/>
      <c r="J22" s="99"/>
      <c r="K22" s="102"/>
      <c r="L22" s="279"/>
    </row>
    <row r="23" spans="1:15" ht="39.75" customHeight="1" thickTop="1">
      <c r="A23" s="794" t="s">
        <v>26</v>
      </c>
      <c r="B23" s="795"/>
      <c r="C23" s="795"/>
      <c r="D23" s="795"/>
      <c r="E23" s="795"/>
      <c r="F23" s="795"/>
      <c r="G23" s="795"/>
      <c r="H23" s="795"/>
      <c r="I23" s="795"/>
      <c r="J23" s="795"/>
      <c r="K23" s="796"/>
      <c r="L23" s="279"/>
    </row>
    <row r="24" spans="1:15" s="103" customFormat="1" ht="24.75" customHeight="1">
      <c r="A24" s="802" t="s">
        <v>4</v>
      </c>
      <c r="B24" s="801" t="s">
        <v>5</v>
      </c>
      <c r="C24" s="801" t="s">
        <v>6</v>
      </c>
      <c r="D24" s="797" t="s">
        <v>7</v>
      </c>
      <c r="E24" s="797" t="s">
        <v>74</v>
      </c>
      <c r="F24" s="798" t="s">
        <v>75</v>
      </c>
      <c r="G24" s="786" t="s">
        <v>124</v>
      </c>
      <c r="H24" s="799" t="s">
        <v>126</v>
      </c>
      <c r="I24" s="799"/>
      <c r="J24" s="799"/>
      <c r="K24" s="800"/>
      <c r="L24" s="279"/>
    </row>
    <row r="25" spans="1:15" s="103" customFormat="1" ht="31.5" customHeight="1">
      <c r="A25" s="802"/>
      <c r="B25" s="801"/>
      <c r="C25" s="801"/>
      <c r="D25" s="797"/>
      <c r="E25" s="797"/>
      <c r="F25" s="798"/>
      <c r="G25" s="787"/>
      <c r="H25" s="172" t="s">
        <v>80</v>
      </c>
      <c r="I25" s="173" t="s">
        <v>81</v>
      </c>
      <c r="J25" s="173" t="s">
        <v>82</v>
      </c>
      <c r="K25" s="174" t="s">
        <v>83</v>
      </c>
      <c r="L25" s="279"/>
    </row>
    <row r="26" spans="1:15" s="103" customFormat="1" ht="32.25" customHeight="1">
      <c r="A26" s="104">
        <v>1</v>
      </c>
      <c r="B26" s="290" t="s">
        <v>27</v>
      </c>
      <c r="C26" s="291" t="s">
        <v>108</v>
      </c>
      <c r="D26" s="292">
        <v>0</v>
      </c>
      <c r="E26" s="292">
        <v>0</v>
      </c>
      <c r="F26" s="292">
        <v>4300000</v>
      </c>
      <c r="G26" s="292">
        <v>4623100.1950000003</v>
      </c>
      <c r="H26" s="293">
        <v>3.8600000000000002E-2</v>
      </c>
      <c r="I26" s="294">
        <f>+G26*H26</f>
        <v>178451.66752700001</v>
      </c>
      <c r="J26" s="295">
        <f>+G26+I26</f>
        <v>4801551.8625270007</v>
      </c>
      <c r="K26" s="296">
        <f>+J26-2</f>
        <v>4801549.8625270007</v>
      </c>
      <c r="L26" s="279"/>
    </row>
    <row r="27" spans="1:15" s="103" customFormat="1" ht="32.25" customHeight="1">
      <c r="A27" s="289">
        <v>2</v>
      </c>
      <c r="B27" s="89" t="s">
        <v>27</v>
      </c>
      <c r="C27" s="90" t="s">
        <v>28</v>
      </c>
      <c r="D27" s="94">
        <v>3200550</v>
      </c>
      <c r="E27" s="94">
        <v>3375600</v>
      </c>
      <c r="F27" s="94">
        <v>3594300</v>
      </c>
      <c r="G27" s="94">
        <v>3864399.67</v>
      </c>
      <c r="H27" s="297">
        <v>3.8600000000000002E-2</v>
      </c>
      <c r="I27" s="275">
        <f t="shared" ref="I27:I30" si="6">+G27*H27</f>
        <v>149165.82726200001</v>
      </c>
      <c r="J27" s="276">
        <f t="shared" ref="J27:J30" si="7">+G27+I27</f>
        <v>4013565.4972620001</v>
      </c>
      <c r="K27" s="155">
        <f>+J27-15</f>
        <v>4013550.4972620001</v>
      </c>
      <c r="L27" s="279"/>
    </row>
    <row r="28" spans="1:15" s="103" customFormat="1" ht="32.25" customHeight="1">
      <c r="A28" s="289">
        <v>3</v>
      </c>
      <c r="B28" s="113" t="s">
        <v>27</v>
      </c>
      <c r="C28" s="114" t="s">
        <v>111</v>
      </c>
      <c r="D28" s="94">
        <v>0</v>
      </c>
      <c r="E28" s="94">
        <v>0</v>
      </c>
      <c r="F28" s="94">
        <v>0</v>
      </c>
      <c r="G28" s="94">
        <v>3978050</v>
      </c>
      <c r="H28" s="297">
        <v>3.8600000000000002E-2</v>
      </c>
      <c r="I28" s="275">
        <f t="shared" si="6"/>
        <v>153552.73000000001</v>
      </c>
      <c r="J28" s="276">
        <f t="shared" si="7"/>
        <v>4131602.73</v>
      </c>
      <c r="K28" s="155">
        <f>ROUND(J28,-1)</f>
        <v>4131600</v>
      </c>
      <c r="L28" s="279"/>
      <c r="O28" s="273"/>
    </row>
    <row r="29" spans="1:15" s="103" customFormat="1" ht="32.25" customHeight="1">
      <c r="A29" s="289">
        <v>4</v>
      </c>
      <c r="B29" s="113" t="s">
        <v>27</v>
      </c>
      <c r="C29" s="114" t="s">
        <v>113</v>
      </c>
      <c r="D29" s="94">
        <v>0</v>
      </c>
      <c r="E29" s="94">
        <v>0</v>
      </c>
      <c r="F29" s="94">
        <v>0</v>
      </c>
      <c r="G29" s="94">
        <v>3823200</v>
      </c>
      <c r="H29" s="297">
        <v>3.8600000000000002E-2</v>
      </c>
      <c r="I29" s="275">
        <f t="shared" si="6"/>
        <v>147575.52000000002</v>
      </c>
      <c r="J29" s="276">
        <f t="shared" si="7"/>
        <v>3970775.52</v>
      </c>
      <c r="K29" s="155">
        <f>+J29-26</f>
        <v>3970749.52</v>
      </c>
      <c r="L29" s="279"/>
    </row>
    <row r="30" spans="1:15" s="103" customFormat="1" ht="32.25" customHeight="1">
      <c r="A30" s="289">
        <v>5</v>
      </c>
      <c r="B30" s="113" t="s">
        <v>27</v>
      </c>
      <c r="C30" s="114" t="s">
        <v>114</v>
      </c>
      <c r="D30" s="94">
        <v>0</v>
      </c>
      <c r="E30" s="94">
        <v>0</v>
      </c>
      <c r="F30" s="94">
        <v>0</v>
      </c>
      <c r="G30" s="94">
        <v>4495850.3</v>
      </c>
      <c r="H30" s="297">
        <v>3.8600000000000002E-2</v>
      </c>
      <c r="I30" s="275">
        <f t="shared" si="6"/>
        <v>173539.82157999999</v>
      </c>
      <c r="J30" s="276">
        <f t="shared" si="7"/>
        <v>4669390.12158</v>
      </c>
      <c r="K30" s="155">
        <f>+J30-40</f>
        <v>4669350.12158</v>
      </c>
      <c r="L30" s="279"/>
    </row>
    <row r="31" spans="1:15" s="103" customFormat="1" ht="32.25" customHeight="1">
      <c r="A31" s="289">
        <v>6</v>
      </c>
      <c r="B31" s="89" t="s">
        <v>27</v>
      </c>
      <c r="C31" s="90" t="s">
        <v>115</v>
      </c>
      <c r="D31" s="94">
        <v>0</v>
      </c>
      <c r="E31" s="94">
        <v>0</v>
      </c>
      <c r="F31" s="94">
        <v>0</v>
      </c>
      <c r="G31" s="94">
        <v>3306550</v>
      </c>
      <c r="H31" s="297">
        <v>3.8600000000000002E-2</v>
      </c>
      <c r="I31" s="275">
        <f t="shared" ref="I31" si="8">+G31*H31</f>
        <v>127632.83</v>
      </c>
      <c r="J31" s="276">
        <f t="shared" ref="J31" si="9">+G31+I31</f>
        <v>3434182.83</v>
      </c>
      <c r="K31" s="155">
        <f>+J31-33</f>
        <v>3434149.83</v>
      </c>
      <c r="L31" s="279"/>
    </row>
    <row r="32" spans="1:15" s="103" customFormat="1" ht="32.25" customHeight="1">
      <c r="A32" s="289">
        <v>7</v>
      </c>
      <c r="B32" s="113" t="s">
        <v>27</v>
      </c>
      <c r="C32" s="114" t="s">
        <v>127</v>
      </c>
      <c r="D32" s="94"/>
      <c r="E32" s="94"/>
      <c r="F32" s="94"/>
      <c r="G32" s="94">
        <v>3200000</v>
      </c>
      <c r="H32" s="297">
        <v>3.8600000000000002E-2</v>
      </c>
      <c r="I32" s="275">
        <f t="shared" ref="I32:I33" si="10">+G32*H32</f>
        <v>123520.00000000001</v>
      </c>
      <c r="J32" s="276">
        <f t="shared" ref="J32:J33" si="11">+G32+I32</f>
        <v>3323520</v>
      </c>
      <c r="K32" s="155">
        <f>+J32-20</f>
        <v>3323500</v>
      </c>
      <c r="L32" s="279"/>
    </row>
    <row r="33" spans="1:12" s="103" customFormat="1" ht="32.25" customHeight="1" thickBot="1">
      <c r="A33" s="298">
        <v>8</v>
      </c>
      <c r="B33" s="91" t="s">
        <v>27</v>
      </c>
      <c r="C33" s="92" t="s">
        <v>128</v>
      </c>
      <c r="D33" s="93">
        <v>0</v>
      </c>
      <c r="E33" s="93">
        <v>0</v>
      </c>
      <c r="F33" s="93">
        <v>0</v>
      </c>
      <c r="G33" s="93">
        <v>4351000</v>
      </c>
      <c r="H33" s="299">
        <v>3.8600000000000002E-2</v>
      </c>
      <c r="I33" s="300">
        <f t="shared" si="10"/>
        <v>167948.6</v>
      </c>
      <c r="J33" s="189">
        <f t="shared" si="11"/>
        <v>4518948.5999999996</v>
      </c>
      <c r="K33" s="159">
        <f>+J33-49</f>
        <v>4518899.5999999996</v>
      </c>
      <c r="L33" s="279"/>
    </row>
    <row r="34" spans="1:12" s="120" customFormat="1" ht="23.25" customHeight="1" thickTop="1" thickBot="1">
      <c r="A34" s="96"/>
      <c r="B34" s="96"/>
      <c r="C34" s="98"/>
      <c r="D34" s="116"/>
      <c r="E34" s="116"/>
      <c r="F34" s="116"/>
      <c r="G34" s="116"/>
      <c r="H34" s="117"/>
      <c r="I34" s="118"/>
      <c r="J34" s="116"/>
      <c r="K34" s="119"/>
      <c r="L34" s="279"/>
    </row>
    <row r="35" spans="1:12" ht="32.25" customHeight="1" thickTop="1">
      <c r="B35" s="788" t="s">
        <v>29</v>
      </c>
      <c r="C35" s="789"/>
      <c r="D35" s="789"/>
      <c r="E35" s="789"/>
      <c r="F35" s="789"/>
      <c r="G35" s="789"/>
      <c r="H35" s="789"/>
      <c r="I35" s="789"/>
      <c r="J35" s="789"/>
      <c r="K35" s="790"/>
      <c r="L35" s="279"/>
    </row>
    <row r="36" spans="1:12" ht="39.75" customHeight="1">
      <c r="A36" s="121"/>
      <c r="B36" s="122" t="s">
        <v>4</v>
      </c>
      <c r="C36" s="123" t="s">
        <v>29</v>
      </c>
      <c r="D36" s="271" t="s">
        <v>84</v>
      </c>
      <c r="E36" s="271" t="s">
        <v>85</v>
      </c>
      <c r="F36" s="272" t="s">
        <v>86</v>
      </c>
      <c r="G36" s="126" t="s">
        <v>125</v>
      </c>
      <c r="H36" s="169" t="s">
        <v>80</v>
      </c>
      <c r="I36" s="170" t="s">
        <v>81</v>
      </c>
      <c r="J36" s="170" t="s">
        <v>82</v>
      </c>
      <c r="K36" s="171" t="s">
        <v>83</v>
      </c>
      <c r="L36" s="279"/>
    </row>
    <row r="37" spans="1:12" ht="20.25" customHeight="1">
      <c r="A37" s="121"/>
      <c r="B37" s="127">
        <v>1</v>
      </c>
      <c r="C37" s="128" t="s">
        <v>87</v>
      </c>
      <c r="D37" s="129">
        <v>59400</v>
      </c>
      <c r="E37" s="107">
        <v>62600</v>
      </c>
      <c r="F37" s="109">
        <v>66600</v>
      </c>
      <c r="G37" s="130">
        <v>71599.69</v>
      </c>
      <c r="H37" s="160">
        <v>3.8600000000000002E-2</v>
      </c>
      <c r="I37" s="161">
        <f>+G37*H37</f>
        <v>2763.7480340000002</v>
      </c>
      <c r="J37" s="162">
        <f t="shared" ref="J37:J57" si="12">+G37+I37</f>
        <v>74363.438034000006</v>
      </c>
      <c r="K37" s="163">
        <f>+J37-13</f>
        <v>74350.438034000006</v>
      </c>
      <c r="L37" s="279"/>
    </row>
    <row r="38" spans="1:12" ht="20.25" customHeight="1">
      <c r="A38" s="121"/>
      <c r="B38" s="131">
        <v>2</v>
      </c>
      <c r="C38" s="132" t="s">
        <v>88</v>
      </c>
      <c r="D38" s="133">
        <v>37800</v>
      </c>
      <c r="E38" s="94">
        <v>39900</v>
      </c>
      <c r="F38" s="111">
        <v>42450</v>
      </c>
      <c r="G38" s="134">
        <v>45649.86</v>
      </c>
      <c r="H38" s="164">
        <v>3.8600000000000002E-2</v>
      </c>
      <c r="I38" s="161">
        <f t="shared" ref="I38:I57" si="13">+G38*H38</f>
        <v>1762.0845960000001</v>
      </c>
      <c r="J38" s="162">
        <f t="shared" si="12"/>
        <v>47411.944596000001</v>
      </c>
      <c r="K38" s="165">
        <f>+J38-12</f>
        <v>47399.944596000001</v>
      </c>
      <c r="L38" s="279"/>
    </row>
    <row r="39" spans="1:12" ht="20.25" customHeight="1">
      <c r="A39" s="121"/>
      <c r="B39" s="131">
        <v>3</v>
      </c>
      <c r="C39" s="132" t="s">
        <v>89</v>
      </c>
      <c r="D39" s="133">
        <v>37800</v>
      </c>
      <c r="E39" s="94">
        <v>39900</v>
      </c>
      <c r="F39" s="111">
        <v>66222</v>
      </c>
      <c r="G39" s="134">
        <v>71150.37</v>
      </c>
      <c r="H39" s="164">
        <v>3.8600000000000002E-2</v>
      </c>
      <c r="I39" s="161">
        <f t="shared" si="13"/>
        <v>2746.404282</v>
      </c>
      <c r="J39" s="162">
        <f t="shared" si="12"/>
        <v>73896.774281999998</v>
      </c>
      <c r="K39" s="165">
        <f>+J39-47</f>
        <v>73849.774281999998</v>
      </c>
      <c r="L39" s="279"/>
    </row>
    <row r="40" spans="1:12" ht="20.25" customHeight="1">
      <c r="A40" s="121"/>
      <c r="B40" s="131">
        <v>4</v>
      </c>
      <c r="C40" s="135" t="s">
        <v>90</v>
      </c>
      <c r="D40" s="133">
        <v>315600</v>
      </c>
      <c r="E40" s="94">
        <v>332900</v>
      </c>
      <c r="F40" s="111">
        <v>354450</v>
      </c>
      <c r="G40" s="134">
        <v>381050.04</v>
      </c>
      <c r="H40" s="164">
        <v>3.8600000000000002E-2</v>
      </c>
      <c r="I40" s="161">
        <f t="shared" si="13"/>
        <v>14708.531543999999</v>
      </c>
      <c r="J40" s="162">
        <f t="shared" si="12"/>
        <v>395758.57154400001</v>
      </c>
      <c r="K40" s="165">
        <f>+J40-9</f>
        <v>395749.57154400001</v>
      </c>
      <c r="L40" s="279"/>
    </row>
    <row r="41" spans="1:12" ht="20.25" customHeight="1">
      <c r="A41" s="121"/>
      <c r="B41" s="131">
        <v>5</v>
      </c>
      <c r="C41" s="135" t="s">
        <v>91</v>
      </c>
      <c r="D41" s="133"/>
      <c r="E41" s="94">
        <v>480000</v>
      </c>
      <c r="F41" s="111">
        <v>511100</v>
      </c>
      <c r="G41" s="134">
        <v>549499.93999999994</v>
      </c>
      <c r="H41" s="164">
        <v>3.8600000000000002E-2</v>
      </c>
      <c r="I41" s="161">
        <f t="shared" si="13"/>
        <v>21210.697683999999</v>
      </c>
      <c r="J41" s="162">
        <f t="shared" si="12"/>
        <v>570710.63768399996</v>
      </c>
      <c r="K41" s="165">
        <f>+J41-11</f>
        <v>570699.63768399996</v>
      </c>
      <c r="L41" s="279"/>
    </row>
    <row r="42" spans="1:12" ht="20.25" customHeight="1">
      <c r="A42" s="121"/>
      <c r="B42" s="131">
        <v>6</v>
      </c>
      <c r="C42" s="136" t="s">
        <v>92</v>
      </c>
      <c r="D42" s="133">
        <v>7800</v>
      </c>
      <c r="E42" s="94">
        <v>8200</v>
      </c>
      <c r="F42" s="111">
        <v>8700</v>
      </c>
      <c r="G42" s="134">
        <v>9350</v>
      </c>
      <c r="H42" s="164">
        <v>3.8600000000000002E-2</v>
      </c>
      <c r="I42" s="161">
        <f t="shared" si="13"/>
        <v>360.91</v>
      </c>
      <c r="J42" s="162">
        <f t="shared" si="12"/>
        <v>9710.91</v>
      </c>
      <c r="K42" s="165">
        <f>+J42-11</f>
        <v>9699.91</v>
      </c>
      <c r="L42" s="279"/>
    </row>
    <row r="43" spans="1:12" ht="20.25" customHeight="1">
      <c r="A43" s="121"/>
      <c r="B43" s="131">
        <v>7</v>
      </c>
      <c r="C43" s="135" t="s">
        <v>93</v>
      </c>
      <c r="D43" s="133">
        <v>115700</v>
      </c>
      <c r="E43" s="94">
        <v>122000</v>
      </c>
      <c r="F43" s="111">
        <v>129900</v>
      </c>
      <c r="G43" s="134">
        <v>139700</v>
      </c>
      <c r="H43" s="164">
        <v>3.8600000000000002E-2</v>
      </c>
      <c r="I43" s="161">
        <f t="shared" si="13"/>
        <v>5392.42</v>
      </c>
      <c r="J43" s="162">
        <f t="shared" si="12"/>
        <v>145092.42000000001</v>
      </c>
      <c r="K43" s="165">
        <f>+J43-42</f>
        <v>145050.42000000001</v>
      </c>
      <c r="L43" s="279"/>
    </row>
    <row r="44" spans="1:12" ht="20.25" customHeight="1">
      <c r="A44" s="121"/>
      <c r="B44" s="131">
        <v>8</v>
      </c>
      <c r="C44" s="135" t="s">
        <v>94</v>
      </c>
      <c r="D44" s="133">
        <v>206000</v>
      </c>
      <c r="E44" s="94">
        <v>217300</v>
      </c>
      <c r="F44" s="111">
        <v>231350</v>
      </c>
      <c r="G44" s="134">
        <v>248700.31</v>
      </c>
      <c r="H44" s="164">
        <v>3.8600000000000002E-2</v>
      </c>
      <c r="I44" s="161">
        <f t="shared" si="13"/>
        <v>9599.8319659999997</v>
      </c>
      <c r="J44" s="162">
        <f t="shared" si="12"/>
        <v>258300.141966</v>
      </c>
      <c r="K44" s="165">
        <f>+J44</f>
        <v>258300.141966</v>
      </c>
      <c r="L44" s="279"/>
    </row>
    <row r="45" spans="1:12" ht="20.25" customHeight="1">
      <c r="A45" s="121"/>
      <c r="B45" s="131">
        <v>9</v>
      </c>
      <c r="C45" s="135" t="s">
        <v>95</v>
      </c>
      <c r="D45" s="133">
        <v>5200</v>
      </c>
      <c r="E45" s="94">
        <v>5500</v>
      </c>
      <c r="F45" s="111">
        <v>5850</v>
      </c>
      <c r="G45" s="134">
        <v>6300</v>
      </c>
      <c r="H45" s="164">
        <v>3.8600000000000002E-2</v>
      </c>
      <c r="I45" s="161">
        <f t="shared" si="13"/>
        <v>243.18</v>
      </c>
      <c r="J45" s="162">
        <f t="shared" si="12"/>
        <v>6543.18</v>
      </c>
      <c r="K45" s="165">
        <f t="shared" ref="K45" si="14">ROUND(J45,-2)</f>
        <v>6500</v>
      </c>
      <c r="L45" s="279"/>
    </row>
    <row r="46" spans="1:12" ht="20.25" customHeight="1">
      <c r="A46" s="121"/>
      <c r="B46" s="131">
        <v>10</v>
      </c>
      <c r="C46" s="135" t="s">
        <v>96</v>
      </c>
      <c r="D46" s="133">
        <v>59500</v>
      </c>
      <c r="E46" s="94">
        <v>62800</v>
      </c>
      <c r="F46" s="111">
        <v>66850</v>
      </c>
      <c r="G46" s="134">
        <v>71900</v>
      </c>
      <c r="H46" s="164">
        <v>3.8600000000000002E-2</v>
      </c>
      <c r="I46" s="161">
        <f t="shared" si="13"/>
        <v>2775.34</v>
      </c>
      <c r="J46" s="162">
        <f t="shared" si="12"/>
        <v>74675.34</v>
      </c>
      <c r="K46" s="165">
        <f>+J46-25</f>
        <v>74650.34</v>
      </c>
      <c r="L46" s="279"/>
    </row>
    <row r="47" spans="1:12" ht="20.25" customHeight="1">
      <c r="A47" s="121"/>
      <c r="B47" s="131">
        <v>11</v>
      </c>
      <c r="C47" s="135" t="s">
        <v>97</v>
      </c>
      <c r="D47" s="133">
        <v>17900</v>
      </c>
      <c r="E47" s="94">
        <v>18900</v>
      </c>
      <c r="F47" s="111">
        <v>20100</v>
      </c>
      <c r="G47" s="134">
        <v>21549.97</v>
      </c>
      <c r="H47" s="164">
        <v>3.8600000000000002E-2</v>
      </c>
      <c r="I47" s="161">
        <f t="shared" si="13"/>
        <v>831.82884200000012</v>
      </c>
      <c r="J47" s="162">
        <f t="shared" si="12"/>
        <v>22381.798842</v>
      </c>
      <c r="K47" s="165">
        <f>+J47-32</f>
        <v>22349.798842</v>
      </c>
      <c r="L47" s="279"/>
    </row>
    <row r="48" spans="1:12" ht="20.25" customHeight="1">
      <c r="A48" s="121"/>
      <c r="B48" s="131">
        <v>12</v>
      </c>
      <c r="C48" s="135" t="s">
        <v>98</v>
      </c>
      <c r="D48" s="133">
        <v>11600</v>
      </c>
      <c r="E48" s="94">
        <v>12200</v>
      </c>
      <c r="F48" s="111">
        <v>12950</v>
      </c>
      <c r="G48" s="134">
        <v>13950</v>
      </c>
      <c r="H48" s="164">
        <v>3.8600000000000002E-2</v>
      </c>
      <c r="I48" s="161">
        <f t="shared" si="13"/>
        <v>538.47</v>
      </c>
      <c r="J48" s="162">
        <f t="shared" si="12"/>
        <v>14488.47</v>
      </c>
      <c r="K48" s="165">
        <f>+J48-38</f>
        <v>14450.47</v>
      </c>
      <c r="L48" s="279"/>
    </row>
    <row r="49" spans="1:12" ht="20.25" customHeight="1">
      <c r="A49" s="121"/>
      <c r="B49" s="131">
        <v>13</v>
      </c>
      <c r="C49" s="135" t="s">
        <v>99</v>
      </c>
      <c r="D49" s="133">
        <v>0</v>
      </c>
      <c r="E49" s="94">
        <v>196200</v>
      </c>
      <c r="F49" s="111">
        <v>208900</v>
      </c>
      <c r="G49" s="134">
        <v>224600.42</v>
      </c>
      <c r="H49" s="164">
        <v>3.8600000000000002E-2</v>
      </c>
      <c r="I49" s="161">
        <f t="shared" si="13"/>
        <v>8669.5762120000018</v>
      </c>
      <c r="J49" s="162">
        <f t="shared" si="12"/>
        <v>233269.99621200003</v>
      </c>
      <c r="K49" s="165">
        <f>+J49-20</f>
        <v>233249.99621200003</v>
      </c>
      <c r="L49" s="279"/>
    </row>
    <row r="50" spans="1:12" ht="20.25" customHeight="1">
      <c r="A50" s="121"/>
      <c r="B50" s="131">
        <v>14</v>
      </c>
      <c r="C50" s="135" t="s">
        <v>100</v>
      </c>
      <c r="D50" s="133">
        <v>0</v>
      </c>
      <c r="E50" s="94">
        <v>0</v>
      </c>
      <c r="F50" s="111">
        <v>325884</v>
      </c>
      <c r="G50" s="134">
        <v>350350.03</v>
      </c>
      <c r="H50" s="164">
        <v>3.8600000000000002E-2</v>
      </c>
      <c r="I50" s="161">
        <f t="shared" si="13"/>
        <v>13523.511158000001</v>
      </c>
      <c r="J50" s="162">
        <f t="shared" si="12"/>
        <v>363873.54115800001</v>
      </c>
      <c r="K50" s="165">
        <f>+J50-24</f>
        <v>363849.54115800001</v>
      </c>
      <c r="L50" s="279"/>
    </row>
    <row r="51" spans="1:12" ht="20.25" customHeight="1">
      <c r="A51" s="121"/>
      <c r="B51" s="131">
        <v>15</v>
      </c>
      <c r="C51" s="135" t="s">
        <v>101</v>
      </c>
      <c r="D51" s="133">
        <v>36700</v>
      </c>
      <c r="E51" s="94">
        <v>38700</v>
      </c>
      <c r="F51" s="111">
        <v>41200</v>
      </c>
      <c r="G51" s="134">
        <v>44299.57</v>
      </c>
      <c r="H51" s="164">
        <v>3.8600000000000002E-2</v>
      </c>
      <c r="I51" s="161">
        <f t="shared" si="13"/>
        <v>1709.9634020000001</v>
      </c>
      <c r="J51" s="162">
        <f t="shared" si="12"/>
        <v>46009.533402000001</v>
      </c>
      <c r="K51" s="165">
        <f>+J51-10</f>
        <v>45999.533402000001</v>
      </c>
      <c r="L51" s="279"/>
    </row>
    <row r="52" spans="1:12" ht="20.25" customHeight="1">
      <c r="A52" s="121"/>
      <c r="B52" s="131">
        <v>16</v>
      </c>
      <c r="C52" s="135" t="s">
        <v>102</v>
      </c>
      <c r="D52" s="133">
        <v>0</v>
      </c>
      <c r="E52" s="94">
        <v>0</v>
      </c>
      <c r="F52" s="111">
        <v>64272</v>
      </c>
      <c r="G52" s="134">
        <v>69100</v>
      </c>
      <c r="H52" s="164">
        <v>3.8600000000000002E-2</v>
      </c>
      <c r="I52" s="161">
        <f t="shared" si="13"/>
        <v>2667.26</v>
      </c>
      <c r="J52" s="162">
        <f t="shared" si="12"/>
        <v>71767.259999999995</v>
      </c>
      <c r="K52" s="165">
        <f>+J52-17</f>
        <v>71750.259999999995</v>
      </c>
      <c r="L52" s="279"/>
    </row>
    <row r="53" spans="1:12" ht="20.25" customHeight="1">
      <c r="A53" s="121"/>
      <c r="B53" s="131">
        <v>17</v>
      </c>
      <c r="C53" s="135" t="s">
        <v>103</v>
      </c>
      <c r="D53" s="133">
        <v>225000</v>
      </c>
      <c r="E53" s="94">
        <v>237300</v>
      </c>
      <c r="F53" s="111">
        <v>252650</v>
      </c>
      <c r="G53" s="134">
        <v>271649.57</v>
      </c>
      <c r="H53" s="164">
        <v>3.8600000000000002E-2</v>
      </c>
      <c r="I53" s="161">
        <f t="shared" si="13"/>
        <v>10485.673402</v>
      </c>
      <c r="J53" s="162">
        <f t="shared" si="12"/>
        <v>282135.24340199999</v>
      </c>
      <c r="K53" s="165">
        <f>+J53-35</f>
        <v>282100.24340199999</v>
      </c>
      <c r="L53" s="279"/>
    </row>
    <row r="54" spans="1:12" ht="20.25" customHeight="1">
      <c r="A54" s="121"/>
      <c r="B54" s="131">
        <v>18</v>
      </c>
      <c r="C54" s="135" t="s">
        <v>104</v>
      </c>
      <c r="D54" s="133">
        <v>0</v>
      </c>
      <c r="E54" s="94">
        <v>0</v>
      </c>
      <c r="F54" s="111">
        <v>605000</v>
      </c>
      <c r="G54" s="134">
        <v>650450.35</v>
      </c>
      <c r="H54" s="164">
        <v>3.8600000000000002E-2</v>
      </c>
      <c r="I54" s="161">
        <f t="shared" si="13"/>
        <v>25107.38351</v>
      </c>
      <c r="J54" s="162">
        <f t="shared" si="12"/>
        <v>675557.73350999993</v>
      </c>
      <c r="K54" s="165">
        <f>+J54-8</f>
        <v>675549.73350999993</v>
      </c>
      <c r="L54" s="279"/>
    </row>
    <row r="55" spans="1:12" ht="20.25" customHeight="1">
      <c r="A55" s="121"/>
      <c r="B55" s="131">
        <v>19</v>
      </c>
      <c r="C55" s="135" t="s">
        <v>105</v>
      </c>
      <c r="D55" s="133">
        <v>0</v>
      </c>
      <c r="E55" s="94">
        <v>0</v>
      </c>
      <c r="F55" s="111">
        <v>1080000</v>
      </c>
      <c r="G55" s="134">
        <v>1161100</v>
      </c>
      <c r="H55" s="164">
        <v>3.8600000000000002E-2</v>
      </c>
      <c r="I55" s="161">
        <f t="shared" si="13"/>
        <v>44818.46</v>
      </c>
      <c r="J55" s="162">
        <f t="shared" si="12"/>
        <v>1205918.46</v>
      </c>
      <c r="K55" s="165">
        <f>+J55-18</f>
        <v>1205900.46</v>
      </c>
      <c r="L55" s="279"/>
    </row>
    <row r="56" spans="1:12" ht="20.25" customHeight="1">
      <c r="A56" s="121"/>
      <c r="B56" s="131">
        <v>20</v>
      </c>
      <c r="C56" s="135" t="s">
        <v>106</v>
      </c>
      <c r="D56" s="133">
        <v>0</v>
      </c>
      <c r="E56" s="94">
        <v>0</v>
      </c>
      <c r="F56" s="111">
        <v>405000</v>
      </c>
      <c r="G56" s="134">
        <v>435399.62</v>
      </c>
      <c r="H56" s="164">
        <v>3.8600000000000002E-2</v>
      </c>
      <c r="I56" s="161">
        <f t="shared" si="13"/>
        <v>16806.425332000003</v>
      </c>
      <c r="J56" s="162">
        <f t="shared" si="12"/>
        <v>452206.04533200001</v>
      </c>
      <c r="K56" s="165">
        <f>+J56-6</f>
        <v>452200.04533200001</v>
      </c>
      <c r="L56" s="279"/>
    </row>
    <row r="57" spans="1:12" ht="20.25" customHeight="1">
      <c r="A57" s="121"/>
      <c r="B57" s="131">
        <v>21</v>
      </c>
      <c r="C57" s="135" t="s">
        <v>107</v>
      </c>
      <c r="D57" s="133">
        <v>0</v>
      </c>
      <c r="E57" s="94">
        <v>0</v>
      </c>
      <c r="F57" s="111">
        <v>720000</v>
      </c>
      <c r="G57" s="134">
        <v>774100.36</v>
      </c>
      <c r="H57" s="164">
        <v>3.8600000000000002E-2</v>
      </c>
      <c r="I57" s="242">
        <f t="shared" si="13"/>
        <v>29880.273896000002</v>
      </c>
      <c r="J57" s="162">
        <f t="shared" si="12"/>
        <v>803980.63389599998</v>
      </c>
      <c r="K57" s="165">
        <f>+J57-31</f>
        <v>803949.63389599998</v>
      </c>
      <c r="L57" s="279"/>
    </row>
    <row r="58" spans="1:12" ht="20.25" customHeight="1">
      <c r="A58" s="121"/>
      <c r="B58" s="244">
        <v>22</v>
      </c>
      <c r="C58" s="245" t="s">
        <v>119</v>
      </c>
      <c r="D58" s="246"/>
      <c r="E58" s="247"/>
      <c r="F58" s="248"/>
      <c r="G58" s="249">
        <v>2500</v>
      </c>
      <c r="H58" s="250">
        <v>3.8600000000000002E-2</v>
      </c>
      <c r="I58" s="251">
        <f>+G58*H58</f>
        <v>96.5</v>
      </c>
      <c r="J58" s="277">
        <f t="shared" ref="J58:J59" si="15">+G58+I58</f>
        <v>2596.5</v>
      </c>
      <c r="K58" s="278">
        <f>+J58-47</f>
        <v>2549.5</v>
      </c>
      <c r="L58" s="279"/>
    </row>
    <row r="59" spans="1:12" ht="20.25" customHeight="1">
      <c r="A59" s="121"/>
      <c r="B59" s="253">
        <v>23</v>
      </c>
      <c r="C59" s="254" t="s">
        <v>120</v>
      </c>
      <c r="D59" s="255"/>
      <c r="E59" s="256"/>
      <c r="F59" s="257"/>
      <c r="G59" s="258">
        <v>40000</v>
      </c>
      <c r="H59" s="259">
        <v>3.8600000000000002E-2</v>
      </c>
      <c r="I59" s="251">
        <f t="shared" ref="I59" si="16">+G59*H59</f>
        <v>1544</v>
      </c>
      <c r="J59" s="277">
        <f t="shared" si="15"/>
        <v>41544</v>
      </c>
      <c r="K59" s="278">
        <f>+J59-44</f>
        <v>41500</v>
      </c>
      <c r="L59" s="279"/>
    </row>
    <row r="60" spans="1:12" ht="20.25" customHeight="1" thickBot="1">
      <c r="A60" s="121"/>
      <c r="B60" s="261">
        <v>24</v>
      </c>
      <c r="C60" s="262" t="s">
        <v>121</v>
      </c>
      <c r="D60" s="263"/>
      <c r="E60" s="264"/>
      <c r="F60" s="265"/>
      <c r="G60" s="266"/>
      <c r="H60" s="267"/>
      <c r="I60" s="268"/>
      <c r="J60" s="264"/>
      <c r="K60" s="269"/>
      <c r="L60" s="279"/>
    </row>
    <row r="61" spans="1:12" ht="16.5" thickTop="1">
      <c r="C61" s="274" t="s">
        <v>129</v>
      </c>
    </row>
    <row r="62" spans="1:12">
      <c r="C62" s="274" t="s">
        <v>123</v>
      </c>
    </row>
  </sheetData>
  <mergeCells count="20">
    <mergeCell ref="B35:K35"/>
    <mergeCell ref="A23:K23"/>
    <mergeCell ref="A24:A25"/>
    <mergeCell ref="B24:B25"/>
    <mergeCell ref="C24:C25"/>
    <mergeCell ref="D24:D25"/>
    <mergeCell ref="E24:E25"/>
    <mergeCell ref="F24:F25"/>
    <mergeCell ref="G24:G25"/>
    <mergeCell ref="H24:K24"/>
    <mergeCell ref="A1:K1"/>
    <mergeCell ref="A3:K3"/>
    <mergeCell ref="A4:A5"/>
    <mergeCell ref="B4:B5"/>
    <mergeCell ref="C4:C5"/>
    <mergeCell ref="D4:D5"/>
    <mergeCell ref="E4:E5"/>
    <mergeCell ref="F4:F5"/>
    <mergeCell ref="G4:G5"/>
    <mergeCell ref="H4:K4"/>
  </mergeCells>
  <hyperlinks>
    <hyperlink ref="C62" r:id="rId1" xr:uid="{00000000-0004-0000-0400-000000000000}"/>
    <hyperlink ref="C61" r:id="rId2" xr:uid="{00000000-0004-0000-0400-000001000000}"/>
  </hyperlinks>
  <pageMargins left="0.9055118110236221" right="0.31496062992125984" top="0.35433070866141736" bottom="0.15748031496062992" header="0.31496062992125984" footer="0.31496062992125984"/>
  <pageSetup scale="80" orientation="landscape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O75"/>
  <sheetViews>
    <sheetView showGridLines="0" topLeftCell="A37" zoomScale="80" zoomScaleNormal="80" workbookViewId="0">
      <selection activeCell="B48" sqref="B48:K48"/>
    </sheetView>
  </sheetViews>
  <sheetFormatPr baseColWidth="10" defaultRowHeight="15.75"/>
  <cols>
    <col min="1" max="1" width="4.28515625" style="84" customWidth="1"/>
    <col min="2" max="2" width="6.85546875" style="84" customWidth="1"/>
    <col min="3" max="3" width="53.42578125" style="84" customWidth="1"/>
    <col min="4" max="4" width="14.42578125" style="141" hidden="1" customWidth="1"/>
    <col min="5" max="6" width="14.42578125" style="142" hidden="1" customWidth="1"/>
    <col min="7" max="7" width="14.42578125" style="142" customWidth="1"/>
    <col min="8" max="8" width="15.28515625" style="143" customWidth="1"/>
    <col min="9" max="9" width="15.28515625" style="141" customWidth="1"/>
    <col min="10" max="10" width="13.140625" style="142" bestFit="1" customWidth="1"/>
    <col min="11" max="11" width="13.85546875" style="144" customWidth="1"/>
    <col min="12" max="12" width="13.42578125" style="84" bestFit="1" customWidth="1"/>
    <col min="13" max="14" width="11.42578125" style="84"/>
    <col min="15" max="15" width="14.28515625" style="84" bestFit="1" customWidth="1"/>
    <col min="16" max="16384" width="11.42578125" style="84"/>
  </cols>
  <sheetData>
    <row r="1" spans="1:12" ht="63" customHeight="1">
      <c r="A1" s="793" t="s">
        <v>147</v>
      </c>
      <c r="B1" s="793"/>
      <c r="C1" s="793"/>
      <c r="D1" s="793"/>
      <c r="E1" s="793"/>
      <c r="F1" s="793"/>
      <c r="G1" s="793"/>
      <c r="H1" s="793"/>
      <c r="I1" s="793"/>
      <c r="J1" s="793"/>
      <c r="K1" s="793"/>
    </row>
    <row r="2" spans="1:12" ht="18" customHeight="1" thickBo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</row>
    <row r="3" spans="1:12" ht="42" customHeight="1" thickTop="1">
      <c r="A3" s="806" t="s">
        <v>3</v>
      </c>
      <c r="B3" s="807"/>
      <c r="C3" s="807"/>
      <c r="D3" s="807"/>
      <c r="E3" s="807"/>
      <c r="F3" s="807"/>
      <c r="G3" s="807"/>
      <c r="H3" s="807"/>
      <c r="I3" s="807"/>
      <c r="J3" s="807"/>
      <c r="K3" s="808"/>
    </row>
    <row r="4" spans="1:12" ht="31.5" customHeight="1">
      <c r="A4" s="809" t="s">
        <v>4</v>
      </c>
      <c r="B4" s="811" t="s">
        <v>5</v>
      </c>
      <c r="C4" s="811" t="s">
        <v>6</v>
      </c>
      <c r="D4" s="813" t="s">
        <v>7</v>
      </c>
      <c r="E4" s="813" t="s">
        <v>74</v>
      </c>
      <c r="F4" s="813" t="s">
        <v>75</v>
      </c>
      <c r="G4" s="815" t="s">
        <v>130</v>
      </c>
      <c r="H4" s="817" t="s">
        <v>131</v>
      </c>
      <c r="I4" s="818"/>
      <c r="J4" s="818"/>
      <c r="K4" s="819"/>
    </row>
    <row r="5" spans="1:12" ht="30.75" customHeight="1">
      <c r="A5" s="810"/>
      <c r="B5" s="812"/>
      <c r="C5" s="812"/>
      <c r="D5" s="814"/>
      <c r="E5" s="814"/>
      <c r="F5" s="814"/>
      <c r="G5" s="816"/>
      <c r="H5" s="314" t="s">
        <v>80</v>
      </c>
      <c r="I5" s="315" t="s">
        <v>81</v>
      </c>
      <c r="J5" s="315" t="s">
        <v>82</v>
      </c>
      <c r="K5" s="316" t="s">
        <v>83</v>
      </c>
    </row>
    <row r="6" spans="1:12" ht="25.5" customHeight="1">
      <c r="A6" s="177">
        <v>1</v>
      </c>
      <c r="B6" s="178" t="s">
        <v>12</v>
      </c>
      <c r="C6" s="179" t="s">
        <v>22</v>
      </c>
      <c r="D6" s="180">
        <v>1793000</v>
      </c>
      <c r="E6" s="180">
        <v>1891100</v>
      </c>
      <c r="F6" s="180">
        <v>2013600</v>
      </c>
      <c r="G6" s="416">
        <v>2248449.6541070002</v>
      </c>
      <c r="H6" s="182">
        <v>1.7500000000000002E-2</v>
      </c>
      <c r="I6" s="183">
        <f t="shared" ref="I6:I7" si="0">+G6*H6</f>
        <v>39347.868946872506</v>
      </c>
      <c r="J6" s="184">
        <f t="shared" ref="J6:J15" si="1">+G6+I6</f>
        <v>2287797.5230538729</v>
      </c>
      <c r="K6" s="185">
        <f>+J6-48</f>
        <v>2287749.5230538729</v>
      </c>
      <c r="L6" s="279"/>
    </row>
    <row r="7" spans="1:12" ht="43.5" customHeight="1">
      <c r="A7" s="385">
        <v>2</v>
      </c>
      <c r="B7" s="386" t="s">
        <v>12</v>
      </c>
      <c r="C7" s="387" t="s">
        <v>109</v>
      </c>
      <c r="D7" s="388">
        <v>0</v>
      </c>
      <c r="E7" s="389">
        <v>1646000</v>
      </c>
      <c r="F7" s="389">
        <v>1752600</v>
      </c>
      <c r="G7" s="389">
        <v>1956999.855368</v>
      </c>
      <c r="H7" s="415">
        <v>1.7500000000000002E-2</v>
      </c>
      <c r="I7" s="390">
        <f t="shared" si="0"/>
        <v>34247.497468940004</v>
      </c>
      <c r="J7" s="389">
        <f t="shared" si="1"/>
        <v>1991247.35283694</v>
      </c>
      <c r="K7" s="391">
        <f>+J7-47</f>
        <v>1991200.35283694</v>
      </c>
      <c r="L7" s="279"/>
    </row>
    <row r="8" spans="1:12" ht="43.5" customHeight="1">
      <c r="A8" s="374">
        <v>3</v>
      </c>
      <c r="B8" s="375" t="s">
        <v>12</v>
      </c>
      <c r="C8" s="376" t="s">
        <v>16</v>
      </c>
      <c r="D8" s="184">
        <v>1793000</v>
      </c>
      <c r="E8" s="184">
        <v>1891100</v>
      </c>
      <c r="F8" s="184">
        <v>2013600</v>
      </c>
      <c r="G8" s="184">
        <v>2248449.6541070002</v>
      </c>
      <c r="H8" s="377">
        <v>1.7500000000000002E-2</v>
      </c>
      <c r="I8" s="183">
        <f>+G8*H8</f>
        <v>39347.868946872506</v>
      </c>
      <c r="J8" s="184">
        <f t="shared" si="1"/>
        <v>2287797.5230538729</v>
      </c>
      <c r="K8" s="185">
        <f t="shared" ref="K8:K13" si="2">+J8-48</f>
        <v>2287749.5230538729</v>
      </c>
      <c r="L8" s="279"/>
    </row>
    <row r="9" spans="1:12" ht="37.5" customHeight="1">
      <c r="A9" s="374">
        <f>+A8+1</f>
        <v>4</v>
      </c>
      <c r="B9" s="375" t="s">
        <v>12</v>
      </c>
      <c r="C9" s="376" t="s">
        <v>14</v>
      </c>
      <c r="D9" s="184">
        <v>1793000</v>
      </c>
      <c r="E9" s="184">
        <v>1891100</v>
      </c>
      <c r="F9" s="184">
        <v>2013600</v>
      </c>
      <c r="G9" s="184">
        <v>2248449.6541070002</v>
      </c>
      <c r="H9" s="377">
        <v>1.7500000000000002E-2</v>
      </c>
      <c r="I9" s="183">
        <f>+G9*H9</f>
        <v>39347.868946872506</v>
      </c>
      <c r="J9" s="184">
        <f>+G9+I9</f>
        <v>2287797.5230538729</v>
      </c>
      <c r="K9" s="185">
        <f t="shared" si="2"/>
        <v>2287749.5230538729</v>
      </c>
      <c r="L9" s="279"/>
    </row>
    <row r="10" spans="1:12" ht="37.5" customHeight="1">
      <c r="A10" s="374">
        <f t="shared" ref="A10:A15" si="3">+A9+1</f>
        <v>5</v>
      </c>
      <c r="B10" s="178" t="s">
        <v>12</v>
      </c>
      <c r="C10" s="179" t="s">
        <v>15</v>
      </c>
      <c r="D10" s="180">
        <v>1793000</v>
      </c>
      <c r="E10" s="180">
        <v>1891100</v>
      </c>
      <c r="F10" s="180">
        <v>2013600</v>
      </c>
      <c r="G10" s="180">
        <v>2248449.6541070002</v>
      </c>
      <c r="H10" s="182">
        <v>1.7500000000000002E-2</v>
      </c>
      <c r="I10" s="183">
        <f t="shared" ref="I10:I15" si="4">+G10*H10</f>
        <v>39347.868946872506</v>
      </c>
      <c r="J10" s="184">
        <f t="shared" ref="J10:J12" si="5">+G10+I10</f>
        <v>2287797.5230538729</v>
      </c>
      <c r="K10" s="185">
        <f t="shared" si="2"/>
        <v>2287749.5230538729</v>
      </c>
      <c r="L10" s="279"/>
    </row>
    <row r="11" spans="1:12" ht="37.5" customHeight="1">
      <c r="A11" s="374">
        <f t="shared" si="3"/>
        <v>6</v>
      </c>
      <c r="B11" s="178" t="s">
        <v>12</v>
      </c>
      <c r="C11" s="179" t="s">
        <v>17</v>
      </c>
      <c r="D11" s="180">
        <v>1793000</v>
      </c>
      <c r="E11" s="180">
        <v>1891100</v>
      </c>
      <c r="F11" s="180">
        <v>2013600</v>
      </c>
      <c r="G11" s="180">
        <v>2248449.6541070002</v>
      </c>
      <c r="H11" s="182">
        <v>1.7500000000000002E-2</v>
      </c>
      <c r="I11" s="183">
        <f t="shared" si="4"/>
        <v>39347.868946872506</v>
      </c>
      <c r="J11" s="184">
        <f t="shared" si="5"/>
        <v>2287797.5230538729</v>
      </c>
      <c r="K11" s="185">
        <f t="shared" si="2"/>
        <v>2287749.5230538729</v>
      </c>
      <c r="L11" s="279"/>
    </row>
    <row r="12" spans="1:12" ht="37.5" customHeight="1">
      <c r="A12" s="374">
        <f t="shared" si="3"/>
        <v>7</v>
      </c>
      <c r="B12" s="178" t="s">
        <v>12</v>
      </c>
      <c r="C12" s="179" t="s">
        <v>20</v>
      </c>
      <c r="D12" s="180">
        <v>1793000</v>
      </c>
      <c r="E12" s="180">
        <v>1891100</v>
      </c>
      <c r="F12" s="180">
        <v>2013600</v>
      </c>
      <c r="G12" s="180">
        <v>2248449.6541070002</v>
      </c>
      <c r="H12" s="182">
        <v>1.7500000000000002E-2</v>
      </c>
      <c r="I12" s="183">
        <f t="shared" si="4"/>
        <v>39347.868946872506</v>
      </c>
      <c r="J12" s="184">
        <f t="shared" si="5"/>
        <v>2287797.5230538729</v>
      </c>
      <c r="K12" s="185">
        <f t="shared" si="2"/>
        <v>2287749.5230538729</v>
      </c>
      <c r="L12" s="279"/>
    </row>
    <row r="13" spans="1:12" ht="37.5" customHeight="1">
      <c r="A13" s="374">
        <f t="shared" si="3"/>
        <v>8</v>
      </c>
      <c r="B13" s="178" t="s">
        <v>12</v>
      </c>
      <c r="C13" s="179" t="s">
        <v>21</v>
      </c>
      <c r="D13" s="276">
        <v>1465000</v>
      </c>
      <c r="E13" s="180">
        <v>1545100</v>
      </c>
      <c r="F13" s="378">
        <v>1645200</v>
      </c>
      <c r="G13" s="180">
        <v>1837049.6176839999</v>
      </c>
      <c r="H13" s="182">
        <v>1.7500000000000002E-2</v>
      </c>
      <c r="I13" s="183">
        <f t="shared" si="4"/>
        <v>32148.368309470003</v>
      </c>
      <c r="J13" s="184">
        <f t="shared" si="1"/>
        <v>1869197.9859934698</v>
      </c>
      <c r="K13" s="379">
        <f t="shared" si="2"/>
        <v>1869149.9859934698</v>
      </c>
      <c r="L13" s="279"/>
    </row>
    <row r="14" spans="1:12" ht="37.5" customHeight="1">
      <c r="A14" s="374">
        <f t="shared" si="3"/>
        <v>9</v>
      </c>
      <c r="B14" s="178" t="s">
        <v>12</v>
      </c>
      <c r="C14" s="179" t="s">
        <v>23</v>
      </c>
      <c r="D14" s="276">
        <v>1608000</v>
      </c>
      <c r="E14" s="180">
        <v>1696000</v>
      </c>
      <c r="F14" s="378">
        <v>1805900</v>
      </c>
      <c r="G14" s="180">
        <v>2016449.5184199999</v>
      </c>
      <c r="H14" s="182">
        <v>1.7500000000000002E-2</v>
      </c>
      <c r="I14" s="183">
        <f t="shared" si="4"/>
        <v>35287.866572350002</v>
      </c>
      <c r="J14" s="184">
        <f t="shared" si="1"/>
        <v>2051737.3849923499</v>
      </c>
      <c r="K14" s="379">
        <f>+J14-37</f>
        <v>2051700.3849923499</v>
      </c>
      <c r="L14" s="279"/>
    </row>
    <row r="15" spans="1:12" ht="37.5" customHeight="1" thickBot="1">
      <c r="A15" s="186">
        <f t="shared" si="3"/>
        <v>10</v>
      </c>
      <c r="B15" s="187" t="s">
        <v>12</v>
      </c>
      <c r="C15" s="188" t="s">
        <v>25</v>
      </c>
      <c r="D15" s="189">
        <v>1679000</v>
      </c>
      <c r="E15" s="190">
        <v>1770800</v>
      </c>
      <c r="F15" s="380">
        <v>1885500</v>
      </c>
      <c r="G15" s="190">
        <v>2105450.2004220001</v>
      </c>
      <c r="H15" s="381">
        <v>1.7500000000000002E-2</v>
      </c>
      <c r="I15" s="382">
        <f t="shared" si="4"/>
        <v>36845.378507385009</v>
      </c>
      <c r="J15" s="383">
        <f t="shared" si="1"/>
        <v>2142295.5789293852</v>
      </c>
      <c r="K15" s="384">
        <f>+J15-46</f>
        <v>2142249.5789293852</v>
      </c>
      <c r="L15" s="279"/>
    </row>
    <row r="16" spans="1:12" ht="10.5" customHeight="1" thickTop="1" thickBot="1">
      <c r="A16" s="96"/>
      <c r="B16" s="97"/>
      <c r="C16" s="98"/>
      <c r="D16" s="99"/>
      <c r="E16" s="99"/>
      <c r="F16" s="99"/>
      <c r="G16" s="99"/>
      <c r="H16" s="100"/>
      <c r="I16" s="101"/>
      <c r="J16" s="99"/>
      <c r="K16" s="102"/>
      <c r="L16" s="279"/>
    </row>
    <row r="17" spans="1:15" ht="39.75" customHeight="1" thickTop="1">
      <c r="A17" s="806" t="s">
        <v>146</v>
      </c>
      <c r="B17" s="807"/>
      <c r="C17" s="807"/>
      <c r="D17" s="807"/>
      <c r="E17" s="807"/>
      <c r="F17" s="807"/>
      <c r="G17" s="807"/>
      <c r="H17" s="807"/>
      <c r="I17" s="807"/>
      <c r="J17" s="807"/>
      <c r="K17" s="808"/>
      <c r="L17" s="279"/>
    </row>
    <row r="18" spans="1:15" ht="24.75" customHeight="1">
      <c r="A18" s="809" t="s">
        <v>4</v>
      </c>
      <c r="B18" s="811" t="s">
        <v>5</v>
      </c>
      <c r="C18" s="811" t="s">
        <v>6</v>
      </c>
      <c r="D18" s="813" t="s">
        <v>7</v>
      </c>
      <c r="E18" s="813" t="s">
        <v>74</v>
      </c>
      <c r="F18" s="813" t="s">
        <v>75</v>
      </c>
      <c r="G18" s="815" t="s">
        <v>130</v>
      </c>
      <c r="H18" s="817" t="s">
        <v>131</v>
      </c>
      <c r="I18" s="818"/>
      <c r="J18" s="818"/>
      <c r="K18" s="819"/>
      <c r="L18" s="279"/>
    </row>
    <row r="19" spans="1:15" ht="45" customHeight="1">
      <c r="A19" s="810"/>
      <c r="B19" s="812"/>
      <c r="C19" s="812"/>
      <c r="D19" s="814"/>
      <c r="E19" s="814"/>
      <c r="F19" s="814"/>
      <c r="G19" s="816"/>
      <c r="H19" s="314" t="s">
        <v>80</v>
      </c>
      <c r="I19" s="315" t="s">
        <v>81</v>
      </c>
      <c r="J19" s="315" t="s">
        <v>82</v>
      </c>
      <c r="K19" s="316" t="s">
        <v>83</v>
      </c>
      <c r="L19" s="279"/>
    </row>
    <row r="20" spans="1:15" ht="32.25" customHeight="1">
      <c r="A20" s="304">
        <v>1</v>
      </c>
      <c r="B20" s="305" t="s">
        <v>138</v>
      </c>
      <c r="C20" s="306" t="s">
        <v>141</v>
      </c>
      <c r="D20" s="307">
        <v>0</v>
      </c>
      <c r="E20" s="307">
        <v>0</v>
      </c>
      <c r="F20" s="307">
        <v>4300000</v>
      </c>
      <c r="G20" s="307">
        <v>2500000</v>
      </c>
      <c r="H20" s="308">
        <v>1.7500000000000002E-2</v>
      </c>
      <c r="I20" s="309">
        <f>+G20*H20</f>
        <v>43750.000000000007</v>
      </c>
      <c r="J20" s="307">
        <f>+G20+I20</f>
        <v>2543750</v>
      </c>
      <c r="K20" s="310">
        <f>+J20</f>
        <v>2543750</v>
      </c>
      <c r="L20" s="279"/>
    </row>
    <row r="21" spans="1:15" ht="32.25" customHeight="1">
      <c r="A21" s="204">
        <v>2</v>
      </c>
      <c r="B21" s="205" t="s">
        <v>138</v>
      </c>
      <c r="C21" s="206" t="s">
        <v>142</v>
      </c>
      <c r="D21" s="209">
        <v>3200550</v>
      </c>
      <c r="E21" s="209">
        <v>3375600</v>
      </c>
      <c r="F21" s="209">
        <v>3594300</v>
      </c>
      <c r="G21" s="209">
        <v>2500000</v>
      </c>
      <c r="H21" s="311">
        <v>1.7500000000000002E-2</v>
      </c>
      <c r="I21" s="312">
        <f t="shared" ref="I21:I22" si="6">+G21*H21</f>
        <v>43750.000000000007</v>
      </c>
      <c r="J21" s="209">
        <f t="shared" ref="J21:J22" si="7">+G21+I21</f>
        <v>2543750</v>
      </c>
      <c r="K21" s="313">
        <f>+J21</f>
        <v>2543750</v>
      </c>
      <c r="L21" s="279"/>
    </row>
    <row r="22" spans="1:15" ht="32.25" customHeight="1" thickBot="1">
      <c r="A22" s="218">
        <v>3</v>
      </c>
      <c r="B22" s="369" t="s">
        <v>138</v>
      </c>
      <c r="C22" s="370" t="s">
        <v>143</v>
      </c>
      <c r="D22" s="221">
        <v>0</v>
      </c>
      <c r="E22" s="221">
        <v>0</v>
      </c>
      <c r="F22" s="221">
        <v>0</v>
      </c>
      <c r="G22" s="221">
        <v>2200000</v>
      </c>
      <c r="H22" s="371">
        <v>1.7500000000000002E-2</v>
      </c>
      <c r="I22" s="372">
        <f t="shared" si="6"/>
        <v>38500.000000000007</v>
      </c>
      <c r="J22" s="221">
        <f t="shared" si="7"/>
        <v>2238500</v>
      </c>
      <c r="K22" s="373">
        <f>+J22</f>
        <v>2238500</v>
      </c>
      <c r="L22" s="279"/>
    </row>
    <row r="23" spans="1:15" ht="21.75" customHeight="1" thickTop="1">
      <c r="A23" s="96"/>
      <c r="B23" s="97"/>
      <c r="C23" s="98"/>
      <c r="D23" s="99"/>
      <c r="E23" s="99"/>
      <c r="F23" s="99"/>
      <c r="G23" s="99"/>
      <c r="H23" s="100"/>
      <c r="I23" s="101"/>
      <c r="J23" s="99"/>
      <c r="K23" s="102"/>
      <c r="L23" s="279"/>
    </row>
    <row r="24" spans="1:15" ht="10.5" customHeight="1">
      <c r="A24" s="96"/>
      <c r="B24" s="97"/>
      <c r="C24" s="98"/>
      <c r="D24" s="99"/>
      <c r="E24" s="99"/>
      <c r="F24" s="99"/>
      <c r="G24" s="99"/>
      <c r="H24" s="100"/>
      <c r="I24" s="101"/>
      <c r="J24" s="99"/>
      <c r="K24" s="102"/>
      <c r="L24" s="279"/>
    </row>
    <row r="25" spans="1:15" ht="10.5" customHeight="1" thickBot="1">
      <c r="A25" s="96"/>
      <c r="B25" s="97"/>
      <c r="C25" s="98"/>
      <c r="D25" s="99"/>
      <c r="E25" s="99"/>
      <c r="F25" s="99"/>
      <c r="G25" s="99"/>
      <c r="H25" s="100"/>
      <c r="I25" s="101"/>
      <c r="J25" s="99"/>
      <c r="K25" s="102"/>
      <c r="L25" s="279"/>
    </row>
    <row r="26" spans="1:15" ht="39.75" customHeight="1" thickTop="1">
      <c r="A26" s="820" t="s">
        <v>26</v>
      </c>
      <c r="B26" s="821"/>
      <c r="C26" s="821"/>
      <c r="D26" s="821"/>
      <c r="E26" s="821"/>
      <c r="F26" s="821"/>
      <c r="G26" s="821"/>
      <c r="H26" s="821"/>
      <c r="I26" s="821"/>
      <c r="J26" s="821"/>
      <c r="K26" s="822"/>
      <c r="L26" s="279"/>
    </row>
    <row r="27" spans="1:15" s="103" customFormat="1" ht="24.75" customHeight="1">
      <c r="A27" s="823" t="s">
        <v>4</v>
      </c>
      <c r="B27" s="824" t="s">
        <v>5</v>
      </c>
      <c r="C27" s="824" t="s">
        <v>6</v>
      </c>
      <c r="D27" s="825" t="s">
        <v>7</v>
      </c>
      <c r="E27" s="825" t="s">
        <v>74</v>
      </c>
      <c r="F27" s="826" t="s">
        <v>75</v>
      </c>
      <c r="G27" s="827" t="s">
        <v>130</v>
      </c>
      <c r="H27" s="829" t="s">
        <v>131</v>
      </c>
      <c r="I27" s="829"/>
      <c r="J27" s="829"/>
      <c r="K27" s="830"/>
      <c r="L27" s="279"/>
    </row>
    <row r="28" spans="1:15" s="103" customFormat="1" ht="31.5" customHeight="1" thickBot="1">
      <c r="A28" s="831"/>
      <c r="B28" s="832"/>
      <c r="C28" s="832"/>
      <c r="D28" s="833"/>
      <c r="E28" s="833"/>
      <c r="F28" s="834"/>
      <c r="G28" s="835"/>
      <c r="H28" s="338" t="s">
        <v>80</v>
      </c>
      <c r="I28" s="339" t="s">
        <v>81</v>
      </c>
      <c r="J28" s="339" t="s">
        <v>82</v>
      </c>
      <c r="K28" s="340" t="s">
        <v>83</v>
      </c>
      <c r="L28" s="279"/>
      <c r="O28"/>
    </row>
    <row r="29" spans="1:15" s="103" customFormat="1" ht="32.25" customHeight="1" thickTop="1">
      <c r="A29" s="392">
        <v>1</v>
      </c>
      <c r="B29" s="393" t="s">
        <v>27</v>
      </c>
      <c r="C29" s="394" t="s">
        <v>108</v>
      </c>
      <c r="D29" s="395">
        <v>0</v>
      </c>
      <c r="E29" s="395">
        <v>0</v>
      </c>
      <c r="F29" s="395">
        <v>4300000</v>
      </c>
      <c r="G29" s="395">
        <v>4801549.8625270007</v>
      </c>
      <c r="H29" s="396">
        <v>1.7500000000000002E-2</v>
      </c>
      <c r="I29" s="397">
        <f>+G29*H29</f>
        <v>84027.122594222514</v>
      </c>
      <c r="J29" s="395">
        <f>+G29+I29</f>
        <v>4885576.9851212231</v>
      </c>
      <c r="K29" s="398">
        <f>+J29-27</f>
        <v>4885549.9851212231</v>
      </c>
      <c r="L29" s="279"/>
    </row>
    <row r="30" spans="1:15" s="103" customFormat="1" ht="32.25" customHeight="1">
      <c r="A30" s="399">
        <v>2</v>
      </c>
      <c r="B30" s="400" t="s">
        <v>27</v>
      </c>
      <c r="C30" s="401" t="s">
        <v>28</v>
      </c>
      <c r="D30" s="402">
        <v>3200550</v>
      </c>
      <c r="E30" s="402">
        <v>3375600</v>
      </c>
      <c r="F30" s="402">
        <v>3594300</v>
      </c>
      <c r="G30" s="402">
        <v>4013550.4972620001</v>
      </c>
      <c r="H30" s="403">
        <v>1.7500000000000002E-2</v>
      </c>
      <c r="I30" s="404">
        <f>+G30*H30</f>
        <v>70237.133702085004</v>
      </c>
      <c r="J30" s="402">
        <f>+G30+I30</f>
        <v>4083787.630964085</v>
      </c>
      <c r="K30" s="405">
        <f>+J30-38</f>
        <v>4083749.630964085</v>
      </c>
      <c r="L30" s="279"/>
    </row>
    <row r="31" spans="1:15" s="103" customFormat="1" ht="32.25" customHeight="1">
      <c r="A31" s="399">
        <v>3</v>
      </c>
      <c r="B31" s="406" t="s">
        <v>27</v>
      </c>
      <c r="C31" s="407" t="s">
        <v>111</v>
      </c>
      <c r="D31" s="402">
        <v>0</v>
      </c>
      <c r="E31" s="402">
        <v>0</v>
      </c>
      <c r="F31" s="402">
        <v>0</v>
      </c>
      <c r="G31" s="402">
        <v>4131600</v>
      </c>
      <c r="H31" s="403">
        <v>1.7500000000000002E-2</v>
      </c>
      <c r="I31" s="404">
        <f t="shared" ref="I31:I35" si="8">+G31*H31</f>
        <v>72303</v>
      </c>
      <c r="J31" s="402">
        <f t="shared" ref="J31:J35" si="9">+G31+I31</f>
        <v>4203903</v>
      </c>
      <c r="K31" s="405">
        <f>+J31-3</f>
        <v>4203900</v>
      </c>
      <c r="L31" s="279"/>
      <c r="O31" s="273"/>
    </row>
    <row r="32" spans="1:15" s="103" customFormat="1" ht="32.25" customHeight="1">
      <c r="A32" s="399">
        <v>4</v>
      </c>
      <c r="B32" s="406" t="s">
        <v>27</v>
      </c>
      <c r="C32" s="407" t="s">
        <v>113</v>
      </c>
      <c r="D32" s="402">
        <v>0</v>
      </c>
      <c r="E32" s="402">
        <v>0</v>
      </c>
      <c r="F32" s="402">
        <v>0</v>
      </c>
      <c r="G32" s="402">
        <v>3970749.52</v>
      </c>
      <c r="H32" s="403">
        <v>1.7500000000000002E-2</v>
      </c>
      <c r="I32" s="404">
        <f t="shared" si="8"/>
        <v>69488.116600000008</v>
      </c>
      <c r="J32" s="402">
        <f t="shared" si="9"/>
        <v>4040237.6365999999</v>
      </c>
      <c r="K32" s="405">
        <f>+J32-38</f>
        <v>4040199.6365999999</v>
      </c>
      <c r="L32" s="279"/>
    </row>
    <row r="33" spans="1:12" s="103" customFormat="1" ht="32.25" customHeight="1">
      <c r="A33" s="399">
        <v>5</v>
      </c>
      <c r="B33" s="406" t="s">
        <v>27</v>
      </c>
      <c r="C33" s="407" t="s">
        <v>114</v>
      </c>
      <c r="D33" s="402">
        <v>0</v>
      </c>
      <c r="E33" s="402">
        <v>0</v>
      </c>
      <c r="F33" s="402">
        <v>0</v>
      </c>
      <c r="G33" s="402">
        <v>4669350.12158</v>
      </c>
      <c r="H33" s="403">
        <v>1.7500000000000002E-2</v>
      </c>
      <c r="I33" s="404">
        <f t="shared" si="8"/>
        <v>81713.627127650005</v>
      </c>
      <c r="J33" s="402">
        <f t="shared" si="9"/>
        <v>4751063.7487076502</v>
      </c>
      <c r="K33" s="405">
        <f>+J33-14</f>
        <v>4751049.7487076502</v>
      </c>
      <c r="L33" s="279"/>
    </row>
    <row r="34" spans="1:12" s="103" customFormat="1" ht="32.25" customHeight="1">
      <c r="A34" s="399">
        <v>6</v>
      </c>
      <c r="B34" s="400" t="s">
        <v>27</v>
      </c>
      <c r="C34" s="401" t="s">
        <v>115</v>
      </c>
      <c r="D34" s="402">
        <v>0</v>
      </c>
      <c r="E34" s="402">
        <v>0</v>
      </c>
      <c r="F34" s="402">
        <v>0</v>
      </c>
      <c r="G34" s="402">
        <v>3434149.83</v>
      </c>
      <c r="H34" s="403">
        <v>1.7500000000000002E-2</v>
      </c>
      <c r="I34" s="404">
        <f t="shared" si="8"/>
        <v>60097.622025000004</v>
      </c>
      <c r="J34" s="402">
        <f t="shared" si="9"/>
        <v>3494247.452025</v>
      </c>
      <c r="K34" s="405">
        <f>+J34-47</f>
        <v>3494200.452025</v>
      </c>
      <c r="L34" s="279"/>
    </row>
    <row r="35" spans="1:12" s="103" customFormat="1" ht="32.25" customHeight="1">
      <c r="A35" s="399">
        <v>7</v>
      </c>
      <c r="B35" s="406" t="s">
        <v>27</v>
      </c>
      <c r="C35" s="407" t="s">
        <v>127</v>
      </c>
      <c r="D35" s="402"/>
      <c r="E35" s="402"/>
      <c r="F35" s="402"/>
      <c r="G35" s="402">
        <v>3323500</v>
      </c>
      <c r="H35" s="403">
        <v>1.7500000000000002E-2</v>
      </c>
      <c r="I35" s="404">
        <f t="shared" si="8"/>
        <v>58161.250000000007</v>
      </c>
      <c r="J35" s="402">
        <f t="shared" si="9"/>
        <v>3381661.25</v>
      </c>
      <c r="K35" s="405">
        <f>+J35-11</f>
        <v>3381650.25</v>
      </c>
      <c r="L35" s="279"/>
    </row>
    <row r="36" spans="1:12" s="103" customFormat="1" ht="32.25" customHeight="1">
      <c r="A36" s="399">
        <v>8</v>
      </c>
      <c r="B36" s="400" t="s">
        <v>27</v>
      </c>
      <c r="C36" s="401" t="s">
        <v>128</v>
      </c>
      <c r="D36" s="402">
        <v>0</v>
      </c>
      <c r="E36" s="402">
        <v>0</v>
      </c>
      <c r="F36" s="402">
        <v>0</v>
      </c>
      <c r="G36" s="402">
        <v>4518899.5999999996</v>
      </c>
      <c r="H36" s="403">
        <v>1.7500000000000002E-2</v>
      </c>
      <c r="I36" s="404">
        <f t="shared" ref="I36" si="10">+G36*H36</f>
        <v>79080.743000000002</v>
      </c>
      <c r="J36" s="402">
        <f t="shared" ref="J36" si="11">+G36+I36</f>
        <v>4597980.3429999994</v>
      </c>
      <c r="K36" s="405">
        <f>+J36-30</f>
        <v>4597950.3429999994</v>
      </c>
      <c r="L36" s="279"/>
    </row>
    <row r="37" spans="1:12" s="103" customFormat="1" ht="32.25" customHeight="1">
      <c r="A37" s="399">
        <v>9</v>
      </c>
      <c r="B37" s="406" t="s">
        <v>27</v>
      </c>
      <c r="C37" s="407" t="s">
        <v>139</v>
      </c>
      <c r="D37" s="402"/>
      <c r="E37" s="402"/>
      <c r="F37" s="402"/>
      <c r="G37" s="402">
        <v>4351000</v>
      </c>
      <c r="H37" s="403">
        <f>+H36</f>
        <v>1.7500000000000002E-2</v>
      </c>
      <c r="I37" s="404">
        <f t="shared" ref="I37:I38" si="12">+G37*H37</f>
        <v>76142.5</v>
      </c>
      <c r="J37" s="402">
        <f t="shared" ref="J37:J38" si="13">+G37+I37</f>
        <v>4427142.5</v>
      </c>
      <c r="K37" s="405">
        <f>+J37-43</f>
        <v>4427099.5</v>
      </c>
      <c r="L37" s="279"/>
    </row>
    <row r="38" spans="1:12" s="103" customFormat="1" ht="32.25" customHeight="1">
      <c r="A38" s="399">
        <v>10</v>
      </c>
      <c r="B38" s="406" t="s">
        <v>27</v>
      </c>
      <c r="C38" s="407" t="s">
        <v>144</v>
      </c>
      <c r="D38" s="402"/>
      <c r="E38" s="402"/>
      <c r="F38" s="402"/>
      <c r="G38" s="402">
        <v>4500000</v>
      </c>
      <c r="H38" s="403">
        <f>+H37</f>
        <v>1.7500000000000002E-2</v>
      </c>
      <c r="I38" s="404">
        <f t="shared" si="12"/>
        <v>78750.000000000015</v>
      </c>
      <c r="J38" s="402">
        <f t="shared" si="13"/>
        <v>4578750</v>
      </c>
      <c r="K38" s="405">
        <f>+J38</f>
        <v>4578750</v>
      </c>
      <c r="L38" s="279"/>
    </row>
    <row r="39" spans="1:12" s="103" customFormat="1" ht="32.25" customHeight="1" thickBot="1">
      <c r="A39" s="408">
        <v>11</v>
      </c>
      <c r="B39" s="409" t="s">
        <v>27</v>
      </c>
      <c r="C39" s="410" t="s">
        <v>145</v>
      </c>
      <c r="D39" s="411"/>
      <c r="E39" s="411"/>
      <c r="F39" s="411"/>
      <c r="G39" s="411">
        <v>4500000</v>
      </c>
      <c r="H39" s="412">
        <f>+H38</f>
        <v>1.7500000000000002E-2</v>
      </c>
      <c r="I39" s="413">
        <f t="shared" ref="I39" si="14">+G39*H39</f>
        <v>78750.000000000015</v>
      </c>
      <c r="J39" s="411">
        <f t="shared" ref="J39" si="15">+G39+I39</f>
        <v>4578750</v>
      </c>
      <c r="K39" s="414">
        <f>+J39</f>
        <v>4578750</v>
      </c>
      <c r="L39" s="279"/>
    </row>
    <row r="40" spans="1:12" s="347" customFormat="1" ht="32.25" customHeight="1" thickTop="1" thickBot="1">
      <c r="A40" s="341"/>
      <c r="B40" s="341"/>
      <c r="C40" s="303"/>
      <c r="D40" s="342"/>
      <c r="E40" s="342"/>
      <c r="F40" s="342"/>
      <c r="G40" s="342"/>
      <c r="H40" s="343"/>
      <c r="I40" s="344"/>
      <c r="J40" s="342"/>
      <c r="K40" s="345"/>
      <c r="L40" s="346"/>
    </row>
    <row r="41" spans="1:12" s="103" customFormat="1" ht="32.25" customHeight="1" thickTop="1">
      <c r="A41" s="820" t="s">
        <v>133</v>
      </c>
      <c r="B41" s="821"/>
      <c r="C41" s="821"/>
      <c r="D41" s="821"/>
      <c r="E41" s="821"/>
      <c r="F41" s="821"/>
      <c r="G41" s="821"/>
      <c r="H41" s="821"/>
      <c r="I41" s="821"/>
      <c r="J41" s="821"/>
      <c r="K41" s="822"/>
      <c r="L41" s="279"/>
    </row>
    <row r="42" spans="1:12" s="103" customFormat="1" ht="32.25" customHeight="1">
      <c r="A42" s="823" t="s">
        <v>4</v>
      </c>
      <c r="B42" s="824" t="s">
        <v>5</v>
      </c>
      <c r="C42" s="824" t="s">
        <v>134</v>
      </c>
      <c r="D42" s="825" t="s">
        <v>7</v>
      </c>
      <c r="E42" s="825" t="s">
        <v>74</v>
      </c>
      <c r="F42" s="826" t="s">
        <v>75</v>
      </c>
      <c r="G42" s="827" t="s">
        <v>130</v>
      </c>
      <c r="H42" s="829" t="s">
        <v>131</v>
      </c>
      <c r="I42" s="829"/>
      <c r="J42" s="829"/>
      <c r="K42" s="830"/>
      <c r="L42" s="279"/>
    </row>
    <row r="43" spans="1:12" s="103" customFormat="1" ht="32.25" customHeight="1">
      <c r="A43" s="823"/>
      <c r="B43" s="824"/>
      <c r="C43" s="824"/>
      <c r="D43" s="825"/>
      <c r="E43" s="825"/>
      <c r="F43" s="826"/>
      <c r="G43" s="828"/>
      <c r="H43" s="317" t="s">
        <v>80</v>
      </c>
      <c r="I43" s="315" t="s">
        <v>81</v>
      </c>
      <c r="J43" s="315" t="s">
        <v>82</v>
      </c>
      <c r="K43" s="316" t="s">
        <v>83</v>
      </c>
      <c r="L43" s="279"/>
    </row>
    <row r="44" spans="1:12" s="103" customFormat="1" ht="32.25" customHeight="1">
      <c r="A44" s="348">
        <v>1</v>
      </c>
      <c r="B44" s="349" t="s">
        <v>135</v>
      </c>
      <c r="C44" s="350" t="s">
        <v>136</v>
      </c>
      <c r="D44" s="351">
        <v>0</v>
      </c>
      <c r="E44" s="351">
        <v>0</v>
      </c>
      <c r="F44" s="351">
        <v>4300000</v>
      </c>
      <c r="G44" s="351">
        <v>5800000</v>
      </c>
      <c r="H44" s="352">
        <v>1.7500000000000002E-2</v>
      </c>
      <c r="I44" s="353">
        <f>+G44*H44</f>
        <v>101500.00000000001</v>
      </c>
      <c r="J44" s="351">
        <f>+G44+I44</f>
        <v>5901500</v>
      </c>
      <c r="K44" s="354">
        <f>+J44</f>
        <v>5901500</v>
      </c>
      <c r="L44" s="279"/>
    </row>
    <row r="45" spans="1:12" s="103" customFormat="1" ht="32.25" customHeight="1">
      <c r="A45" s="355">
        <v>2</v>
      </c>
      <c r="B45" s="356" t="s">
        <v>135</v>
      </c>
      <c r="C45" s="357" t="s">
        <v>137</v>
      </c>
      <c r="D45" s="358">
        <v>3200550</v>
      </c>
      <c r="E45" s="358">
        <v>3375600</v>
      </c>
      <c r="F45" s="358">
        <v>3594300</v>
      </c>
      <c r="G45" s="358">
        <v>5800000</v>
      </c>
      <c r="H45" s="359">
        <v>1.7500000000000002E-2</v>
      </c>
      <c r="I45" s="360">
        <f t="shared" ref="I45:I46" si="16">+G45*H45</f>
        <v>101500.00000000001</v>
      </c>
      <c r="J45" s="358">
        <f t="shared" ref="J45:J46" si="17">+G45+I45</f>
        <v>5901500</v>
      </c>
      <c r="K45" s="361">
        <f>+J45</f>
        <v>5901500</v>
      </c>
      <c r="L45" s="279"/>
    </row>
    <row r="46" spans="1:12" s="103" customFormat="1" ht="32.25" customHeight="1" thickBot="1">
      <c r="A46" s="362">
        <v>3</v>
      </c>
      <c r="B46" s="363" t="s">
        <v>135</v>
      </c>
      <c r="C46" s="364" t="s">
        <v>140</v>
      </c>
      <c r="D46" s="365">
        <v>0</v>
      </c>
      <c r="E46" s="365">
        <v>0</v>
      </c>
      <c r="F46" s="365">
        <v>0</v>
      </c>
      <c r="G46" s="365">
        <v>6500000</v>
      </c>
      <c r="H46" s="366">
        <v>1.7500000000000002E-2</v>
      </c>
      <c r="I46" s="367">
        <f t="shared" si="16"/>
        <v>113750.00000000001</v>
      </c>
      <c r="J46" s="365">
        <f t="shared" si="17"/>
        <v>6613750</v>
      </c>
      <c r="K46" s="368">
        <f>+J46</f>
        <v>6613750</v>
      </c>
      <c r="L46" s="418" t="s">
        <v>148</v>
      </c>
    </row>
    <row r="47" spans="1:12" s="120" customFormat="1" ht="23.25" customHeight="1" thickTop="1" thickBot="1">
      <c r="A47" s="96"/>
      <c r="B47" s="96"/>
      <c r="C47" s="98"/>
      <c r="D47" s="116"/>
      <c r="E47" s="116"/>
      <c r="F47" s="116"/>
      <c r="G47" s="116"/>
      <c r="H47" s="117"/>
      <c r="I47" s="118"/>
      <c r="J47" s="116"/>
      <c r="K47" s="119"/>
      <c r="L47" s="279"/>
    </row>
    <row r="48" spans="1:12" ht="32.25" customHeight="1" thickTop="1">
      <c r="B48" s="806" t="s">
        <v>29</v>
      </c>
      <c r="C48" s="807"/>
      <c r="D48" s="807"/>
      <c r="E48" s="807"/>
      <c r="F48" s="807"/>
      <c r="G48" s="807"/>
      <c r="H48" s="807"/>
      <c r="I48" s="807"/>
      <c r="J48" s="807"/>
      <c r="K48" s="808"/>
      <c r="L48" s="279"/>
    </row>
    <row r="49" spans="1:12" ht="39.75" customHeight="1">
      <c r="A49" s="121"/>
      <c r="B49" s="318" t="s">
        <v>4</v>
      </c>
      <c r="C49" s="319" t="s">
        <v>29</v>
      </c>
      <c r="D49" s="320" t="s">
        <v>84</v>
      </c>
      <c r="E49" s="320" t="s">
        <v>85</v>
      </c>
      <c r="F49" s="321" t="s">
        <v>86</v>
      </c>
      <c r="G49" s="322" t="s">
        <v>132</v>
      </c>
      <c r="H49" s="323" t="s">
        <v>80</v>
      </c>
      <c r="I49" s="320" t="s">
        <v>81</v>
      </c>
      <c r="J49" s="320" t="s">
        <v>82</v>
      </c>
      <c r="K49" s="324" t="s">
        <v>83</v>
      </c>
      <c r="L49" s="279"/>
    </row>
    <row r="50" spans="1:12" ht="20.25" customHeight="1">
      <c r="A50" s="121"/>
      <c r="B50" s="325">
        <v>1</v>
      </c>
      <c r="C50" s="326" t="s">
        <v>87</v>
      </c>
      <c r="D50" s="327">
        <v>59400</v>
      </c>
      <c r="E50" s="328">
        <v>62600</v>
      </c>
      <c r="F50" s="329">
        <v>66600</v>
      </c>
      <c r="G50" s="330">
        <v>74350.438034000006</v>
      </c>
      <c r="H50" s="160">
        <v>1.7500000000000002E-2</v>
      </c>
      <c r="I50" s="161">
        <f>+G50*H50</f>
        <v>1301.1326655950002</v>
      </c>
      <c r="J50" s="162">
        <f t="shared" ref="J50:J72" si="18">+G50+I50</f>
        <v>75651.570699595002</v>
      </c>
      <c r="K50" s="163">
        <f>+J50-2</f>
        <v>75649.570699595002</v>
      </c>
      <c r="L50" s="279"/>
    </row>
    <row r="51" spans="1:12" ht="20.25" customHeight="1">
      <c r="A51" s="121"/>
      <c r="B51" s="331">
        <v>2</v>
      </c>
      <c r="C51" s="332" t="s">
        <v>88</v>
      </c>
      <c r="D51" s="333">
        <v>37800</v>
      </c>
      <c r="E51" s="162">
        <v>39900</v>
      </c>
      <c r="F51" s="334">
        <v>42450</v>
      </c>
      <c r="G51" s="335">
        <v>47399.944596000001</v>
      </c>
      <c r="H51" s="164">
        <v>1.7500000000000002E-2</v>
      </c>
      <c r="I51" s="161">
        <f t="shared" ref="I51:I70" si="19">+G51*H51</f>
        <v>829.49903043000006</v>
      </c>
      <c r="J51" s="162">
        <f t="shared" si="18"/>
        <v>48229.443626430002</v>
      </c>
      <c r="K51" s="165">
        <f>+J51-29</f>
        <v>48200.443626430002</v>
      </c>
      <c r="L51" s="279"/>
    </row>
    <row r="52" spans="1:12" ht="20.25" customHeight="1">
      <c r="A52" s="121"/>
      <c r="B52" s="331">
        <v>3</v>
      </c>
      <c r="C52" s="332" t="s">
        <v>89</v>
      </c>
      <c r="D52" s="333">
        <v>37800</v>
      </c>
      <c r="E52" s="162">
        <v>39900</v>
      </c>
      <c r="F52" s="334">
        <v>66222</v>
      </c>
      <c r="G52" s="335">
        <v>73849.774281999998</v>
      </c>
      <c r="H52" s="164">
        <v>1.7500000000000002E-2</v>
      </c>
      <c r="I52" s="161">
        <f t="shared" si="19"/>
        <v>1292.3710499350002</v>
      </c>
      <c r="J52" s="162">
        <f t="shared" si="18"/>
        <v>75142.145331934997</v>
      </c>
      <c r="K52" s="165">
        <f>+J52-42</f>
        <v>75100.145331934997</v>
      </c>
      <c r="L52" s="279"/>
    </row>
    <row r="53" spans="1:12" ht="20.25" customHeight="1">
      <c r="A53" s="121"/>
      <c r="B53" s="331">
        <v>4</v>
      </c>
      <c r="C53" s="336" t="s">
        <v>90</v>
      </c>
      <c r="D53" s="333">
        <v>315600</v>
      </c>
      <c r="E53" s="162">
        <v>332900</v>
      </c>
      <c r="F53" s="334">
        <v>354450</v>
      </c>
      <c r="G53" s="335">
        <v>395749.57154400001</v>
      </c>
      <c r="H53" s="164">
        <v>1.7500000000000002E-2</v>
      </c>
      <c r="I53" s="161">
        <f t="shared" si="19"/>
        <v>6925.6175020200008</v>
      </c>
      <c r="J53" s="162">
        <f t="shared" si="18"/>
        <v>402675.18904601998</v>
      </c>
      <c r="K53" s="165">
        <f>+J53-25</f>
        <v>402650.18904601998</v>
      </c>
      <c r="L53" s="279"/>
    </row>
    <row r="54" spans="1:12" ht="20.25" customHeight="1">
      <c r="A54" s="121"/>
      <c r="B54" s="331">
        <v>5</v>
      </c>
      <c r="C54" s="336" t="s">
        <v>91</v>
      </c>
      <c r="D54" s="333"/>
      <c r="E54" s="162">
        <v>480000</v>
      </c>
      <c r="F54" s="334">
        <v>511100</v>
      </c>
      <c r="G54" s="335">
        <v>570699.63768399996</v>
      </c>
      <c r="H54" s="164">
        <v>1.7500000000000002E-2</v>
      </c>
      <c r="I54" s="161">
        <f t="shared" si="19"/>
        <v>9987.2436594699993</v>
      </c>
      <c r="J54" s="162">
        <f t="shared" si="18"/>
        <v>580686.88134346996</v>
      </c>
      <c r="K54" s="165">
        <f>+J54-37</f>
        <v>580649.88134346996</v>
      </c>
      <c r="L54" s="279"/>
    </row>
    <row r="55" spans="1:12" ht="20.25" customHeight="1">
      <c r="A55" s="121"/>
      <c r="B55" s="331">
        <v>6</v>
      </c>
      <c r="C55" s="337" t="s">
        <v>92</v>
      </c>
      <c r="D55" s="333">
        <v>7800</v>
      </c>
      <c r="E55" s="162">
        <v>8200</v>
      </c>
      <c r="F55" s="334">
        <v>8700</v>
      </c>
      <c r="G55" s="335">
        <v>9699.91</v>
      </c>
      <c r="H55" s="164">
        <v>1.7500000000000002E-2</v>
      </c>
      <c r="I55" s="161">
        <f t="shared" si="19"/>
        <v>169.74842500000003</v>
      </c>
      <c r="J55" s="162">
        <f t="shared" si="18"/>
        <v>9869.6584249999996</v>
      </c>
      <c r="K55" s="165">
        <f>+J55-20</f>
        <v>9849.6584249999996</v>
      </c>
      <c r="L55" s="279"/>
    </row>
    <row r="56" spans="1:12" ht="20.25" customHeight="1">
      <c r="A56" s="121"/>
      <c r="B56" s="331">
        <v>7</v>
      </c>
      <c r="C56" s="336" t="s">
        <v>93</v>
      </c>
      <c r="D56" s="333">
        <v>115700</v>
      </c>
      <c r="E56" s="162">
        <v>122000</v>
      </c>
      <c r="F56" s="334">
        <v>129900</v>
      </c>
      <c r="G56" s="335">
        <v>145050.42000000001</v>
      </c>
      <c r="H56" s="164">
        <v>1.7500000000000002E-2</v>
      </c>
      <c r="I56" s="161">
        <f t="shared" si="19"/>
        <v>2538.3823500000003</v>
      </c>
      <c r="J56" s="162">
        <f t="shared" si="18"/>
        <v>147588.80235000001</v>
      </c>
      <c r="K56" s="165">
        <f>+J56-39</f>
        <v>147549.80235000001</v>
      </c>
      <c r="L56" s="279"/>
    </row>
    <row r="57" spans="1:12" ht="20.25" customHeight="1">
      <c r="A57" s="121"/>
      <c r="B57" s="331">
        <v>8</v>
      </c>
      <c r="C57" s="336" t="s">
        <v>94</v>
      </c>
      <c r="D57" s="333">
        <v>206000</v>
      </c>
      <c r="E57" s="162">
        <v>217300</v>
      </c>
      <c r="F57" s="334">
        <v>231350</v>
      </c>
      <c r="G57" s="335">
        <v>258300.141966</v>
      </c>
      <c r="H57" s="164">
        <v>1.7500000000000002E-2</v>
      </c>
      <c r="I57" s="161">
        <f t="shared" si="19"/>
        <v>4520.2524844050004</v>
      </c>
      <c r="J57" s="162">
        <f t="shared" si="18"/>
        <v>262820.39445040497</v>
      </c>
      <c r="K57" s="165">
        <f>+J57-20</f>
        <v>262800.39445040497</v>
      </c>
      <c r="L57" s="279"/>
    </row>
    <row r="58" spans="1:12" ht="20.25" customHeight="1">
      <c r="A58" s="121"/>
      <c r="B58" s="331">
        <v>9</v>
      </c>
      <c r="C58" s="336" t="s">
        <v>95</v>
      </c>
      <c r="D58" s="333">
        <v>5200</v>
      </c>
      <c r="E58" s="162">
        <v>5500</v>
      </c>
      <c r="F58" s="334">
        <v>5850</v>
      </c>
      <c r="G58" s="335">
        <v>6500</v>
      </c>
      <c r="H58" s="164">
        <v>1.7500000000000002E-2</v>
      </c>
      <c r="I58" s="161">
        <f t="shared" si="19"/>
        <v>113.75000000000001</v>
      </c>
      <c r="J58" s="162">
        <f t="shared" si="18"/>
        <v>6613.75</v>
      </c>
      <c r="K58" s="165">
        <f>+J58-14</f>
        <v>6599.75</v>
      </c>
      <c r="L58" s="279"/>
    </row>
    <row r="59" spans="1:12" ht="20.25" customHeight="1">
      <c r="A59" s="121"/>
      <c r="B59" s="331">
        <v>10</v>
      </c>
      <c r="C59" s="336" t="s">
        <v>96</v>
      </c>
      <c r="D59" s="333">
        <v>59500</v>
      </c>
      <c r="E59" s="162">
        <v>62800</v>
      </c>
      <c r="F59" s="334">
        <v>66850</v>
      </c>
      <c r="G59" s="335">
        <v>74650.34</v>
      </c>
      <c r="H59" s="164">
        <v>1.7500000000000002E-2</v>
      </c>
      <c r="I59" s="161">
        <f t="shared" si="19"/>
        <v>1306.38095</v>
      </c>
      <c r="J59" s="162">
        <f t="shared" si="18"/>
        <v>75956.720950000003</v>
      </c>
      <c r="K59" s="165">
        <f>+J59-7</f>
        <v>75949.720950000003</v>
      </c>
      <c r="L59" s="279"/>
    </row>
    <row r="60" spans="1:12" ht="20.25" customHeight="1">
      <c r="A60" s="121"/>
      <c r="B60" s="331">
        <v>11</v>
      </c>
      <c r="C60" s="336" t="s">
        <v>97</v>
      </c>
      <c r="D60" s="333">
        <v>17900</v>
      </c>
      <c r="E60" s="162">
        <v>18900</v>
      </c>
      <c r="F60" s="334">
        <v>20100</v>
      </c>
      <c r="G60" s="335">
        <v>22349.798842</v>
      </c>
      <c r="H60" s="164">
        <v>1.7500000000000002E-2</v>
      </c>
      <c r="I60" s="161">
        <f t="shared" si="19"/>
        <v>391.12147973500004</v>
      </c>
      <c r="J60" s="162">
        <f t="shared" si="18"/>
        <v>22740.920321735</v>
      </c>
      <c r="K60" s="165">
        <f>+J60-41</f>
        <v>22699.920321735</v>
      </c>
      <c r="L60" s="279"/>
    </row>
    <row r="61" spans="1:12" ht="20.25" customHeight="1">
      <c r="A61" s="121"/>
      <c r="B61" s="331">
        <v>12</v>
      </c>
      <c r="C61" s="336" t="s">
        <v>98</v>
      </c>
      <c r="D61" s="333">
        <v>11600</v>
      </c>
      <c r="E61" s="162">
        <v>12200</v>
      </c>
      <c r="F61" s="334">
        <v>12950</v>
      </c>
      <c r="G61" s="335">
        <v>14450.47</v>
      </c>
      <c r="H61" s="164">
        <v>1.7500000000000002E-2</v>
      </c>
      <c r="I61" s="161">
        <f t="shared" si="19"/>
        <v>252.88322500000001</v>
      </c>
      <c r="J61" s="162">
        <f t="shared" si="18"/>
        <v>14703.353224999999</v>
      </c>
      <c r="K61" s="165">
        <f>+J61-3</f>
        <v>14700.353224999999</v>
      </c>
      <c r="L61" s="279"/>
    </row>
    <row r="62" spans="1:12" ht="20.25" customHeight="1">
      <c r="A62" s="121"/>
      <c r="B62" s="331">
        <v>13</v>
      </c>
      <c r="C62" s="336" t="s">
        <v>99</v>
      </c>
      <c r="D62" s="333">
        <v>0</v>
      </c>
      <c r="E62" s="162">
        <v>196200</v>
      </c>
      <c r="F62" s="334">
        <v>208900</v>
      </c>
      <c r="G62" s="335">
        <v>233249.99621200003</v>
      </c>
      <c r="H62" s="164">
        <v>1.7500000000000002E-2</v>
      </c>
      <c r="I62" s="161">
        <f t="shared" si="19"/>
        <v>4081.8749337100007</v>
      </c>
      <c r="J62" s="162">
        <f t="shared" si="18"/>
        <v>237331.87114571003</v>
      </c>
      <c r="K62" s="165">
        <f>+J62-32</f>
        <v>237299.87114571003</v>
      </c>
      <c r="L62" s="279"/>
    </row>
    <row r="63" spans="1:12" ht="20.25" customHeight="1">
      <c r="A63" s="121"/>
      <c r="B63" s="331">
        <v>14</v>
      </c>
      <c r="C63" s="336" t="s">
        <v>100</v>
      </c>
      <c r="D63" s="333">
        <v>0</v>
      </c>
      <c r="E63" s="162">
        <v>0</v>
      </c>
      <c r="F63" s="334">
        <v>325884</v>
      </c>
      <c r="G63" s="335">
        <v>363849.54115800001</v>
      </c>
      <c r="H63" s="164">
        <v>1.7500000000000002E-2</v>
      </c>
      <c r="I63" s="161">
        <f t="shared" si="19"/>
        <v>6367.3669702650004</v>
      </c>
      <c r="J63" s="162">
        <f t="shared" si="18"/>
        <v>370216.908128265</v>
      </c>
      <c r="K63" s="165">
        <f>+J63-17</f>
        <v>370199.908128265</v>
      </c>
      <c r="L63" s="279"/>
    </row>
    <row r="64" spans="1:12" ht="20.25" customHeight="1">
      <c r="A64" s="121"/>
      <c r="B64" s="331">
        <v>15</v>
      </c>
      <c r="C64" s="336" t="s">
        <v>101</v>
      </c>
      <c r="D64" s="333">
        <v>36700</v>
      </c>
      <c r="E64" s="162">
        <v>38700</v>
      </c>
      <c r="F64" s="334">
        <v>41200</v>
      </c>
      <c r="G64" s="335">
        <v>45999.533402000001</v>
      </c>
      <c r="H64" s="164">
        <v>1.7500000000000002E-2</v>
      </c>
      <c r="I64" s="161">
        <f t="shared" si="19"/>
        <v>804.99183453500007</v>
      </c>
      <c r="J64" s="162">
        <f t="shared" si="18"/>
        <v>46804.525236535002</v>
      </c>
      <c r="K64" s="165">
        <f>+J64-5</f>
        <v>46799.525236535002</v>
      </c>
      <c r="L64" s="279"/>
    </row>
    <row r="65" spans="1:12" ht="20.25" customHeight="1">
      <c r="A65" s="121"/>
      <c r="B65" s="331">
        <v>16</v>
      </c>
      <c r="C65" s="336" t="s">
        <v>102</v>
      </c>
      <c r="D65" s="333">
        <v>0</v>
      </c>
      <c r="E65" s="162">
        <v>0</v>
      </c>
      <c r="F65" s="334">
        <v>64272</v>
      </c>
      <c r="G65" s="335">
        <v>71750.259999999995</v>
      </c>
      <c r="H65" s="164">
        <v>1.7500000000000002E-2</v>
      </c>
      <c r="I65" s="161">
        <f t="shared" si="19"/>
        <v>1255.6295500000001</v>
      </c>
      <c r="J65" s="162">
        <f t="shared" si="18"/>
        <v>73005.889549999993</v>
      </c>
      <c r="K65" s="165">
        <f>+J65-6</f>
        <v>72999.889549999993</v>
      </c>
      <c r="L65" s="279"/>
    </row>
    <row r="66" spans="1:12" ht="20.25" customHeight="1">
      <c r="A66" s="121"/>
      <c r="B66" s="331">
        <v>17</v>
      </c>
      <c r="C66" s="336" t="s">
        <v>103</v>
      </c>
      <c r="D66" s="333">
        <v>225000</v>
      </c>
      <c r="E66" s="162">
        <v>237300</v>
      </c>
      <c r="F66" s="334">
        <v>252650</v>
      </c>
      <c r="G66" s="335">
        <v>282100.24340199999</v>
      </c>
      <c r="H66" s="164">
        <v>1.7500000000000002E-2</v>
      </c>
      <c r="I66" s="161">
        <f t="shared" si="19"/>
        <v>4936.7542595350005</v>
      </c>
      <c r="J66" s="162">
        <f t="shared" si="18"/>
        <v>287036.99766153499</v>
      </c>
      <c r="K66" s="165">
        <f>+J66-37</f>
        <v>286999.99766153499</v>
      </c>
      <c r="L66" s="279"/>
    </row>
    <row r="67" spans="1:12" ht="20.25" customHeight="1">
      <c r="A67" s="121"/>
      <c r="B67" s="331">
        <v>18</v>
      </c>
      <c r="C67" s="336" t="s">
        <v>104</v>
      </c>
      <c r="D67" s="333">
        <v>0</v>
      </c>
      <c r="E67" s="162">
        <v>0</v>
      </c>
      <c r="F67" s="334">
        <v>605000</v>
      </c>
      <c r="G67" s="335">
        <v>675549.73350999993</v>
      </c>
      <c r="H67" s="164">
        <v>1.7500000000000002E-2</v>
      </c>
      <c r="I67" s="161">
        <f t="shared" si="19"/>
        <v>11822.120336425</v>
      </c>
      <c r="J67" s="162">
        <f t="shared" si="18"/>
        <v>687371.85384642496</v>
      </c>
      <c r="K67" s="165">
        <f>+J67-22</f>
        <v>687349.85384642496</v>
      </c>
      <c r="L67" s="279"/>
    </row>
    <row r="68" spans="1:12" ht="20.25" customHeight="1">
      <c r="A68" s="121"/>
      <c r="B68" s="331">
        <v>19</v>
      </c>
      <c r="C68" s="336" t="s">
        <v>105</v>
      </c>
      <c r="D68" s="333">
        <v>0</v>
      </c>
      <c r="E68" s="162">
        <v>0</v>
      </c>
      <c r="F68" s="334">
        <v>1080000</v>
      </c>
      <c r="G68" s="335">
        <v>1205900.46</v>
      </c>
      <c r="H68" s="164">
        <v>1.7500000000000002E-2</v>
      </c>
      <c r="I68" s="161">
        <f t="shared" si="19"/>
        <v>21103.25805</v>
      </c>
      <c r="J68" s="162">
        <f t="shared" si="18"/>
        <v>1227003.71805</v>
      </c>
      <c r="K68" s="165">
        <f>+J68-4</f>
        <v>1226999.71805</v>
      </c>
      <c r="L68" s="279"/>
    </row>
    <row r="69" spans="1:12" ht="20.25" customHeight="1">
      <c r="A69" s="121"/>
      <c r="B69" s="331">
        <v>20</v>
      </c>
      <c r="C69" s="336" t="s">
        <v>106</v>
      </c>
      <c r="D69" s="333">
        <v>0</v>
      </c>
      <c r="E69" s="162">
        <v>0</v>
      </c>
      <c r="F69" s="334">
        <v>405000</v>
      </c>
      <c r="G69" s="335">
        <v>452200.04533200001</v>
      </c>
      <c r="H69" s="164">
        <v>1.7500000000000002E-2</v>
      </c>
      <c r="I69" s="161">
        <f t="shared" si="19"/>
        <v>7913.5007933100005</v>
      </c>
      <c r="J69" s="162">
        <f t="shared" si="18"/>
        <v>460113.54612531001</v>
      </c>
      <c r="K69" s="165">
        <f>+J69-14</f>
        <v>460099.54612531001</v>
      </c>
      <c r="L69" s="279"/>
    </row>
    <row r="70" spans="1:12" ht="20.25" customHeight="1">
      <c r="A70" s="121"/>
      <c r="B70" s="331">
        <v>21</v>
      </c>
      <c r="C70" s="336" t="s">
        <v>107</v>
      </c>
      <c r="D70" s="333">
        <v>0</v>
      </c>
      <c r="E70" s="162">
        <v>0</v>
      </c>
      <c r="F70" s="334">
        <v>720000</v>
      </c>
      <c r="G70" s="335">
        <v>803949.63389599998</v>
      </c>
      <c r="H70" s="164">
        <v>1.7500000000000002E-2</v>
      </c>
      <c r="I70" s="242">
        <f t="shared" si="19"/>
        <v>14069.118593180001</v>
      </c>
      <c r="J70" s="162">
        <f t="shared" si="18"/>
        <v>818018.75248917995</v>
      </c>
      <c r="K70" s="165">
        <f>+J70-19</f>
        <v>817999.75248917995</v>
      </c>
      <c r="L70" s="279"/>
    </row>
    <row r="71" spans="1:12" ht="20.25" customHeight="1">
      <c r="A71" s="121"/>
      <c r="B71" s="244">
        <v>22</v>
      </c>
      <c r="C71" s="245" t="s">
        <v>119</v>
      </c>
      <c r="D71" s="246"/>
      <c r="E71" s="247"/>
      <c r="F71" s="248"/>
      <c r="G71" s="249">
        <v>2549.5</v>
      </c>
      <c r="H71" s="250">
        <v>1.7500000000000002E-2</v>
      </c>
      <c r="I71" s="251">
        <f>+G71*H71</f>
        <v>44.616250000000001</v>
      </c>
      <c r="J71" s="277">
        <f t="shared" si="18"/>
        <v>2594.11625</v>
      </c>
      <c r="K71" s="278">
        <f>+J71-44</f>
        <v>2550.11625</v>
      </c>
      <c r="L71" s="279"/>
    </row>
    <row r="72" spans="1:12" ht="20.25" customHeight="1">
      <c r="A72" s="121"/>
      <c r="B72" s="253">
        <v>23</v>
      </c>
      <c r="C72" s="254" t="s">
        <v>120</v>
      </c>
      <c r="D72" s="255"/>
      <c r="E72" s="256"/>
      <c r="F72" s="257"/>
      <c r="G72" s="258">
        <v>41500</v>
      </c>
      <c r="H72" s="259">
        <v>1.7500000000000002E-2</v>
      </c>
      <c r="I72" s="251">
        <f>+G72*H72</f>
        <v>726.25000000000011</v>
      </c>
      <c r="J72" s="277">
        <f t="shared" si="18"/>
        <v>42226.25</v>
      </c>
      <c r="K72" s="278">
        <f>+J72-26</f>
        <v>42200.25</v>
      </c>
      <c r="L72" s="279"/>
    </row>
    <row r="73" spans="1:12" ht="20.25" customHeight="1" thickBot="1">
      <c r="A73" s="121"/>
      <c r="B73" s="261">
        <v>24</v>
      </c>
      <c r="C73" s="262" t="s">
        <v>121</v>
      </c>
      <c r="D73" s="263"/>
      <c r="E73" s="264"/>
      <c r="F73" s="265"/>
      <c r="G73" s="266"/>
      <c r="H73" s="267"/>
      <c r="I73" s="268"/>
      <c r="J73" s="264"/>
      <c r="K73" s="269"/>
      <c r="L73" s="279"/>
    </row>
    <row r="74" spans="1:12" ht="16.5" thickTop="1">
      <c r="C74" s="274" t="s">
        <v>129</v>
      </c>
    </row>
    <row r="75" spans="1:12">
      <c r="C75" s="302" t="s">
        <v>123</v>
      </c>
    </row>
  </sheetData>
  <mergeCells count="38">
    <mergeCell ref="A1:K1"/>
    <mergeCell ref="A3:K3"/>
    <mergeCell ref="A4:A5"/>
    <mergeCell ref="B4:B5"/>
    <mergeCell ref="C4:C5"/>
    <mergeCell ref="D4:D5"/>
    <mergeCell ref="E4:E5"/>
    <mergeCell ref="F4:F5"/>
    <mergeCell ref="G4:G5"/>
    <mergeCell ref="H4:K4"/>
    <mergeCell ref="A26:K26"/>
    <mergeCell ref="A27:A28"/>
    <mergeCell ref="B27:B28"/>
    <mergeCell ref="C27:C28"/>
    <mergeCell ref="D27:D28"/>
    <mergeCell ref="E27:E28"/>
    <mergeCell ref="F27:F28"/>
    <mergeCell ref="G27:G28"/>
    <mergeCell ref="H27:K27"/>
    <mergeCell ref="B48:K48"/>
    <mergeCell ref="A41:K41"/>
    <mergeCell ref="A42:A43"/>
    <mergeCell ref="B42:B43"/>
    <mergeCell ref="C42:C43"/>
    <mergeCell ref="D42:D43"/>
    <mergeCell ref="E42:E43"/>
    <mergeCell ref="F42:F43"/>
    <mergeCell ref="G42:G43"/>
    <mergeCell ref="H42:K42"/>
    <mergeCell ref="A17:K17"/>
    <mergeCell ref="A18:A19"/>
    <mergeCell ref="B18:B19"/>
    <mergeCell ref="C18:C19"/>
    <mergeCell ref="D18:D19"/>
    <mergeCell ref="E18:E19"/>
    <mergeCell ref="F18:F19"/>
    <mergeCell ref="G18:G19"/>
    <mergeCell ref="H18:K18"/>
  </mergeCells>
  <pageMargins left="0.9055118110236221" right="0.31496062992125984" top="0.35433070866141736" bottom="0.15748031496062992" header="0.31496062992125984" footer="0.31496062992125984"/>
  <pageSetup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T92"/>
  <sheetViews>
    <sheetView showGridLines="0" zoomScale="80" zoomScaleNormal="80" workbookViewId="0">
      <selection activeCell="J7" sqref="J7"/>
    </sheetView>
  </sheetViews>
  <sheetFormatPr baseColWidth="10" defaultRowHeight="15.75"/>
  <cols>
    <col min="1" max="1" width="4.28515625" style="84" customWidth="1"/>
    <col min="2" max="2" width="6.85546875" style="84" customWidth="1"/>
    <col min="3" max="3" width="59.140625" style="84" customWidth="1"/>
    <col min="4" max="4" width="14.42578125" style="141" hidden="1" customWidth="1"/>
    <col min="5" max="6" width="14.42578125" style="142" hidden="1" customWidth="1"/>
    <col min="7" max="8" width="14.42578125" style="142" customWidth="1"/>
    <col min="9" max="9" width="15.28515625" style="143" customWidth="1"/>
    <col min="10" max="10" width="15.28515625" style="141" customWidth="1"/>
    <col min="11" max="11" width="13.140625" style="142" bestFit="1" customWidth="1"/>
    <col min="12" max="12" width="13.85546875" style="144" customWidth="1"/>
    <col min="13" max="13" width="18.140625" style="439" hidden="1" customWidth="1"/>
    <col min="14" max="14" width="14.28515625" style="439" hidden="1" customWidth="1"/>
    <col min="15" max="15" width="17.5703125" style="439" hidden="1" customWidth="1"/>
    <col min="16" max="16" width="17.42578125" style="439" hidden="1" customWidth="1"/>
    <col min="17" max="17" width="0" style="439" hidden="1" customWidth="1"/>
    <col min="18" max="42" width="0" style="84" hidden="1" customWidth="1"/>
    <col min="43" max="43" width="11.42578125" style="84"/>
    <col min="44" max="44" width="17.42578125" style="84" bestFit="1" customWidth="1"/>
    <col min="45" max="45" width="15.5703125" style="84" bestFit="1" customWidth="1"/>
    <col min="46" max="16384" width="11.42578125" style="84"/>
  </cols>
  <sheetData>
    <row r="1" spans="1:13" ht="63" customHeight="1">
      <c r="A1" s="793" t="s">
        <v>151</v>
      </c>
      <c r="B1" s="793"/>
      <c r="C1" s="793"/>
      <c r="D1" s="793"/>
      <c r="E1" s="793"/>
      <c r="F1" s="793"/>
      <c r="G1" s="793"/>
      <c r="H1" s="793"/>
      <c r="I1" s="793"/>
      <c r="J1" s="793"/>
      <c r="K1" s="793"/>
      <c r="L1" s="793"/>
    </row>
    <row r="2" spans="1:13" ht="10.5" customHeight="1" thickBot="1">
      <c r="A2" s="417"/>
      <c r="B2" s="417"/>
      <c r="C2" s="417"/>
      <c r="D2" s="417"/>
      <c r="E2" s="417"/>
      <c r="F2" s="417"/>
      <c r="G2" s="417"/>
      <c r="H2" s="438"/>
      <c r="I2" s="417"/>
      <c r="J2" s="417"/>
      <c r="K2" s="417"/>
      <c r="L2" s="417"/>
    </row>
    <row r="3" spans="1:13" ht="42" customHeight="1" thickTop="1">
      <c r="A3" s="820" t="s">
        <v>3</v>
      </c>
      <c r="B3" s="821"/>
      <c r="C3" s="821"/>
      <c r="D3" s="821"/>
      <c r="E3" s="821"/>
      <c r="F3" s="821"/>
      <c r="G3" s="821"/>
      <c r="H3" s="821"/>
      <c r="I3" s="821"/>
      <c r="J3" s="821"/>
      <c r="K3" s="821"/>
      <c r="L3" s="822"/>
    </row>
    <row r="4" spans="1:13" ht="31.5" customHeight="1">
      <c r="A4" s="839" t="s">
        <v>4</v>
      </c>
      <c r="B4" s="840" t="s">
        <v>5</v>
      </c>
      <c r="C4" s="840" t="s">
        <v>6</v>
      </c>
      <c r="D4" s="836" t="s">
        <v>7</v>
      </c>
      <c r="E4" s="836" t="s">
        <v>74</v>
      </c>
      <c r="F4" s="837" t="s">
        <v>75</v>
      </c>
      <c r="G4" s="836" t="s">
        <v>130</v>
      </c>
      <c r="H4" s="836" t="s">
        <v>152</v>
      </c>
      <c r="I4" s="838" t="s">
        <v>154</v>
      </c>
      <c r="J4" s="829"/>
      <c r="K4" s="829"/>
      <c r="L4" s="830"/>
    </row>
    <row r="5" spans="1:13" ht="30.75" customHeight="1">
      <c r="A5" s="839"/>
      <c r="B5" s="840"/>
      <c r="C5" s="840"/>
      <c r="D5" s="836"/>
      <c r="E5" s="836"/>
      <c r="F5" s="837"/>
      <c r="G5" s="836"/>
      <c r="H5" s="836"/>
      <c r="I5" s="519" t="s">
        <v>80</v>
      </c>
      <c r="J5" s="460" t="s">
        <v>81</v>
      </c>
      <c r="K5" s="460" t="s">
        <v>82</v>
      </c>
      <c r="L5" s="461" t="s">
        <v>83</v>
      </c>
    </row>
    <row r="6" spans="1:13" ht="25.5" customHeight="1">
      <c r="A6" s="452">
        <v>1</v>
      </c>
      <c r="B6" s="453" t="s">
        <v>12</v>
      </c>
      <c r="C6" s="454" t="s">
        <v>22</v>
      </c>
      <c r="D6" s="416">
        <v>1793000</v>
      </c>
      <c r="E6" s="416">
        <v>1891100</v>
      </c>
      <c r="F6" s="518">
        <v>2013600</v>
      </c>
      <c r="G6" s="521">
        <v>2248449.6541070002</v>
      </c>
      <c r="H6" s="521">
        <v>2287749.5230538729</v>
      </c>
      <c r="I6" s="520">
        <v>4.58E-2</v>
      </c>
      <c r="J6" s="455">
        <f>+H6*I6</f>
        <v>104778.92815586738</v>
      </c>
      <c r="K6" s="622">
        <f>+H6+J6</f>
        <v>2392528.4512097402</v>
      </c>
      <c r="L6" s="596">
        <f>+K6-28</f>
        <v>2392500.4512097402</v>
      </c>
      <c r="M6" s="440"/>
    </row>
    <row r="7" spans="1:13" ht="43.5" customHeight="1">
      <c r="A7" s="177">
        <v>2</v>
      </c>
      <c r="B7" s="178" t="s">
        <v>12</v>
      </c>
      <c r="C7" s="179" t="s">
        <v>109</v>
      </c>
      <c r="D7" s="276">
        <v>0</v>
      </c>
      <c r="E7" s="180">
        <v>1646000</v>
      </c>
      <c r="F7" s="378">
        <v>1752600</v>
      </c>
      <c r="G7" s="522">
        <v>1956999.855368</v>
      </c>
      <c r="H7" s="522">
        <v>1991200.35283694</v>
      </c>
      <c r="I7" s="182">
        <v>4.58E-2</v>
      </c>
      <c r="J7" s="456">
        <f t="shared" ref="J7:J11" si="0">+H7*I7</f>
        <v>91196.976159931844</v>
      </c>
      <c r="K7" s="181">
        <f t="shared" ref="K7:K11" si="1">+H7+J7</f>
        <v>2082397.3289968718</v>
      </c>
      <c r="L7" s="597">
        <f>+K7-47</f>
        <v>2082350.3289968718</v>
      </c>
      <c r="M7" s="440"/>
    </row>
    <row r="8" spans="1:13" ht="43.5" customHeight="1">
      <c r="A8" s="177">
        <v>3</v>
      </c>
      <c r="B8" s="178" t="s">
        <v>12</v>
      </c>
      <c r="C8" s="179" t="s">
        <v>16</v>
      </c>
      <c r="D8" s="180">
        <v>1793000</v>
      </c>
      <c r="E8" s="180">
        <v>1891100</v>
      </c>
      <c r="F8" s="378">
        <v>2013600</v>
      </c>
      <c r="G8" s="522">
        <v>2248449.6541070002</v>
      </c>
      <c r="H8" s="522">
        <v>2287749.5230538729</v>
      </c>
      <c r="I8" s="182">
        <v>4.58E-2</v>
      </c>
      <c r="J8" s="456">
        <f t="shared" si="0"/>
        <v>104778.92815586738</v>
      </c>
      <c r="K8" s="181">
        <f t="shared" si="1"/>
        <v>2392528.4512097402</v>
      </c>
      <c r="L8" s="597">
        <f>+K8-28</f>
        <v>2392500.4512097402</v>
      </c>
      <c r="M8" s="440"/>
    </row>
    <row r="9" spans="1:13" ht="37.5" customHeight="1">
      <c r="A9" s="177">
        <f>+A8+1</f>
        <v>4</v>
      </c>
      <c r="B9" s="178" t="s">
        <v>12</v>
      </c>
      <c r="C9" s="179" t="s">
        <v>14</v>
      </c>
      <c r="D9" s="180">
        <v>1793000</v>
      </c>
      <c r="E9" s="180">
        <v>1891100</v>
      </c>
      <c r="F9" s="378">
        <v>2013600</v>
      </c>
      <c r="G9" s="522">
        <v>2248449.6541070002</v>
      </c>
      <c r="H9" s="522">
        <v>2287749.5230538729</v>
      </c>
      <c r="I9" s="182">
        <v>4.58E-2</v>
      </c>
      <c r="J9" s="456">
        <f t="shared" si="0"/>
        <v>104778.92815586738</v>
      </c>
      <c r="K9" s="181">
        <f t="shared" si="1"/>
        <v>2392528.4512097402</v>
      </c>
      <c r="L9" s="597">
        <f>+K9-28</f>
        <v>2392500.4512097402</v>
      </c>
      <c r="M9" s="440"/>
    </row>
    <row r="10" spans="1:13" ht="37.5" customHeight="1">
      <c r="A10" s="177">
        <f t="shared" ref="A10:A11" si="2">+A9+1</f>
        <v>5</v>
      </c>
      <c r="B10" s="178" t="s">
        <v>12</v>
      </c>
      <c r="C10" s="179" t="s">
        <v>15</v>
      </c>
      <c r="D10" s="180">
        <v>1793000</v>
      </c>
      <c r="E10" s="180">
        <v>1891100</v>
      </c>
      <c r="F10" s="378">
        <v>2013600</v>
      </c>
      <c r="G10" s="522">
        <v>2248449.6541070002</v>
      </c>
      <c r="H10" s="522">
        <v>2287749.5230538729</v>
      </c>
      <c r="I10" s="182">
        <v>4.58E-2</v>
      </c>
      <c r="J10" s="456">
        <f t="shared" si="0"/>
        <v>104778.92815586738</v>
      </c>
      <c r="K10" s="181">
        <f t="shared" si="1"/>
        <v>2392528.4512097402</v>
      </c>
      <c r="L10" s="597">
        <f>+K10-28</f>
        <v>2392500.4512097402</v>
      </c>
      <c r="M10" s="440"/>
    </row>
    <row r="11" spans="1:13" ht="37.5" customHeight="1" thickBot="1">
      <c r="A11" s="186">
        <f t="shared" si="2"/>
        <v>6</v>
      </c>
      <c r="B11" s="187" t="s">
        <v>12</v>
      </c>
      <c r="C11" s="188" t="s">
        <v>17</v>
      </c>
      <c r="D11" s="190">
        <v>1793000</v>
      </c>
      <c r="E11" s="190">
        <v>1891100</v>
      </c>
      <c r="F11" s="380">
        <v>2013600</v>
      </c>
      <c r="G11" s="523">
        <v>2248449.6541070002</v>
      </c>
      <c r="H11" s="523">
        <v>2287749.5230538729</v>
      </c>
      <c r="I11" s="381">
        <v>4.58E-2</v>
      </c>
      <c r="J11" s="192">
        <f t="shared" si="0"/>
        <v>104778.92815586738</v>
      </c>
      <c r="K11" s="191">
        <f t="shared" si="1"/>
        <v>2392528.4512097402</v>
      </c>
      <c r="L11" s="598">
        <f>+K11-28</f>
        <v>2392500.4512097402</v>
      </c>
      <c r="M11" s="440"/>
    </row>
    <row r="12" spans="1:13" ht="10.5" customHeight="1" thickTop="1" thickBot="1">
      <c r="A12" s="96"/>
      <c r="B12" s="97"/>
      <c r="C12" s="98"/>
      <c r="D12" s="99"/>
      <c r="E12" s="99"/>
      <c r="F12" s="99"/>
      <c r="G12" s="99"/>
      <c r="H12" s="99"/>
      <c r="I12" s="100"/>
      <c r="J12" s="101"/>
      <c r="K12" s="99"/>
      <c r="L12" s="102"/>
      <c r="M12" s="440"/>
    </row>
    <row r="13" spans="1:13" ht="39.75" customHeight="1" thickTop="1">
      <c r="A13" s="820" t="s">
        <v>146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2"/>
      <c r="M13" s="440"/>
    </row>
    <row r="14" spans="1:13" ht="24.75" customHeight="1">
      <c r="A14" s="839" t="s">
        <v>4</v>
      </c>
      <c r="B14" s="840" t="s">
        <v>5</v>
      </c>
      <c r="C14" s="840" t="s">
        <v>6</v>
      </c>
      <c r="D14" s="836" t="s">
        <v>7</v>
      </c>
      <c r="E14" s="836" t="s">
        <v>74</v>
      </c>
      <c r="F14" s="836" t="s">
        <v>75</v>
      </c>
      <c r="G14" s="836" t="s">
        <v>130</v>
      </c>
      <c r="H14" s="836" t="s">
        <v>152</v>
      </c>
      <c r="I14" s="829" t="s">
        <v>154</v>
      </c>
      <c r="J14" s="829"/>
      <c r="K14" s="829"/>
      <c r="L14" s="830"/>
      <c r="M14" s="440"/>
    </row>
    <row r="15" spans="1:13" ht="45" customHeight="1">
      <c r="A15" s="839"/>
      <c r="B15" s="840"/>
      <c r="C15" s="840"/>
      <c r="D15" s="836"/>
      <c r="E15" s="836"/>
      <c r="F15" s="836"/>
      <c r="G15" s="836"/>
      <c r="H15" s="836"/>
      <c r="I15" s="459" t="s">
        <v>80</v>
      </c>
      <c r="J15" s="460" t="s">
        <v>81</v>
      </c>
      <c r="K15" s="460" t="s">
        <v>82</v>
      </c>
      <c r="L15" s="461" t="s">
        <v>83</v>
      </c>
      <c r="M15" s="440"/>
    </row>
    <row r="16" spans="1:13" ht="32.25" customHeight="1">
      <c r="A16" s="304">
        <v>1</v>
      </c>
      <c r="B16" s="305" t="s">
        <v>138</v>
      </c>
      <c r="C16" s="306" t="s">
        <v>141</v>
      </c>
      <c r="D16" s="307">
        <v>0</v>
      </c>
      <c r="E16" s="307">
        <v>0</v>
      </c>
      <c r="F16" s="524">
        <v>4300000</v>
      </c>
      <c r="G16" s="527">
        <v>2500000</v>
      </c>
      <c r="H16" s="527">
        <v>2543750</v>
      </c>
      <c r="I16" s="79">
        <v>4.58E-2</v>
      </c>
      <c r="J16" s="309">
        <f>+H16*I16</f>
        <v>116503.75</v>
      </c>
      <c r="K16" s="623">
        <f>+H16+J16</f>
        <v>2660253.75</v>
      </c>
      <c r="L16" s="599">
        <f>+K16-4</f>
        <v>2660249.75</v>
      </c>
      <c r="M16" s="440"/>
    </row>
    <row r="17" spans="1:17" ht="32.25" customHeight="1">
      <c r="A17" s="204">
        <v>2</v>
      </c>
      <c r="B17" s="205" t="s">
        <v>138</v>
      </c>
      <c r="C17" s="206" t="s">
        <v>142</v>
      </c>
      <c r="D17" s="209">
        <v>3200550</v>
      </c>
      <c r="E17" s="209">
        <v>3375600</v>
      </c>
      <c r="F17" s="525">
        <v>3594300</v>
      </c>
      <c r="G17" s="528">
        <v>2500000</v>
      </c>
      <c r="H17" s="528">
        <v>2543750</v>
      </c>
      <c r="I17" s="79">
        <v>4.58E-2</v>
      </c>
      <c r="J17" s="312">
        <f t="shared" ref="J17:J18" si="3">+H17*I17</f>
        <v>116503.75</v>
      </c>
      <c r="K17" s="624">
        <f>+H17+J17</f>
        <v>2660253.75</v>
      </c>
      <c r="L17" s="600">
        <f>+K17-4</f>
        <v>2660249.75</v>
      </c>
      <c r="M17" s="440"/>
    </row>
    <row r="18" spans="1:17" ht="32.25" customHeight="1" thickBot="1">
      <c r="A18" s="218">
        <v>3</v>
      </c>
      <c r="B18" s="369" t="s">
        <v>138</v>
      </c>
      <c r="C18" s="370" t="s">
        <v>143</v>
      </c>
      <c r="D18" s="221">
        <v>0</v>
      </c>
      <c r="E18" s="221">
        <v>0</v>
      </c>
      <c r="F18" s="526">
        <v>0</v>
      </c>
      <c r="G18" s="529">
        <v>2200000</v>
      </c>
      <c r="H18" s="529">
        <v>2238500</v>
      </c>
      <c r="I18" s="80">
        <v>4.58E-2</v>
      </c>
      <c r="J18" s="457">
        <f t="shared" si="3"/>
        <v>102523.3</v>
      </c>
      <c r="K18" s="625">
        <f>+H18+J18</f>
        <v>2341023.2999999998</v>
      </c>
      <c r="L18" s="601">
        <f>+K18-23</f>
        <v>2341000.2999999998</v>
      </c>
      <c r="M18" s="440"/>
    </row>
    <row r="19" spans="1:17" ht="10.5" customHeight="1" thickTop="1" thickBot="1">
      <c r="A19" s="96"/>
      <c r="B19" s="97"/>
      <c r="C19" s="98"/>
      <c r="D19" s="99"/>
      <c r="E19" s="99"/>
      <c r="F19" s="99"/>
      <c r="G19" s="99"/>
      <c r="H19" s="99"/>
      <c r="I19" s="100"/>
      <c r="J19" s="101"/>
      <c r="K19" s="99"/>
      <c r="L19" s="102"/>
      <c r="M19" s="440"/>
    </row>
    <row r="20" spans="1:17" ht="24.75" customHeight="1" thickTop="1">
      <c r="A20" s="820" t="s">
        <v>26</v>
      </c>
      <c r="B20" s="821"/>
      <c r="C20" s="821"/>
      <c r="D20" s="821"/>
      <c r="E20" s="821"/>
      <c r="F20" s="821"/>
      <c r="G20" s="821"/>
      <c r="H20" s="821"/>
      <c r="I20" s="821"/>
      <c r="J20" s="821"/>
      <c r="K20" s="821"/>
      <c r="L20" s="822"/>
      <c r="M20" s="440"/>
      <c r="N20" s="439">
        <f>+L23*Q23</f>
        <v>-2565550.1744397753</v>
      </c>
    </row>
    <row r="21" spans="1:17" s="103" customFormat="1" ht="24.75" customHeight="1">
      <c r="A21" s="841" t="s">
        <v>4</v>
      </c>
      <c r="B21" s="840" t="s">
        <v>5</v>
      </c>
      <c r="C21" s="840" t="s">
        <v>6</v>
      </c>
      <c r="D21" s="836" t="s">
        <v>7</v>
      </c>
      <c r="E21" s="836" t="s">
        <v>74</v>
      </c>
      <c r="F21" s="836" t="s">
        <v>75</v>
      </c>
      <c r="G21" s="836" t="s">
        <v>130</v>
      </c>
      <c r="H21" s="836" t="s">
        <v>152</v>
      </c>
      <c r="I21" s="829" t="s">
        <v>154</v>
      </c>
      <c r="J21" s="829"/>
      <c r="K21" s="829"/>
      <c r="L21" s="830"/>
      <c r="M21" s="440"/>
      <c r="N21" s="437">
        <f>+L23+N20</f>
        <v>2543749.9999999995</v>
      </c>
      <c r="O21" s="435"/>
      <c r="P21" s="435"/>
      <c r="Q21" s="435"/>
    </row>
    <row r="22" spans="1:17" s="103" customFormat="1" ht="31.5" customHeight="1">
      <c r="A22" s="841"/>
      <c r="B22" s="840"/>
      <c r="C22" s="840"/>
      <c r="D22" s="836"/>
      <c r="E22" s="836"/>
      <c r="F22" s="836"/>
      <c r="G22" s="836"/>
      <c r="H22" s="836"/>
      <c r="I22" s="459" t="s">
        <v>80</v>
      </c>
      <c r="J22" s="460" t="s">
        <v>81</v>
      </c>
      <c r="K22" s="460" t="s">
        <v>82</v>
      </c>
      <c r="L22" s="461" t="s">
        <v>83</v>
      </c>
      <c r="M22" s="440"/>
      <c r="N22" s="435"/>
      <c r="O22" s="435"/>
      <c r="P22" s="441"/>
      <c r="Q22" s="435"/>
    </row>
    <row r="23" spans="1:17" s="103" customFormat="1" ht="32.25" customHeight="1">
      <c r="A23" s="462">
        <v>1</v>
      </c>
      <c r="B23" s="463" t="s">
        <v>27</v>
      </c>
      <c r="C23" s="471" t="s">
        <v>108</v>
      </c>
      <c r="D23" s="464">
        <v>0</v>
      </c>
      <c r="E23" s="464">
        <v>0</v>
      </c>
      <c r="F23" s="530">
        <v>4300000</v>
      </c>
      <c r="G23" s="534">
        <v>4801549.8625270007</v>
      </c>
      <c r="H23" s="534">
        <v>4885549.9851212231</v>
      </c>
      <c r="I23" s="533">
        <v>4.58E-2</v>
      </c>
      <c r="J23" s="465">
        <f>+H23*I23</f>
        <v>223758.18931855203</v>
      </c>
      <c r="K23" s="626">
        <f>+H23+J23</f>
        <v>5109308.1744397748</v>
      </c>
      <c r="L23" s="602">
        <f>+K23-8</f>
        <v>5109300.1744397748</v>
      </c>
      <c r="M23" s="440"/>
      <c r="N23" s="435"/>
      <c r="O23" s="443">
        <v>2543750</v>
      </c>
      <c r="P23" s="443">
        <f>+O23-L23</f>
        <v>-2565550.1744397748</v>
      </c>
      <c r="Q23" s="442">
        <f>+P23/L23</f>
        <v>-0.50213338164675025</v>
      </c>
    </row>
    <row r="24" spans="1:17" s="103" customFormat="1" ht="32.25" customHeight="1">
      <c r="A24" s="399">
        <v>2</v>
      </c>
      <c r="B24" s="400" t="s">
        <v>27</v>
      </c>
      <c r="C24" s="401" t="s">
        <v>28</v>
      </c>
      <c r="D24" s="402">
        <v>3200550</v>
      </c>
      <c r="E24" s="402">
        <v>3375600</v>
      </c>
      <c r="F24" s="531">
        <v>3594300</v>
      </c>
      <c r="G24" s="535">
        <v>4013550.4972620001</v>
      </c>
      <c r="H24" s="535">
        <v>4083749.630964085</v>
      </c>
      <c r="I24" s="451">
        <v>4.58E-2</v>
      </c>
      <c r="J24" s="404">
        <f t="shared" ref="J24:J34" si="4">+H24*I24</f>
        <v>187035.73309815509</v>
      </c>
      <c r="K24" s="627">
        <f t="shared" ref="K24:K34" si="5">+H24+J24</f>
        <v>4270785.3640622403</v>
      </c>
      <c r="L24" s="603">
        <f>+K24-35</f>
        <v>4270750.3640622403</v>
      </c>
      <c r="M24" s="440"/>
      <c r="N24" s="435"/>
      <c r="O24" s="443">
        <v>2543750</v>
      </c>
      <c r="P24" s="443">
        <f>+O24-L24</f>
        <v>-1727000.3640622403</v>
      </c>
      <c r="Q24" s="442">
        <f>+P24/L24</f>
        <v>-0.40437867279593392</v>
      </c>
    </row>
    <row r="25" spans="1:17" s="103" customFormat="1" ht="32.25" customHeight="1">
      <c r="A25" s="399">
        <v>3</v>
      </c>
      <c r="B25" s="406" t="s">
        <v>27</v>
      </c>
      <c r="C25" s="407" t="s">
        <v>111</v>
      </c>
      <c r="D25" s="402">
        <v>0</v>
      </c>
      <c r="E25" s="402">
        <v>0</v>
      </c>
      <c r="F25" s="531">
        <v>0</v>
      </c>
      <c r="G25" s="535">
        <v>4131600</v>
      </c>
      <c r="H25" s="535">
        <v>4203900</v>
      </c>
      <c r="I25" s="451">
        <v>4.58E-2</v>
      </c>
      <c r="J25" s="404">
        <f t="shared" si="4"/>
        <v>192538.62</v>
      </c>
      <c r="K25" s="627">
        <f t="shared" si="5"/>
        <v>4396438.62</v>
      </c>
      <c r="L25" s="603">
        <f>+K25-39</f>
        <v>4396399.62</v>
      </c>
      <c r="M25" s="440"/>
      <c r="N25" s="435"/>
      <c r="O25" s="435"/>
      <c r="P25" s="437"/>
      <c r="Q25" s="435"/>
    </row>
    <row r="26" spans="1:17" s="103" customFormat="1" ht="32.25" customHeight="1">
      <c r="A26" s="399">
        <v>4</v>
      </c>
      <c r="B26" s="406" t="s">
        <v>27</v>
      </c>
      <c r="C26" s="407" t="s">
        <v>113</v>
      </c>
      <c r="D26" s="402">
        <v>0</v>
      </c>
      <c r="E26" s="402">
        <v>0</v>
      </c>
      <c r="F26" s="531">
        <v>0</v>
      </c>
      <c r="G26" s="535">
        <v>3970749.52</v>
      </c>
      <c r="H26" s="535">
        <v>4040199.6365999999</v>
      </c>
      <c r="I26" s="451">
        <v>4.58E-2</v>
      </c>
      <c r="J26" s="404">
        <f t="shared" si="4"/>
        <v>185041.14335627999</v>
      </c>
      <c r="K26" s="627">
        <f t="shared" si="5"/>
        <v>4225240.7799562803</v>
      </c>
      <c r="L26" s="603">
        <f>+K26-41</f>
        <v>4225199.7799562803</v>
      </c>
      <c r="M26" s="440"/>
      <c r="N26" s="435"/>
      <c r="O26" s="435"/>
      <c r="P26" s="435"/>
      <c r="Q26" s="435"/>
    </row>
    <row r="27" spans="1:17" s="103" customFormat="1" ht="32.25" customHeight="1">
      <c r="A27" s="399">
        <v>5</v>
      </c>
      <c r="B27" s="406" t="s">
        <v>27</v>
      </c>
      <c r="C27" s="407" t="s">
        <v>114</v>
      </c>
      <c r="D27" s="402">
        <v>0</v>
      </c>
      <c r="E27" s="402">
        <v>0</v>
      </c>
      <c r="F27" s="531">
        <v>0</v>
      </c>
      <c r="G27" s="535">
        <v>4669350.12158</v>
      </c>
      <c r="H27" s="535">
        <v>4751049.7487076502</v>
      </c>
      <c r="I27" s="451">
        <v>4.58E-2</v>
      </c>
      <c r="J27" s="404">
        <f t="shared" si="4"/>
        <v>217598.07849081038</v>
      </c>
      <c r="K27" s="627">
        <f t="shared" si="5"/>
        <v>4968647.8271984607</v>
      </c>
      <c r="L27" s="603">
        <f>+K27-48</f>
        <v>4968599.8271984607</v>
      </c>
      <c r="M27" s="440"/>
      <c r="N27" s="435"/>
      <c r="O27" s="443">
        <v>2543750</v>
      </c>
      <c r="P27" s="443">
        <f>+O27-L27</f>
        <v>-2424849.8271984607</v>
      </c>
      <c r="Q27" s="442">
        <f>+P27/L27</f>
        <v>-0.48803484110848777</v>
      </c>
    </row>
    <row r="28" spans="1:17" s="103" customFormat="1" ht="32.25" customHeight="1">
      <c r="A28" s="399">
        <v>6</v>
      </c>
      <c r="B28" s="400" t="s">
        <v>27</v>
      </c>
      <c r="C28" s="401" t="s">
        <v>115</v>
      </c>
      <c r="D28" s="402">
        <v>0</v>
      </c>
      <c r="E28" s="402">
        <v>0</v>
      </c>
      <c r="F28" s="531">
        <v>0</v>
      </c>
      <c r="G28" s="535">
        <v>3434149.83</v>
      </c>
      <c r="H28" s="535">
        <v>3494200.452025</v>
      </c>
      <c r="I28" s="451">
        <v>4.58E-2</v>
      </c>
      <c r="J28" s="404">
        <f t="shared" si="4"/>
        <v>160034.38070274499</v>
      </c>
      <c r="K28" s="627">
        <f t="shared" si="5"/>
        <v>3654234.8327277452</v>
      </c>
      <c r="L28" s="603">
        <f>+K28-35</f>
        <v>3654199.8327277452</v>
      </c>
      <c r="M28" s="440"/>
      <c r="N28" s="435"/>
      <c r="O28" s="435"/>
      <c r="P28" s="435"/>
      <c r="Q28" s="435"/>
    </row>
    <row r="29" spans="1:17" s="103" customFormat="1" ht="32.25" customHeight="1">
      <c r="A29" s="399">
        <v>7</v>
      </c>
      <c r="B29" s="406" t="s">
        <v>27</v>
      </c>
      <c r="C29" s="407" t="s">
        <v>127</v>
      </c>
      <c r="D29" s="402"/>
      <c r="E29" s="402"/>
      <c r="F29" s="531"/>
      <c r="G29" s="535">
        <v>3323500</v>
      </c>
      <c r="H29" s="535">
        <v>3381650.25</v>
      </c>
      <c r="I29" s="451">
        <v>4.58E-2</v>
      </c>
      <c r="J29" s="404">
        <f t="shared" si="4"/>
        <v>154879.58145</v>
      </c>
      <c r="K29" s="627">
        <f t="shared" si="5"/>
        <v>3536529.8314499999</v>
      </c>
      <c r="L29" s="603">
        <f>+K29-30</f>
        <v>3536499.8314499999</v>
      </c>
      <c r="M29" s="440"/>
      <c r="N29" s="435"/>
      <c r="O29" s="443">
        <v>2289375</v>
      </c>
      <c r="P29" s="443">
        <f>+O29-L29</f>
        <v>-1247124.8314499999</v>
      </c>
      <c r="Q29" s="442">
        <f>+P29/L29</f>
        <v>-0.35264382606761396</v>
      </c>
    </row>
    <row r="30" spans="1:17" s="103" customFormat="1" ht="32.25" customHeight="1">
      <c r="A30" s="399">
        <v>8</v>
      </c>
      <c r="B30" s="400" t="s">
        <v>27</v>
      </c>
      <c r="C30" s="401" t="s">
        <v>128</v>
      </c>
      <c r="D30" s="402">
        <v>0</v>
      </c>
      <c r="E30" s="402">
        <v>0</v>
      </c>
      <c r="F30" s="531">
        <v>0</v>
      </c>
      <c r="G30" s="535">
        <v>4518899.5999999996</v>
      </c>
      <c r="H30" s="535">
        <v>4597950.3429999994</v>
      </c>
      <c r="I30" s="451">
        <v>4.58E-2</v>
      </c>
      <c r="J30" s="404">
        <f t="shared" si="4"/>
        <v>210586.12570939999</v>
      </c>
      <c r="K30" s="627">
        <f t="shared" si="5"/>
        <v>4808536.468709399</v>
      </c>
      <c r="L30" s="603">
        <f>+K30-36</f>
        <v>4808500.468709399</v>
      </c>
      <c r="M30" s="440"/>
      <c r="N30" s="435"/>
      <c r="O30" s="443">
        <v>2543750</v>
      </c>
      <c r="P30" s="443">
        <f>+O30-L30</f>
        <v>-2264750.468709399</v>
      </c>
      <c r="Q30" s="442">
        <f>+P30/L30</f>
        <v>-0.47098892543463927</v>
      </c>
    </row>
    <row r="31" spans="1:17" s="103" customFormat="1" ht="32.25" customHeight="1">
      <c r="A31" s="399">
        <v>9</v>
      </c>
      <c r="B31" s="406" t="s">
        <v>27</v>
      </c>
      <c r="C31" s="407" t="s">
        <v>139</v>
      </c>
      <c r="D31" s="402"/>
      <c r="E31" s="402"/>
      <c r="F31" s="531"/>
      <c r="G31" s="535">
        <v>4351000</v>
      </c>
      <c r="H31" s="535">
        <v>4427099.5</v>
      </c>
      <c r="I31" s="451">
        <v>4.58E-2</v>
      </c>
      <c r="J31" s="404">
        <f t="shared" si="4"/>
        <v>202761.15710000001</v>
      </c>
      <c r="K31" s="627">
        <f t="shared" si="5"/>
        <v>4629860.6571000004</v>
      </c>
      <c r="L31" s="603">
        <f>+K31-11</f>
        <v>4629849.6571000004</v>
      </c>
      <c r="M31" s="440"/>
      <c r="N31" s="435"/>
      <c r="O31" s="435"/>
      <c r="P31" s="435"/>
      <c r="Q31" s="435"/>
    </row>
    <row r="32" spans="1:17" s="103" customFormat="1" ht="32.25" customHeight="1">
      <c r="A32" s="399">
        <v>10</v>
      </c>
      <c r="B32" s="406" t="s">
        <v>27</v>
      </c>
      <c r="C32" s="407" t="s">
        <v>144</v>
      </c>
      <c r="D32" s="402"/>
      <c r="E32" s="402"/>
      <c r="F32" s="531"/>
      <c r="G32" s="535">
        <v>4500000</v>
      </c>
      <c r="H32" s="535">
        <v>4578750</v>
      </c>
      <c r="I32" s="451">
        <v>4.58E-2</v>
      </c>
      <c r="J32" s="404">
        <f t="shared" si="4"/>
        <v>209706.75</v>
      </c>
      <c r="K32" s="627">
        <f t="shared" si="5"/>
        <v>4788456.75</v>
      </c>
      <c r="L32" s="603">
        <f>+K32-7</f>
        <v>4788449.75</v>
      </c>
      <c r="M32" s="434">
        <v>2500000</v>
      </c>
      <c r="N32" s="435">
        <f>+M32*I32</f>
        <v>114500</v>
      </c>
      <c r="O32" s="436">
        <f>+M32+N32</f>
        <v>2614500</v>
      </c>
      <c r="P32" s="437">
        <f>+O32-L32</f>
        <v>-2173949.75</v>
      </c>
      <c r="Q32" s="442">
        <f>+P32/L32</f>
        <v>-0.45399865582801613</v>
      </c>
    </row>
    <row r="33" spans="1:46" s="103" customFormat="1" ht="32.25" customHeight="1">
      <c r="A33" s="399">
        <v>11</v>
      </c>
      <c r="B33" s="406" t="s">
        <v>27</v>
      </c>
      <c r="C33" s="407" t="s">
        <v>145</v>
      </c>
      <c r="D33" s="402"/>
      <c r="E33" s="402"/>
      <c r="F33" s="531"/>
      <c r="G33" s="535">
        <v>4500000</v>
      </c>
      <c r="H33" s="535">
        <v>4578750</v>
      </c>
      <c r="I33" s="451">
        <v>4.58E-2</v>
      </c>
      <c r="J33" s="404">
        <f t="shared" si="4"/>
        <v>209706.75</v>
      </c>
      <c r="K33" s="627">
        <f t="shared" si="5"/>
        <v>4788456.75</v>
      </c>
      <c r="L33" s="603">
        <f>+K33-7</f>
        <v>4788449.75</v>
      </c>
      <c r="M33" s="434"/>
      <c r="N33" s="435"/>
      <c r="O33" s="436"/>
      <c r="P33" s="437"/>
      <c r="Q33" s="442"/>
    </row>
    <row r="34" spans="1:46" s="103" customFormat="1" ht="32.25" customHeight="1" thickBot="1">
      <c r="A34" s="466">
        <v>12</v>
      </c>
      <c r="B34" s="467" t="s">
        <v>27</v>
      </c>
      <c r="C34" s="468" t="s">
        <v>155</v>
      </c>
      <c r="D34" s="469"/>
      <c r="E34" s="469"/>
      <c r="F34" s="532"/>
      <c r="G34" s="536">
        <v>0</v>
      </c>
      <c r="H34" s="536">
        <v>2000000</v>
      </c>
      <c r="I34" s="458">
        <v>4.58E-2</v>
      </c>
      <c r="J34" s="470">
        <f t="shared" si="4"/>
        <v>91600</v>
      </c>
      <c r="K34" s="628">
        <f t="shared" si="5"/>
        <v>2091600</v>
      </c>
      <c r="L34" s="604">
        <f>+K34</f>
        <v>2091600</v>
      </c>
      <c r="M34" s="440"/>
      <c r="N34" s="435"/>
      <c r="O34" s="435"/>
      <c r="P34" s="435"/>
      <c r="Q34" s="435"/>
      <c r="AR34" s="273"/>
      <c r="AS34" s="652"/>
      <c r="AT34" s="651"/>
    </row>
    <row r="35" spans="1:46" s="347" customFormat="1" ht="10.5" customHeight="1" thickTop="1" thickBot="1">
      <c r="A35" s="341"/>
      <c r="B35" s="341"/>
      <c r="C35" s="303"/>
      <c r="D35" s="342"/>
      <c r="E35" s="342"/>
      <c r="F35" s="342"/>
      <c r="G35" s="342"/>
      <c r="H35" s="342"/>
      <c r="I35" s="343"/>
      <c r="J35" s="344"/>
      <c r="K35" s="342"/>
      <c r="L35" s="345"/>
      <c r="M35" s="444"/>
      <c r="N35" s="445"/>
      <c r="O35" s="445"/>
      <c r="P35" s="445"/>
      <c r="Q35" s="445"/>
    </row>
    <row r="36" spans="1:46" s="103" customFormat="1" ht="32.25" customHeight="1" thickTop="1">
      <c r="A36" s="820" t="s">
        <v>133</v>
      </c>
      <c r="B36" s="821"/>
      <c r="C36" s="821"/>
      <c r="D36" s="821"/>
      <c r="E36" s="821"/>
      <c r="F36" s="821"/>
      <c r="G36" s="821"/>
      <c r="H36" s="821"/>
      <c r="I36" s="821"/>
      <c r="J36" s="821"/>
      <c r="K36" s="821"/>
      <c r="L36" s="822"/>
      <c r="M36" s="440"/>
      <c r="N36" s="435"/>
      <c r="O36" s="435"/>
      <c r="P36" s="435"/>
      <c r="Q36" s="435"/>
    </row>
    <row r="37" spans="1:46" s="103" customFormat="1" ht="32.25" customHeight="1">
      <c r="A37" s="841" t="s">
        <v>4</v>
      </c>
      <c r="B37" s="840" t="s">
        <v>5</v>
      </c>
      <c r="C37" s="840" t="s">
        <v>134</v>
      </c>
      <c r="D37" s="836" t="s">
        <v>7</v>
      </c>
      <c r="E37" s="836" t="s">
        <v>74</v>
      </c>
      <c r="F37" s="836" t="s">
        <v>75</v>
      </c>
      <c r="G37" s="836" t="s">
        <v>130</v>
      </c>
      <c r="H37" s="836" t="s">
        <v>152</v>
      </c>
      <c r="I37" s="829" t="s">
        <v>154</v>
      </c>
      <c r="J37" s="829"/>
      <c r="K37" s="829"/>
      <c r="L37" s="830"/>
      <c r="M37" s="440"/>
      <c r="N37" s="435"/>
      <c r="O37" s="435"/>
      <c r="P37" s="435"/>
      <c r="Q37" s="435"/>
    </row>
    <row r="38" spans="1:46" s="103" customFormat="1" ht="32.25" customHeight="1">
      <c r="A38" s="841"/>
      <c r="B38" s="840"/>
      <c r="C38" s="840"/>
      <c r="D38" s="836"/>
      <c r="E38" s="836"/>
      <c r="F38" s="836"/>
      <c r="G38" s="836"/>
      <c r="H38" s="836"/>
      <c r="I38" s="459" t="s">
        <v>80</v>
      </c>
      <c r="J38" s="460" t="s">
        <v>81</v>
      </c>
      <c r="K38" s="460" t="s">
        <v>82</v>
      </c>
      <c r="L38" s="461" t="s">
        <v>83</v>
      </c>
      <c r="M38" s="440"/>
      <c r="N38" s="435"/>
      <c r="O38" s="435"/>
      <c r="P38" s="435"/>
      <c r="Q38" s="435"/>
    </row>
    <row r="39" spans="1:46" s="103" customFormat="1" ht="32.25" customHeight="1">
      <c r="A39" s="472">
        <v>1</v>
      </c>
      <c r="B39" s="473" t="s">
        <v>135</v>
      </c>
      <c r="C39" s="474" t="s">
        <v>136</v>
      </c>
      <c r="D39" s="475">
        <v>0</v>
      </c>
      <c r="E39" s="475">
        <v>0</v>
      </c>
      <c r="F39" s="537">
        <v>4300000</v>
      </c>
      <c r="G39" s="543">
        <v>5800000</v>
      </c>
      <c r="H39" s="543">
        <v>5901500</v>
      </c>
      <c r="I39" s="540">
        <v>4.58E-2</v>
      </c>
      <c r="J39" s="476">
        <f>+H39*I39</f>
        <v>270288.7</v>
      </c>
      <c r="K39" s="629">
        <f>+H39+J39</f>
        <v>6171788.7000000002</v>
      </c>
      <c r="L39" s="605">
        <f>+K39-39</f>
        <v>6171749.7000000002</v>
      </c>
      <c r="M39" s="440"/>
      <c r="N39" s="435"/>
      <c r="O39" s="435"/>
      <c r="P39" s="435"/>
      <c r="Q39" s="435"/>
    </row>
    <row r="40" spans="1:46" s="103" customFormat="1" ht="32.25" customHeight="1">
      <c r="A40" s="477">
        <v>2</v>
      </c>
      <c r="B40" s="478" t="s">
        <v>135</v>
      </c>
      <c r="C40" s="479" t="s">
        <v>137</v>
      </c>
      <c r="D40" s="480">
        <v>3200550</v>
      </c>
      <c r="E40" s="480">
        <v>3375600</v>
      </c>
      <c r="F40" s="538">
        <v>3594300</v>
      </c>
      <c r="G40" s="544">
        <v>5800000</v>
      </c>
      <c r="H40" s="544">
        <v>5901500</v>
      </c>
      <c r="I40" s="541">
        <v>4.58E-2</v>
      </c>
      <c r="J40" s="481">
        <f t="shared" ref="J40:J43" si="6">+H40*I40</f>
        <v>270288.7</v>
      </c>
      <c r="K40" s="630">
        <f t="shared" ref="K40:K43" si="7">+H40+J40</f>
        <v>6171788.7000000002</v>
      </c>
      <c r="L40" s="606">
        <f>+K40-39</f>
        <v>6171749.7000000002</v>
      </c>
      <c r="M40" s="440"/>
      <c r="N40" s="435"/>
      <c r="O40" s="435"/>
      <c r="P40" s="435"/>
      <c r="Q40" s="435"/>
    </row>
    <row r="41" spans="1:46" s="103" customFormat="1" ht="32.25" customHeight="1">
      <c r="A41" s="477">
        <v>3</v>
      </c>
      <c r="B41" s="482" t="s">
        <v>135</v>
      </c>
      <c r="C41" s="483" t="s">
        <v>140</v>
      </c>
      <c r="D41" s="480">
        <v>0</v>
      </c>
      <c r="E41" s="480">
        <v>0</v>
      </c>
      <c r="F41" s="538">
        <v>0</v>
      </c>
      <c r="G41" s="544">
        <v>6500000</v>
      </c>
      <c r="H41" s="544">
        <v>6613750</v>
      </c>
      <c r="I41" s="541">
        <v>4.58E-2</v>
      </c>
      <c r="J41" s="481">
        <f t="shared" si="6"/>
        <v>302909.75</v>
      </c>
      <c r="K41" s="630">
        <f t="shared" si="7"/>
        <v>6916659.75</v>
      </c>
      <c r="L41" s="606">
        <f>+K41-10</f>
        <v>6916649.75</v>
      </c>
      <c r="M41" s="440"/>
      <c r="N41" s="435"/>
      <c r="O41" s="435"/>
      <c r="P41" s="435"/>
      <c r="Q41" s="435"/>
    </row>
    <row r="42" spans="1:46" s="103" customFormat="1" ht="32.25" customHeight="1">
      <c r="A42" s="477">
        <v>4</v>
      </c>
      <c r="B42" s="482" t="s">
        <v>135</v>
      </c>
      <c r="C42" s="483" t="s">
        <v>149</v>
      </c>
      <c r="D42" s="480">
        <v>0</v>
      </c>
      <c r="E42" s="480">
        <v>0</v>
      </c>
      <c r="F42" s="538">
        <v>0</v>
      </c>
      <c r="G42" s="544">
        <v>6500000</v>
      </c>
      <c r="H42" s="544">
        <v>6613750</v>
      </c>
      <c r="I42" s="541">
        <v>4.58E-2</v>
      </c>
      <c r="J42" s="481">
        <f t="shared" ref="J42" si="8">+H42*I42</f>
        <v>302909.75</v>
      </c>
      <c r="K42" s="630">
        <f t="shared" ref="K42" si="9">+H42+J42</f>
        <v>6916659.75</v>
      </c>
      <c r="L42" s="606">
        <f>+K42-10</f>
        <v>6916649.75</v>
      </c>
      <c r="M42" s="440"/>
      <c r="N42" s="435"/>
      <c r="O42" s="435"/>
      <c r="P42" s="435"/>
      <c r="Q42" s="435"/>
    </row>
    <row r="43" spans="1:46" s="103" customFormat="1" ht="24" customHeight="1" thickBot="1">
      <c r="A43" s="484">
        <v>5</v>
      </c>
      <c r="B43" s="485" t="s">
        <v>135</v>
      </c>
      <c r="C43" s="486" t="s">
        <v>156</v>
      </c>
      <c r="D43" s="487">
        <v>0</v>
      </c>
      <c r="E43" s="487">
        <v>0</v>
      </c>
      <c r="F43" s="539">
        <v>0</v>
      </c>
      <c r="G43" s="545">
        <v>0</v>
      </c>
      <c r="H43" s="545">
        <v>5000000</v>
      </c>
      <c r="I43" s="542">
        <v>4.58E-2</v>
      </c>
      <c r="J43" s="488">
        <f t="shared" si="6"/>
        <v>229000</v>
      </c>
      <c r="K43" s="631">
        <f t="shared" si="7"/>
        <v>5229000</v>
      </c>
      <c r="L43" s="607">
        <f>+K43</f>
        <v>5229000</v>
      </c>
      <c r="M43" s="446" t="s">
        <v>150</v>
      </c>
      <c r="N43" s="435"/>
      <c r="O43" s="435"/>
      <c r="P43" s="435"/>
      <c r="Q43" s="435"/>
      <c r="AR43" s="652"/>
      <c r="AS43" s="652"/>
    </row>
    <row r="44" spans="1:46" s="120" customFormat="1" ht="10.5" customHeight="1" thickTop="1" thickBot="1">
      <c r="A44" s="96"/>
      <c r="B44" s="96"/>
      <c r="C44" s="98"/>
      <c r="D44" s="116"/>
      <c r="E44" s="116"/>
      <c r="F44" s="116"/>
      <c r="G44" s="116"/>
      <c r="H44" s="116"/>
      <c r="I44" s="117"/>
      <c r="J44" s="118"/>
      <c r="K44" s="116"/>
      <c r="L44" s="119"/>
      <c r="M44" s="440"/>
      <c r="N44" s="447"/>
      <c r="O44" s="447"/>
      <c r="P44" s="447"/>
      <c r="Q44" s="447"/>
    </row>
    <row r="45" spans="1:46" s="120" customFormat="1" ht="32.25" customHeight="1" thickTop="1">
      <c r="A45" s="820" t="s">
        <v>158</v>
      </c>
      <c r="B45" s="821"/>
      <c r="C45" s="821"/>
      <c r="D45" s="821"/>
      <c r="E45" s="821"/>
      <c r="F45" s="821"/>
      <c r="G45" s="821"/>
      <c r="H45" s="821"/>
      <c r="I45" s="821"/>
      <c r="J45" s="821"/>
      <c r="K45" s="821"/>
      <c r="L45" s="822"/>
      <c r="M45" s="440"/>
      <c r="N45" s="447"/>
      <c r="O45" s="447"/>
      <c r="P45" s="447"/>
      <c r="Q45" s="447"/>
    </row>
    <row r="46" spans="1:46" s="120" customFormat="1" ht="32.25" customHeight="1">
      <c r="A46" s="841" t="s">
        <v>4</v>
      </c>
      <c r="B46" s="840" t="s">
        <v>5</v>
      </c>
      <c r="C46" s="840" t="s">
        <v>134</v>
      </c>
      <c r="D46" s="836" t="s">
        <v>7</v>
      </c>
      <c r="E46" s="836" t="s">
        <v>74</v>
      </c>
      <c r="F46" s="837" t="s">
        <v>75</v>
      </c>
      <c r="G46" s="836" t="s">
        <v>130</v>
      </c>
      <c r="H46" s="836" t="s">
        <v>152</v>
      </c>
      <c r="I46" s="838" t="s">
        <v>154</v>
      </c>
      <c r="J46" s="829"/>
      <c r="K46" s="829"/>
      <c r="L46" s="830"/>
      <c r="M46" s="440"/>
      <c r="N46" s="447"/>
      <c r="O46" s="447"/>
      <c r="P46" s="447"/>
      <c r="Q46" s="447"/>
    </row>
    <row r="47" spans="1:46" s="120" customFormat="1" ht="32.25" customHeight="1">
      <c r="A47" s="841"/>
      <c r="B47" s="840"/>
      <c r="C47" s="840"/>
      <c r="D47" s="836"/>
      <c r="E47" s="836"/>
      <c r="F47" s="837"/>
      <c r="G47" s="836"/>
      <c r="H47" s="836"/>
      <c r="I47" s="519" t="s">
        <v>80</v>
      </c>
      <c r="J47" s="460" t="s">
        <v>81</v>
      </c>
      <c r="K47" s="460" t="s">
        <v>82</v>
      </c>
      <c r="L47" s="461" t="s">
        <v>83</v>
      </c>
      <c r="M47" s="440"/>
      <c r="N47" s="447"/>
      <c r="O47" s="447"/>
      <c r="P47" s="447"/>
      <c r="Q47" s="447"/>
    </row>
    <row r="48" spans="1:46" s="120" customFormat="1" ht="32.25" customHeight="1">
      <c r="A48" s="593">
        <v>1</v>
      </c>
      <c r="B48" s="594" t="s">
        <v>27</v>
      </c>
      <c r="C48" s="595" t="s">
        <v>155</v>
      </c>
      <c r="D48" s="512"/>
      <c r="E48" s="512"/>
      <c r="F48" s="513"/>
      <c r="G48" s="553">
        <v>0</v>
      </c>
      <c r="H48" s="553">
        <v>2000000</v>
      </c>
      <c r="I48" s="514">
        <v>4.58E-2</v>
      </c>
      <c r="J48" s="580">
        <f t="shared" ref="J48:J49" si="10">+H48*I48</f>
        <v>91600</v>
      </c>
      <c r="K48" s="632">
        <f t="shared" ref="K48:K49" si="11">+H48+J48</f>
        <v>2091600</v>
      </c>
      <c r="L48" s="608">
        <f>+K48</f>
        <v>2091600</v>
      </c>
      <c r="M48" s="440"/>
      <c r="N48" s="447"/>
      <c r="O48" s="447"/>
      <c r="P48" s="447"/>
      <c r="Q48" s="447"/>
    </row>
    <row r="49" spans="1:17" s="120" customFormat="1" ht="32.25" customHeight="1" thickBot="1">
      <c r="A49" s="585">
        <v>2</v>
      </c>
      <c r="B49" s="586" t="s">
        <v>135</v>
      </c>
      <c r="C49" s="587" t="s">
        <v>159</v>
      </c>
      <c r="D49" s="588">
        <v>0</v>
      </c>
      <c r="E49" s="588">
        <v>0</v>
      </c>
      <c r="F49" s="589">
        <v>0</v>
      </c>
      <c r="G49" s="590">
        <v>0</v>
      </c>
      <c r="H49" s="590">
        <v>5000000</v>
      </c>
      <c r="I49" s="591">
        <v>4.58E-2</v>
      </c>
      <c r="J49" s="592">
        <f t="shared" si="10"/>
        <v>229000</v>
      </c>
      <c r="K49" s="633">
        <f t="shared" si="11"/>
        <v>5229000</v>
      </c>
      <c r="L49" s="609">
        <f>+K49</f>
        <v>5229000</v>
      </c>
      <c r="M49" s="440"/>
      <c r="N49" s="447"/>
      <c r="O49" s="447"/>
      <c r="P49" s="447"/>
      <c r="Q49" s="447"/>
    </row>
    <row r="50" spans="1:17" s="120" customFormat="1" ht="10.5" customHeight="1" thickTop="1" thickBot="1">
      <c r="A50" s="96"/>
      <c r="B50" s="96"/>
      <c r="C50" s="98"/>
      <c r="D50" s="116"/>
      <c r="E50" s="116"/>
      <c r="F50" s="116"/>
      <c r="G50" s="116"/>
      <c r="H50" s="116"/>
      <c r="I50" s="117"/>
      <c r="J50" s="118"/>
      <c r="K50" s="116"/>
      <c r="L50" s="119"/>
      <c r="M50" s="440"/>
      <c r="N50" s="447"/>
      <c r="O50" s="447"/>
      <c r="P50" s="447"/>
      <c r="Q50" s="447"/>
    </row>
    <row r="51" spans="1:17" ht="32.25" customHeight="1" thickTop="1">
      <c r="B51" s="820" t="s">
        <v>29</v>
      </c>
      <c r="C51" s="821"/>
      <c r="D51" s="821"/>
      <c r="E51" s="821"/>
      <c r="F51" s="821"/>
      <c r="G51" s="821"/>
      <c r="H51" s="821"/>
      <c r="I51" s="821"/>
      <c r="J51" s="821"/>
      <c r="K51" s="821"/>
      <c r="L51" s="822"/>
      <c r="M51" s="440"/>
    </row>
    <row r="52" spans="1:17" ht="39.75" customHeight="1">
      <c r="A52" s="121"/>
      <c r="B52" s="489" t="s">
        <v>4</v>
      </c>
      <c r="C52" s="490" t="s">
        <v>29</v>
      </c>
      <c r="D52" s="460" t="s">
        <v>84</v>
      </c>
      <c r="E52" s="460" t="s">
        <v>85</v>
      </c>
      <c r="F52" s="546" t="s">
        <v>86</v>
      </c>
      <c r="G52" s="460" t="s">
        <v>132</v>
      </c>
      <c r="H52" s="460" t="s">
        <v>153</v>
      </c>
      <c r="I52" s="519" t="s">
        <v>80</v>
      </c>
      <c r="J52" s="460" t="s">
        <v>81</v>
      </c>
      <c r="K52" s="460" t="s">
        <v>82</v>
      </c>
      <c r="L52" s="610" t="s">
        <v>83</v>
      </c>
      <c r="M52" s="440"/>
    </row>
    <row r="53" spans="1:17" ht="20.25" customHeight="1">
      <c r="A53" s="121"/>
      <c r="B53" s="491">
        <v>1</v>
      </c>
      <c r="C53" s="492" t="s">
        <v>160</v>
      </c>
      <c r="D53" s="493">
        <v>59400</v>
      </c>
      <c r="E53" s="494">
        <v>62600</v>
      </c>
      <c r="F53" s="495">
        <v>66600</v>
      </c>
      <c r="G53" s="549">
        <v>74350.438034000006</v>
      </c>
      <c r="H53" s="549">
        <v>75649.570699595002</v>
      </c>
      <c r="I53" s="579">
        <v>4.58E-2</v>
      </c>
      <c r="J53" s="496">
        <f>+H53*I53</f>
        <v>3464.750338041451</v>
      </c>
      <c r="K53" s="634">
        <f>+H53+J53</f>
        <v>79114.321037636459</v>
      </c>
      <c r="L53" s="611">
        <f>+K53-14</f>
        <v>79100.321037636459</v>
      </c>
      <c r="M53" s="440"/>
    </row>
    <row r="54" spans="1:17" ht="20.25" customHeight="1">
      <c r="A54" s="121"/>
      <c r="B54" s="427">
        <v>2</v>
      </c>
      <c r="C54" s="431" t="s">
        <v>161</v>
      </c>
      <c r="D54" s="428">
        <v>37800</v>
      </c>
      <c r="E54" s="429">
        <v>39900</v>
      </c>
      <c r="F54" s="430">
        <v>42450</v>
      </c>
      <c r="G54" s="550">
        <v>47399.944596000001</v>
      </c>
      <c r="H54" s="550">
        <v>48200.443626430002</v>
      </c>
      <c r="I54" s="578">
        <v>4.58E-2</v>
      </c>
      <c r="J54" s="497">
        <f t="shared" ref="J54:J86" si="12">+H54*I54</f>
        <v>2207.5803180904941</v>
      </c>
      <c r="K54" s="635">
        <f t="shared" ref="K54:K86" si="13">+H54+J54</f>
        <v>50408.023944520493</v>
      </c>
      <c r="L54" s="612">
        <f>+K54-8</f>
        <v>50400.023944520493</v>
      </c>
      <c r="M54" s="440"/>
    </row>
    <row r="55" spans="1:17" ht="20.25" customHeight="1">
      <c r="A55" s="121"/>
      <c r="B55" s="419">
        <v>3</v>
      </c>
      <c r="C55" s="432" t="s">
        <v>162</v>
      </c>
      <c r="D55" s="420"/>
      <c r="E55" s="421"/>
      <c r="F55" s="422"/>
      <c r="G55" s="551">
        <v>0</v>
      </c>
      <c r="H55" s="551">
        <v>61650.443626430002</v>
      </c>
      <c r="I55" s="547">
        <v>4.58E-2</v>
      </c>
      <c r="J55" s="497">
        <f t="shared" si="12"/>
        <v>2823.5903180904943</v>
      </c>
      <c r="K55" s="635">
        <f t="shared" si="13"/>
        <v>64474.033944520495</v>
      </c>
      <c r="L55" s="613">
        <f>+K55-24</f>
        <v>64450.033944520495</v>
      </c>
      <c r="M55" s="446" t="s">
        <v>150</v>
      </c>
    </row>
    <row r="56" spans="1:17" ht="20.25" customHeight="1">
      <c r="A56" s="121"/>
      <c r="B56" s="419">
        <v>4</v>
      </c>
      <c r="C56" s="432" t="s">
        <v>163</v>
      </c>
      <c r="D56" s="420">
        <v>37800</v>
      </c>
      <c r="E56" s="421">
        <v>39900</v>
      </c>
      <c r="F56" s="422">
        <v>66222</v>
      </c>
      <c r="G56" s="551">
        <v>73849.774281999998</v>
      </c>
      <c r="H56" s="551">
        <v>75100.145331934997</v>
      </c>
      <c r="I56" s="547">
        <v>4.58E-2</v>
      </c>
      <c r="J56" s="497">
        <f t="shared" si="12"/>
        <v>3439.5866562026231</v>
      </c>
      <c r="K56" s="635">
        <f t="shared" si="13"/>
        <v>78539.731988137617</v>
      </c>
      <c r="L56" s="613">
        <f>+K56-40</f>
        <v>78499.731988137617</v>
      </c>
      <c r="M56" s="440"/>
    </row>
    <row r="57" spans="1:17" ht="20.25" customHeight="1">
      <c r="A57" s="121"/>
      <c r="B57" s="642">
        <v>5</v>
      </c>
      <c r="C57" s="643" t="s">
        <v>186</v>
      </c>
      <c r="D57" s="644"/>
      <c r="E57" s="645"/>
      <c r="F57" s="646"/>
      <c r="G57" s="647">
        <v>0</v>
      </c>
      <c r="H57" s="647">
        <v>0</v>
      </c>
      <c r="I57" s="648">
        <v>0</v>
      </c>
      <c r="J57" s="649">
        <f t="shared" si="12"/>
        <v>0</v>
      </c>
      <c r="K57" s="650">
        <v>115000</v>
      </c>
      <c r="L57" s="613">
        <f>+K57</f>
        <v>115000</v>
      </c>
      <c r="M57" s="440"/>
    </row>
    <row r="58" spans="1:17" ht="20.25" customHeight="1">
      <c r="A58" s="121"/>
      <c r="B58" s="509">
        <v>6</v>
      </c>
      <c r="C58" s="510" t="s">
        <v>164</v>
      </c>
      <c r="D58" s="511">
        <v>315600</v>
      </c>
      <c r="E58" s="512">
        <v>332900</v>
      </c>
      <c r="F58" s="513">
        <v>354450</v>
      </c>
      <c r="G58" s="553">
        <v>395749.57154400001</v>
      </c>
      <c r="H58" s="553">
        <v>402650.18904601998</v>
      </c>
      <c r="I58" s="514">
        <v>4.58E-2</v>
      </c>
      <c r="J58" s="580">
        <f t="shared" si="12"/>
        <v>18441.378658307716</v>
      </c>
      <c r="K58" s="632">
        <f t="shared" si="13"/>
        <v>421091.5677043277</v>
      </c>
      <c r="L58" s="615">
        <f>+K58-42</f>
        <v>421049.5677043277</v>
      </c>
      <c r="M58" s="440"/>
    </row>
    <row r="59" spans="1:17" ht="20.25" customHeight="1">
      <c r="A59" s="121"/>
      <c r="B59" s="498">
        <v>7</v>
      </c>
      <c r="C59" s="499" t="s">
        <v>165</v>
      </c>
      <c r="D59" s="500"/>
      <c r="E59" s="501">
        <v>480000</v>
      </c>
      <c r="F59" s="502">
        <v>511100</v>
      </c>
      <c r="G59" s="554">
        <v>570699.63768399996</v>
      </c>
      <c r="H59" s="554">
        <v>580649.88134346996</v>
      </c>
      <c r="I59" s="450">
        <v>4.58E-2</v>
      </c>
      <c r="J59" s="581">
        <f t="shared" si="12"/>
        <v>26593.764565530924</v>
      </c>
      <c r="K59" s="637">
        <f t="shared" si="13"/>
        <v>607243.64590900089</v>
      </c>
      <c r="L59" s="616">
        <f>+K59-44</f>
        <v>607199.64590900089</v>
      </c>
      <c r="M59" s="440"/>
    </row>
    <row r="60" spans="1:17" ht="20.25" customHeight="1">
      <c r="A60" s="121"/>
      <c r="B60" s="503">
        <v>8</v>
      </c>
      <c r="C60" s="504" t="s">
        <v>166</v>
      </c>
      <c r="D60" s="505">
        <v>7800</v>
      </c>
      <c r="E60" s="506">
        <v>8200</v>
      </c>
      <c r="F60" s="507">
        <v>8700</v>
      </c>
      <c r="G60" s="555">
        <v>9699.91</v>
      </c>
      <c r="H60" s="555">
        <v>9849.6584249999996</v>
      </c>
      <c r="I60" s="515">
        <v>4.58E-2</v>
      </c>
      <c r="J60" s="582">
        <f t="shared" si="12"/>
        <v>451.11435586499999</v>
      </c>
      <c r="K60" s="638">
        <f t="shared" si="13"/>
        <v>10300.772780865</v>
      </c>
      <c r="L60" s="617">
        <f>+K60-1</f>
        <v>10299.772780865</v>
      </c>
      <c r="M60" s="440"/>
    </row>
    <row r="61" spans="1:17" ht="20.25" customHeight="1">
      <c r="A61" s="121"/>
      <c r="B61" s="427">
        <v>9</v>
      </c>
      <c r="C61" s="431" t="s">
        <v>167</v>
      </c>
      <c r="D61" s="428">
        <v>115700</v>
      </c>
      <c r="E61" s="429">
        <v>122000</v>
      </c>
      <c r="F61" s="430">
        <v>129900</v>
      </c>
      <c r="G61" s="550">
        <v>145050.42000000001</v>
      </c>
      <c r="H61" s="550">
        <v>147549.80235000001</v>
      </c>
      <c r="I61" s="547">
        <v>4.58E-2</v>
      </c>
      <c r="J61" s="497">
        <f t="shared" si="12"/>
        <v>6757.7809476300008</v>
      </c>
      <c r="K61" s="635">
        <f t="shared" si="13"/>
        <v>154307.58329763002</v>
      </c>
      <c r="L61" s="612">
        <f>+K61-8</f>
        <v>154299.58329763002</v>
      </c>
      <c r="M61" s="440"/>
    </row>
    <row r="62" spans="1:17" ht="20.25" customHeight="1">
      <c r="A62" s="121"/>
      <c r="B62" s="419">
        <v>10</v>
      </c>
      <c r="C62" s="432" t="s">
        <v>168</v>
      </c>
      <c r="D62" s="420"/>
      <c r="E62" s="421"/>
      <c r="F62" s="422"/>
      <c r="G62" s="551">
        <v>0</v>
      </c>
      <c r="H62" s="551">
        <v>205150</v>
      </c>
      <c r="I62" s="547">
        <v>4.58E-2</v>
      </c>
      <c r="J62" s="497">
        <f t="shared" si="12"/>
        <v>9395.8700000000008</v>
      </c>
      <c r="K62" s="635">
        <f t="shared" si="13"/>
        <v>214545.87</v>
      </c>
      <c r="L62" s="613">
        <f>+K62-46</f>
        <v>214499.87</v>
      </c>
      <c r="M62" s="446" t="s">
        <v>150</v>
      </c>
      <c r="N62" s="448"/>
    </row>
    <row r="63" spans="1:17" ht="20.25" customHeight="1">
      <c r="A63" s="121"/>
      <c r="B63" s="419">
        <v>11</v>
      </c>
      <c r="C63" s="432" t="s">
        <v>169</v>
      </c>
      <c r="D63" s="420">
        <v>206000</v>
      </c>
      <c r="E63" s="421">
        <v>217300</v>
      </c>
      <c r="F63" s="422">
        <v>231350</v>
      </c>
      <c r="G63" s="551">
        <v>258300.141966</v>
      </c>
      <c r="H63" s="551">
        <v>262800.39445040497</v>
      </c>
      <c r="I63" s="547">
        <v>4.58E-2</v>
      </c>
      <c r="J63" s="497">
        <f t="shared" si="12"/>
        <v>12036.258065828548</v>
      </c>
      <c r="K63" s="635">
        <f t="shared" si="13"/>
        <v>274836.6525162335</v>
      </c>
      <c r="L63" s="613">
        <f>+K63-37</f>
        <v>274799.6525162335</v>
      </c>
      <c r="M63" s="440"/>
      <c r="N63" s="448"/>
    </row>
    <row r="64" spans="1:17" ht="20.25" customHeight="1">
      <c r="A64" s="121"/>
      <c r="B64" s="642">
        <v>12</v>
      </c>
      <c r="C64" s="432" t="s">
        <v>187</v>
      </c>
      <c r="D64" s="644"/>
      <c r="E64" s="645"/>
      <c r="F64" s="646"/>
      <c r="G64" s="647">
        <v>0</v>
      </c>
      <c r="H64" s="647">
        <v>0</v>
      </c>
      <c r="I64" s="648">
        <v>0</v>
      </c>
      <c r="J64" s="649">
        <f t="shared" si="12"/>
        <v>0</v>
      </c>
      <c r="K64" s="650">
        <v>404000</v>
      </c>
      <c r="L64" s="613">
        <f>+K64</f>
        <v>404000</v>
      </c>
      <c r="M64" s="440"/>
      <c r="N64" s="448"/>
    </row>
    <row r="65" spans="1:14" ht="20.25" customHeight="1">
      <c r="A65" s="121"/>
      <c r="B65" s="509">
        <v>13</v>
      </c>
      <c r="C65" s="510" t="s">
        <v>170</v>
      </c>
      <c r="D65" s="511">
        <v>5200</v>
      </c>
      <c r="E65" s="512">
        <v>5500</v>
      </c>
      <c r="F65" s="513">
        <v>5850</v>
      </c>
      <c r="G65" s="553">
        <v>6500</v>
      </c>
      <c r="H65" s="553">
        <v>6599.75</v>
      </c>
      <c r="I65" s="514">
        <v>4.58E-2</v>
      </c>
      <c r="J65" s="580">
        <f t="shared" si="12"/>
        <v>302.26855</v>
      </c>
      <c r="K65" s="632">
        <f t="shared" si="13"/>
        <v>6902.0185499999998</v>
      </c>
      <c r="L65" s="615">
        <f>+K65-2</f>
        <v>6900.0185499999998</v>
      </c>
      <c r="M65" s="440"/>
    </row>
    <row r="66" spans="1:14" ht="20.25" customHeight="1">
      <c r="A66" s="121"/>
      <c r="B66" s="498">
        <v>14</v>
      </c>
      <c r="C66" s="499" t="s">
        <v>171</v>
      </c>
      <c r="D66" s="500">
        <v>59500</v>
      </c>
      <c r="E66" s="501">
        <v>62800</v>
      </c>
      <c r="F66" s="502">
        <v>66850</v>
      </c>
      <c r="G66" s="554">
        <v>74650.34</v>
      </c>
      <c r="H66" s="554">
        <v>75949.720950000003</v>
      </c>
      <c r="I66" s="450">
        <v>4.58E-2</v>
      </c>
      <c r="J66" s="581">
        <f t="shared" si="12"/>
        <v>3478.4972195100004</v>
      </c>
      <c r="K66" s="637">
        <f t="shared" si="13"/>
        <v>79428.218169510001</v>
      </c>
      <c r="L66" s="616">
        <f>+K66-28</f>
        <v>79400.218169510001</v>
      </c>
      <c r="M66" s="440"/>
    </row>
    <row r="67" spans="1:14" ht="20.25" customHeight="1">
      <c r="A67" s="121"/>
      <c r="B67" s="498">
        <v>15</v>
      </c>
      <c r="C67" s="499" t="s">
        <v>172</v>
      </c>
      <c r="D67" s="500">
        <v>17900</v>
      </c>
      <c r="E67" s="501">
        <v>18900</v>
      </c>
      <c r="F67" s="502">
        <v>20100</v>
      </c>
      <c r="G67" s="554">
        <v>22349.798842</v>
      </c>
      <c r="H67" s="554">
        <v>22699.920321735</v>
      </c>
      <c r="I67" s="450">
        <v>4.58E-2</v>
      </c>
      <c r="J67" s="581">
        <f t="shared" si="12"/>
        <v>1039.6563507354631</v>
      </c>
      <c r="K67" s="637">
        <f t="shared" si="13"/>
        <v>23739.576672470463</v>
      </c>
      <c r="L67" s="616">
        <f>+K67-40</f>
        <v>23699.576672470463</v>
      </c>
      <c r="M67" s="440"/>
    </row>
    <row r="68" spans="1:14" ht="20.25" customHeight="1">
      <c r="A68" s="121"/>
      <c r="B68" s="503">
        <v>16</v>
      </c>
      <c r="C68" s="516" t="s">
        <v>98</v>
      </c>
      <c r="D68" s="505">
        <v>11600</v>
      </c>
      <c r="E68" s="506">
        <v>12200</v>
      </c>
      <c r="F68" s="507">
        <v>12950</v>
      </c>
      <c r="G68" s="555">
        <v>14450.47</v>
      </c>
      <c r="H68" s="555">
        <v>14700.353224999999</v>
      </c>
      <c r="I68" s="515">
        <v>4.58E-2</v>
      </c>
      <c r="J68" s="582">
        <f t="shared" si="12"/>
        <v>673.27617770500001</v>
      </c>
      <c r="K68" s="638">
        <f t="shared" si="13"/>
        <v>15373.629402704999</v>
      </c>
      <c r="L68" s="617">
        <f>+K68-24</f>
        <v>15349.629402704999</v>
      </c>
      <c r="M68" s="440"/>
    </row>
    <row r="69" spans="1:14" ht="20.25" customHeight="1">
      <c r="A69" s="121"/>
      <c r="B69" s="663">
        <v>17</v>
      </c>
      <c r="C69" s="664" t="s">
        <v>173</v>
      </c>
      <c r="D69" s="665">
        <v>0</v>
      </c>
      <c r="E69" s="666">
        <v>196200</v>
      </c>
      <c r="F69" s="667">
        <v>208900</v>
      </c>
      <c r="G69" s="668">
        <v>233249.99621200003</v>
      </c>
      <c r="H69" s="668">
        <v>237299.87114571003</v>
      </c>
      <c r="I69" s="669">
        <v>4.58E-2</v>
      </c>
      <c r="J69" s="670">
        <f t="shared" si="12"/>
        <v>10868.334098473519</v>
      </c>
      <c r="K69" s="671">
        <f t="shared" si="13"/>
        <v>248168.20524418354</v>
      </c>
      <c r="L69" s="672">
        <f>+K69-18</f>
        <v>248150.20524418354</v>
      </c>
      <c r="M69" s="440"/>
      <c r="N69" s="448"/>
    </row>
    <row r="70" spans="1:14" ht="20.25" customHeight="1">
      <c r="A70" s="121"/>
      <c r="B70" s="419">
        <v>18</v>
      </c>
      <c r="C70" s="432" t="s">
        <v>174</v>
      </c>
      <c r="D70" s="420"/>
      <c r="E70" s="421"/>
      <c r="F70" s="422"/>
      <c r="G70" s="551">
        <v>0</v>
      </c>
      <c r="H70" s="551">
        <v>303749.87114571</v>
      </c>
      <c r="I70" s="547">
        <v>4.58E-2</v>
      </c>
      <c r="J70" s="497">
        <f t="shared" si="12"/>
        <v>13911.744098473519</v>
      </c>
      <c r="K70" s="635">
        <f t="shared" si="13"/>
        <v>317661.61524418351</v>
      </c>
      <c r="L70" s="613">
        <f>+K70-12</f>
        <v>317649.61524418351</v>
      </c>
      <c r="M70" s="446" t="s">
        <v>150</v>
      </c>
      <c r="N70" s="448"/>
    </row>
    <row r="71" spans="1:14" ht="20.25" customHeight="1">
      <c r="A71" s="121"/>
      <c r="B71" s="419">
        <v>19</v>
      </c>
      <c r="C71" s="432" t="s">
        <v>175</v>
      </c>
      <c r="D71" s="420">
        <v>0</v>
      </c>
      <c r="E71" s="421">
        <v>0</v>
      </c>
      <c r="F71" s="422">
        <v>325884</v>
      </c>
      <c r="G71" s="551">
        <v>363849.54115800001</v>
      </c>
      <c r="H71" s="551">
        <v>370199.908128265</v>
      </c>
      <c r="I71" s="547">
        <v>4.58E-2</v>
      </c>
      <c r="J71" s="497">
        <f t="shared" si="12"/>
        <v>16955.155792274538</v>
      </c>
      <c r="K71" s="635">
        <f t="shared" si="13"/>
        <v>387155.06392053951</v>
      </c>
      <c r="L71" s="613">
        <f>+K71-5</f>
        <v>387150.06392053951</v>
      </c>
      <c r="M71" s="440"/>
    </row>
    <row r="72" spans="1:14" ht="20.25" customHeight="1">
      <c r="A72" s="121"/>
      <c r="B72" s="423">
        <v>20</v>
      </c>
      <c r="C72" s="433" t="s">
        <v>188</v>
      </c>
      <c r="D72" s="424">
        <v>0</v>
      </c>
      <c r="E72" s="425">
        <v>0</v>
      </c>
      <c r="F72" s="426">
        <v>325884</v>
      </c>
      <c r="G72" s="552">
        <v>0</v>
      </c>
      <c r="H72" s="552">
        <v>0</v>
      </c>
      <c r="I72" s="548">
        <v>0</v>
      </c>
      <c r="J72" s="508">
        <f t="shared" ref="J72" si="14">+H72*I72</f>
        <v>0</v>
      </c>
      <c r="K72" s="636">
        <v>569000</v>
      </c>
      <c r="L72" s="614">
        <f>+K72</f>
        <v>569000</v>
      </c>
      <c r="M72" s="440"/>
    </row>
    <row r="73" spans="1:14" ht="20.25" customHeight="1">
      <c r="A73" s="121"/>
      <c r="B73" s="427">
        <v>21</v>
      </c>
      <c r="C73" s="431" t="s">
        <v>189</v>
      </c>
      <c r="D73" s="428">
        <v>36700</v>
      </c>
      <c r="E73" s="429">
        <v>38700</v>
      </c>
      <c r="F73" s="430">
        <v>41200</v>
      </c>
      <c r="G73" s="550">
        <v>45999.533402000001</v>
      </c>
      <c r="H73" s="550">
        <v>46799.525236535002</v>
      </c>
      <c r="I73" s="578">
        <v>4.58E-2</v>
      </c>
      <c r="J73" s="583">
        <f t="shared" si="12"/>
        <v>2143.4182558333032</v>
      </c>
      <c r="K73" s="639">
        <f t="shared" si="13"/>
        <v>48942.943492368307</v>
      </c>
      <c r="L73" s="612">
        <f>+K73-43</f>
        <v>48899.943492368307</v>
      </c>
      <c r="M73" s="440"/>
    </row>
    <row r="74" spans="1:14" ht="20.25" customHeight="1">
      <c r="A74" s="121"/>
      <c r="B74" s="419">
        <v>22</v>
      </c>
      <c r="C74" s="432" t="s">
        <v>190</v>
      </c>
      <c r="D74" s="420"/>
      <c r="E74" s="421"/>
      <c r="F74" s="422"/>
      <c r="G74" s="551">
        <v>0</v>
      </c>
      <c r="H74" s="551">
        <v>59899.525236535002</v>
      </c>
      <c r="I74" s="547">
        <v>4.58E-2</v>
      </c>
      <c r="J74" s="497">
        <f t="shared" si="12"/>
        <v>2743.3982558333032</v>
      </c>
      <c r="K74" s="635">
        <f t="shared" si="13"/>
        <v>62642.923492368303</v>
      </c>
      <c r="L74" s="613">
        <f>+K74-43</f>
        <v>62599.923492368303</v>
      </c>
      <c r="M74" s="446" t="s">
        <v>150</v>
      </c>
      <c r="N74" s="448"/>
    </row>
    <row r="75" spans="1:14" ht="20.25" customHeight="1">
      <c r="A75" s="121"/>
      <c r="B75" s="419">
        <v>23</v>
      </c>
      <c r="C75" s="432" t="s">
        <v>191</v>
      </c>
      <c r="D75" s="420">
        <v>0</v>
      </c>
      <c r="E75" s="421">
        <v>0</v>
      </c>
      <c r="F75" s="422">
        <v>64272</v>
      </c>
      <c r="G75" s="551">
        <v>71750.259999999995</v>
      </c>
      <c r="H75" s="551">
        <v>72999.889549999993</v>
      </c>
      <c r="I75" s="547">
        <v>4.58E-2</v>
      </c>
      <c r="J75" s="497">
        <f t="shared" si="12"/>
        <v>3343.3949413899995</v>
      </c>
      <c r="K75" s="635">
        <f t="shared" si="13"/>
        <v>76343.28449138999</v>
      </c>
      <c r="L75" s="613">
        <f>+K75-43</f>
        <v>76300.28449138999</v>
      </c>
      <c r="M75" s="440"/>
      <c r="N75" s="448"/>
    </row>
    <row r="76" spans="1:14" ht="20.25" customHeight="1">
      <c r="A76" s="121"/>
      <c r="B76" s="653">
        <v>24</v>
      </c>
      <c r="C76" s="654" t="s">
        <v>192</v>
      </c>
      <c r="D76" s="655"/>
      <c r="E76" s="656"/>
      <c r="F76" s="657"/>
      <c r="G76" s="658">
        <v>0</v>
      </c>
      <c r="H76" s="658">
        <v>0</v>
      </c>
      <c r="I76" s="659">
        <v>0</v>
      </c>
      <c r="J76" s="660">
        <f t="shared" si="12"/>
        <v>0</v>
      </c>
      <c r="K76" s="661">
        <v>112000</v>
      </c>
      <c r="L76" s="662">
        <f>+K76</f>
        <v>112000</v>
      </c>
      <c r="M76" s="440"/>
      <c r="N76" s="448"/>
    </row>
    <row r="77" spans="1:14" ht="20.25" customHeight="1">
      <c r="A77" s="121"/>
      <c r="B77" s="491">
        <v>25</v>
      </c>
      <c r="C77" s="517" t="s">
        <v>176</v>
      </c>
      <c r="D77" s="493">
        <v>225000</v>
      </c>
      <c r="E77" s="494">
        <v>237300</v>
      </c>
      <c r="F77" s="495">
        <v>252650</v>
      </c>
      <c r="G77" s="549">
        <v>282100.24340199999</v>
      </c>
      <c r="H77" s="549">
        <v>286999.99766153499</v>
      </c>
      <c r="I77" s="584">
        <v>4.58E-2</v>
      </c>
      <c r="J77" s="496">
        <f t="shared" si="12"/>
        <v>13144.599892898303</v>
      </c>
      <c r="K77" s="634">
        <f t="shared" si="13"/>
        <v>300144.59755443328</v>
      </c>
      <c r="L77" s="618">
        <f>+K77-45</f>
        <v>300099.59755443328</v>
      </c>
      <c r="M77" s="440"/>
    </row>
    <row r="78" spans="1:14" ht="20.25" customHeight="1">
      <c r="A78" s="121"/>
      <c r="B78" s="427">
        <v>26</v>
      </c>
      <c r="C78" s="431" t="s">
        <v>177</v>
      </c>
      <c r="D78" s="428">
        <v>0</v>
      </c>
      <c r="E78" s="429">
        <v>0</v>
      </c>
      <c r="F78" s="430">
        <v>605000</v>
      </c>
      <c r="G78" s="550">
        <v>675549.73350999993</v>
      </c>
      <c r="H78" s="550">
        <v>687349.85384642496</v>
      </c>
      <c r="I78" s="578">
        <v>4.58E-2</v>
      </c>
      <c r="J78" s="583">
        <f t="shared" si="12"/>
        <v>31480.623306166264</v>
      </c>
      <c r="K78" s="639">
        <f t="shared" si="13"/>
        <v>718830.47715259122</v>
      </c>
      <c r="L78" s="612">
        <f>+K78-30</f>
        <v>718800.47715259122</v>
      </c>
      <c r="M78" s="440"/>
    </row>
    <row r="79" spans="1:14" ht="20.25" customHeight="1">
      <c r="A79" s="121"/>
      <c r="B79" s="419">
        <v>27</v>
      </c>
      <c r="C79" s="432" t="s">
        <v>178</v>
      </c>
      <c r="D79" s="420"/>
      <c r="E79" s="421"/>
      <c r="F79" s="422"/>
      <c r="G79" s="551">
        <v>0</v>
      </c>
      <c r="H79" s="551">
        <v>957149.85384642496</v>
      </c>
      <c r="I79" s="547">
        <v>4.58E-2</v>
      </c>
      <c r="J79" s="497">
        <f t="shared" si="12"/>
        <v>43837.463306166261</v>
      </c>
      <c r="K79" s="635">
        <f t="shared" si="13"/>
        <v>1000987.3171525912</v>
      </c>
      <c r="L79" s="613">
        <f>+K79-37</f>
        <v>1000950.3171525912</v>
      </c>
      <c r="M79" s="446" t="s">
        <v>150</v>
      </c>
    </row>
    <row r="80" spans="1:14" ht="20.25" customHeight="1">
      <c r="A80" s="121"/>
      <c r="B80" s="423">
        <v>28</v>
      </c>
      <c r="C80" s="433" t="s">
        <v>179</v>
      </c>
      <c r="D80" s="424">
        <v>0</v>
      </c>
      <c r="E80" s="425">
        <v>0</v>
      </c>
      <c r="F80" s="426">
        <v>1080000</v>
      </c>
      <c r="G80" s="552">
        <v>1205900.46</v>
      </c>
      <c r="H80" s="552">
        <v>1226999.71805</v>
      </c>
      <c r="I80" s="548">
        <v>4.58E-2</v>
      </c>
      <c r="J80" s="508">
        <f t="shared" si="12"/>
        <v>56196.58708669</v>
      </c>
      <c r="K80" s="636">
        <f t="shared" si="13"/>
        <v>1283196.3051366899</v>
      </c>
      <c r="L80" s="614">
        <f>+K80-46</f>
        <v>1283150.3051366899</v>
      </c>
      <c r="M80" s="440"/>
    </row>
    <row r="81" spans="1:13" ht="20.25" customHeight="1">
      <c r="A81" s="121"/>
      <c r="B81" s="427">
        <v>29</v>
      </c>
      <c r="C81" s="431" t="s">
        <v>180</v>
      </c>
      <c r="D81" s="428">
        <v>0</v>
      </c>
      <c r="E81" s="429">
        <v>0</v>
      </c>
      <c r="F81" s="430">
        <v>405000</v>
      </c>
      <c r="G81" s="550">
        <v>452200.04533200001</v>
      </c>
      <c r="H81" s="550">
        <v>460099.54612531001</v>
      </c>
      <c r="I81" s="547">
        <v>4.58E-2</v>
      </c>
      <c r="J81" s="497">
        <f t="shared" si="12"/>
        <v>21072.5592125392</v>
      </c>
      <c r="K81" s="635">
        <f t="shared" si="13"/>
        <v>481172.10533784924</v>
      </c>
      <c r="L81" s="612">
        <f>+K81-22</f>
        <v>481150.10533784924</v>
      </c>
      <c r="M81" s="440"/>
    </row>
    <row r="82" spans="1:13" ht="20.25" customHeight="1">
      <c r="A82" s="121"/>
      <c r="B82" s="419">
        <v>30</v>
      </c>
      <c r="C82" s="432" t="s">
        <v>181</v>
      </c>
      <c r="D82" s="420"/>
      <c r="E82" s="421"/>
      <c r="F82" s="422"/>
      <c r="G82" s="551">
        <v>0</v>
      </c>
      <c r="H82" s="551">
        <v>639049.54612531001</v>
      </c>
      <c r="I82" s="547">
        <v>4.58E-2</v>
      </c>
      <c r="J82" s="497">
        <f t="shared" si="12"/>
        <v>29268.469212539199</v>
      </c>
      <c r="K82" s="635">
        <f t="shared" si="13"/>
        <v>668318.01533784915</v>
      </c>
      <c r="L82" s="613">
        <f>+K82-18</f>
        <v>668300.01533784915</v>
      </c>
      <c r="M82" s="446" t="s">
        <v>150</v>
      </c>
    </row>
    <row r="83" spans="1:13" ht="20.25" customHeight="1">
      <c r="A83" s="121"/>
      <c r="B83" s="419">
        <v>31</v>
      </c>
      <c r="C83" s="432" t="s">
        <v>182</v>
      </c>
      <c r="D83" s="420">
        <v>0</v>
      </c>
      <c r="E83" s="421">
        <v>0</v>
      </c>
      <c r="F83" s="422">
        <v>720000</v>
      </c>
      <c r="G83" s="551">
        <v>803949.63389599998</v>
      </c>
      <c r="H83" s="551">
        <v>817999.75248917995</v>
      </c>
      <c r="I83" s="547">
        <v>4.58E-2</v>
      </c>
      <c r="J83" s="497">
        <f t="shared" si="12"/>
        <v>37464.388664004444</v>
      </c>
      <c r="K83" s="635">
        <f t="shared" si="13"/>
        <v>855464.14115318435</v>
      </c>
      <c r="L83" s="613">
        <f>+K83-14</f>
        <v>855450.14115318435</v>
      </c>
      <c r="M83" s="440"/>
    </row>
    <row r="84" spans="1:13" ht="20.25" customHeight="1">
      <c r="A84" s="121"/>
      <c r="B84" s="653">
        <v>32</v>
      </c>
      <c r="C84" s="654" t="s">
        <v>193</v>
      </c>
      <c r="D84" s="655">
        <v>0</v>
      </c>
      <c r="E84" s="656">
        <v>0</v>
      </c>
      <c r="F84" s="657">
        <v>720000</v>
      </c>
      <c r="G84" s="658">
        <v>0</v>
      </c>
      <c r="H84" s="658">
        <v>0</v>
      </c>
      <c r="I84" s="659">
        <v>0</v>
      </c>
      <c r="J84" s="660">
        <f t="shared" ref="J84" si="15">+H84*I84</f>
        <v>0</v>
      </c>
      <c r="K84" s="661">
        <v>1257000</v>
      </c>
      <c r="L84" s="662">
        <f>+K84</f>
        <v>1257000</v>
      </c>
      <c r="M84" s="440"/>
    </row>
    <row r="85" spans="1:13" ht="20.25" customHeight="1">
      <c r="A85" s="121"/>
      <c r="B85" s="566">
        <v>33</v>
      </c>
      <c r="C85" s="567" t="s">
        <v>119</v>
      </c>
      <c r="D85" s="568"/>
      <c r="E85" s="569"/>
      <c r="F85" s="570"/>
      <c r="G85" s="571">
        <v>2549.5</v>
      </c>
      <c r="H85" s="571">
        <v>2550.11625</v>
      </c>
      <c r="I85" s="572">
        <v>4.58E-2</v>
      </c>
      <c r="J85" s="573">
        <f t="shared" si="12"/>
        <v>116.79532425000001</v>
      </c>
      <c r="K85" s="640">
        <f t="shared" si="13"/>
        <v>2666.9115742499998</v>
      </c>
      <c r="L85" s="619">
        <f>+K85-17</f>
        <v>2649.9115742499998</v>
      </c>
      <c r="M85" s="440"/>
    </row>
    <row r="86" spans="1:13" ht="20.25" customHeight="1">
      <c r="A86" s="121"/>
      <c r="B86" s="574">
        <v>34</v>
      </c>
      <c r="C86" s="575" t="s">
        <v>183</v>
      </c>
      <c r="D86" s="576"/>
      <c r="E86" s="277"/>
      <c r="F86" s="577"/>
      <c r="G86" s="556">
        <v>41500</v>
      </c>
      <c r="H86" s="556">
        <v>42200.25</v>
      </c>
      <c r="I86" s="449">
        <v>4.58E-2</v>
      </c>
      <c r="J86" s="251">
        <f t="shared" si="12"/>
        <v>1932.77145</v>
      </c>
      <c r="K86" s="641">
        <f t="shared" si="13"/>
        <v>44133.02145</v>
      </c>
      <c r="L86" s="620">
        <f>+K86-33</f>
        <v>44100.02145</v>
      </c>
      <c r="M86" s="440"/>
    </row>
    <row r="87" spans="1:13" ht="20.25" customHeight="1">
      <c r="A87" s="121"/>
      <c r="B87" s="574">
        <v>35</v>
      </c>
      <c r="C87" s="575" t="s">
        <v>184</v>
      </c>
      <c r="D87" s="576"/>
      <c r="E87" s="277"/>
      <c r="F87" s="577"/>
      <c r="G87" s="556"/>
      <c r="H87" s="556"/>
      <c r="I87" s="449"/>
      <c r="J87" s="251"/>
      <c r="K87" s="641"/>
      <c r="L87" s="620"/>
      <c r="M87" s="440"/>
    </row>
    <row r="88" spans="1:13" ht="20.25" customHeight="1">
      <c r="A88" s="121"/>
      <c r="B88" s="574">
        <v>36</v>
      </c>
      <c r="C88" s="575" t="s">
        <v>198</v>
      </c>
      <c r="D88" s="576"/>
      <c r="E88" s="277"/>
      <c r="F88" s="577"/>
      <c r="G88" s="556"/>
      <c r="H88" s="556"/>
      <c r="I88" s="449"/>
      <c r="J88" s="251"/>
      <c r="K88" s="641"/>
      <c r="L88" s="620">
        <v>120000</v>
      </c>
      <c r="M88" s="440"/>
    </row>
    <row r="89" spans="1:13" ht="20.25" customHeight="1" thickBot="1">
      <c r="A89" s="121"/>
      <c r="B89" s="557">
        <v>37</v>
      </c>
      <c r="C89" s="558" t="s">
        <v>199</v>
      </c>
      <c r="D89" s="559"/>
      <c r="E89" s="560"/>
      <c r="F89" s="561"/>
      <c r="G89" s="562"/>
      <c r="H89" s="563"/>
      <c r="I89" s="564"/>
      <c r="J89" s="565"/>
      <c r="K89" s="562"/>
      <c r="L89" s="621">
        <v>600000</v>
      </c>
      <c r="M89" s="440"/>
    </row>
    <row r="90" spans="1:13" ht="16.5" thickTop="1">
      <c r="C90" s="274" t="s">
        <v>157</v>
      </c>
    </row>
    <row r="91" spans="1:13">
      <c r="C91" s="302" t="s">
        <v>123</v>
      </c>
    </row>
    <row r="92" spans="1:13">
      <c r="C92" s="84" t="s">
        <v>185</v>
      </c>
    </row>
  </sheetData>
  <mergeCells count="52">
    <mergeCell ref="B51:L51"/>
    <mergeCell ref="A36:L36"/>
    <mergeCell ref="A37:A38"/>
    <mergeCell ref="B37:B38"/>
    <mergeCell ref="C37:C38"/>
    <mergeCell ref="D37:D38"/>
    <mergeCell ref="E37:E38"/>
    <mergeCell ref="F37:F38"/>
    <mergeCell ref="G37:G38"/>
    <mergeCell ref="I37:L37"/>
    <mergeCell ref="H37:H38"/>
    <mergeCell ref="A45:L45"/>
    <mergeCell ref="A46:A47"/>
    <mergeCell ref="B46:B47"/>
    <mergeCell ref="C46:C47"/>
    <mergeCell ref="D46:D47"/>
    <mergeCell ref="A20:L20"/>
    <mergeCell ref="A21:A22"/>
    <mergeCell ref="B21:B22"/>
    <mergeCell ref="C21:C22"/>
    <mergeCell ref="D21:D22"/>
    <mergeCell ref="E21:E22"/>
    <mergeCell ref="F21:F22"/>
    <mergeCell ref="G21:G22"/>
    <mergeCell ref="I21:L21"/>
    <mergeCell ref="H21:H22"/>
    <mergeCell ref="A13:L13"/>
    <mergeCell ref="A14:A15"/>
    <mergeCell ref="B14:B15"/>
    <mergeCell ref="C14:C15"/>
    <mergeCell ref="D14:D15"/>
    <mergeCell ref="E14:E15"/>
    <mergeCell ref="F14:F15"/>
    <mergeCell ref="G14:G15"/>
    <mergeCell ref="I14:L14"/>
    <mergeCell ref="H14:H15"/>
    <mergeCell ref="A1:L1"/>
    <mergeCell ref="A3:L3"/>
    <mergeCell ref="A4:A5"/>
    <mergeCell ref="B4:B5"/>
    <mergeCell ref="C4:C5"/>
    <mergeCell ref="D4:D5"/>
    <mergeCell ref="E4:E5"/>
    <mergeCell ref="F4:F5"/>
    <mergeCell ref="G4:G5"/>
    <mergeCell ref="I4:L4"/>
    <mergeCell ref="H4:H5"/>
    <mergeCell ref="E46:E47"/>
    <mergeCell ref="F46:F47"/>
    <mergeCell ref="G46:G47"/>
    <mergeCell ref="H46:H47"/>
    <mergeCell ref="I46:L46"/>
  </mergeCells>
  <pageMargins left="0.9055118110236221" right="0.31496062992125984" top="0.35433070866141736" bottom="0.15748031496062992" header="0.31496062992125984" footer="0.31496062992125984"/>
  <pageSetup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AT92"/>
  <sheetViews>
    <sheetView showGridLines="0" tabSelected="1" zoomScale="80" zoomScaleNormal="80" workbookViewId="0">
      <selection activeCell="L38" sqref="L38"/>
    </sheetView>
  </sheetViews>
  <sheetFormatPr baseColWidth="10" defaultRowHeight="15.75"/>
  <cols>
    <col min="1" max="1" width="4.28515625" style="84" customWidth="1"/>
    <col min="2" max="2" width="6.85546875" style="84" customWidth="1"/>
    <col min="3" max="3" width="59.140625" style="84" customWidth="1"/>
    <col min="4" max="4" width="14.42578125" style="141" hidden="1" customWidth="1"/>
    <col min="5" max="6" width="14.42578125" style="142" hidden="1" customWidth="1"/>
    <col min="7" max="8" width="14.42578125" style="142" customWidth="1"/>
    <col min="9" max="9" width="15.28515625" style="143" customWidth="1"/>
    <col min="10" max="10" width="15.28515625" style="141" customWidth="1"/>
    <col min="11" max="11" width="13.140625" style="142" bestFit="1" customWidth="1"/>
    <col min="12" max="12" width="13.85546875" style="144" customWidth="1"/>
    <col min="13" max="13" width="18.140625" style="439" hidden="1" customWidth="1"/>
    <col min="14" max="14" width="14.28515625" style="439" hidden="1" customWidth="1"/>
    <col min="15" max="15" width="17.5703125" style="439" hidden="1" customWidth="1"/>
    <col min="16" max="16" width="17.42578125" style="439" hidden="1" customWidth="1"/>
    <col min="17" max="17" width="0" style="439" hidden="1" customWidth="1"/>
    <col min="18" max="42" width="0" style="84" hidden="1" customWidth="1"/>
    <col min="43" max="43" width="11.42578125" style="84"/>
    <col min="44" max="44" width="17.42578125" style="84" bestFit="1" customWidth="1"/>
    <col min="45" max="45" width="15.5703125" style="84" bestFit="1" customWidth="1"/>
    <col min="46" max="16384" width="11.42578125" style="84"/>
  </cols>
  <sheetData>
    <row r="1" spans="1:43" ht="63" customHeight="1">
      <c r="A1" s="793" t="s">
        <v>203</v>
      </c>
      <c r="B1" s="793"/>
      <c r="C1" s="793"/>
      <c r="D1" s="793"/>
      <c r="E1" s="793"/>
      <c r="F1" s="793"/>
      <c r="G1" s="793"/>
      <c r="H1" s="793"/>
      <c r="I1" s="793"/>
      <c r="J1" s="793"/>
      <c r="K1" s="793"/>
      <c r="L1" s="793"/>
    </row>
    <row r="2" spans="1:43" ht="10.5" customHeight="1" thickBot="1">
      <c r="A2" s="681"/>
      <c r="B2" s="681"/>
      <c r="C2" s="681"/>
      <c r="D2" s="681"/>
      <c r="E2" s="681"/>
      <c r="F2" s="681"/>
      <c r="G2" s="681"/>
      <c r="H2" s="681"/>
      <c r="I2" s="681"/>
      <c r="J2" s="681"/>
      <c r="K2" s="681"/>
      <c r="L2" s="681"/>
    </row>
    <row r="3" spans="1:43" ht="42" customHeight="1" thickTop="1">
      <c r="A3" s="820" t="s">
        <v>3</v>
      </c>
      <c r="B3" s="821"/>
      <c r="C3" s="821"/>
      <c r="D3" s="821"/>
      <c r="E3" s="821"/>
      <c r="F3" s="821"/>
      <c r="G3" s="821"/>
      <c r="H3" s="821"/>
      <c r="I3" s="821"/>
      <c r="J3" s="821"/>
      <c r="K3" s="821"/>
      <c r="L3" s="822"/>
    </row>
    <row r="4" spans="1:43" ht="31.5" customHeight="1">
      <c r="A4" s="839" t="s">
        <v>4</v>
      </c>
      <c r="B4" s="840" t="s">
        <v>5</v>
      </c>
      <c r="C4" s="840" t="s">
        <v>6</v>
      </c>
      <c r="D4" s="836" t="s">
        <v>7</v>
      </c>
      <c r="E4" s="836" t="s">
        <v>74</v>
      </c>
      <c r="F4" s="837" t="s">
        <v>75</v>
      </c>
      <c r="G4" s="836" t="s">
        <v>152</v>
      </c>
      <c r="H4" s="836" t="s">
        <v>200</v>
      </c>
      <c r="I4" s="838" t="s">
        <v>201</v>
      </c>
      <c r="J4" s="829"/>
      <c r="K4" s="829"/>
      <c r="L4" s="830"/>
    </row>
    <row r="5" spans="1:43" ht="30.75" customHeight="1">
      <c r="A5" s="839"/>
      <c r="B5" s="840"/>
      <c r="C5" s="840"/>
      <c r="D5" s="836"/>
      <c r="E5" s="836"/>
      <c r="F5" s="837"/>
      <c r="G5" s="836"/>
      <c r="H5" s="836"/>
      <c r="I5" s="519" t="s">
        <v>80</v>
      </c>
      <c r="J5" s="682" t="s">
        <v>81</v>
      </c>
      <c r="K5" s="682" t="s">
        <v>82</v>
      </c>
      <c r="L5" s="461" t="s">
        <v>83</v>
      </c>
    </row>
    <row r="6" spans="1:43" ht="25.5" customHeight="1">
      <c r="A6" s="452">
        <v>1</v>
      </c>
      <c r="B6" s="453" t="s">
        <v>12</v>
      </c>
      <c r="C6" s="454" t="s">
        <v>22</v>
      </c>
      <c r="D6" s="416">
        <v>1793000</v>
      </c>
      <c r="E6" s="416">
        <v>1891100</v>
      </c>
      <c r="F6" s="518">
        <v>2013600</v>
      </c>
      <c r="G6" s="521">
        <v>2287749.5230538729</v>
      </c>
      <c r="H6" s="521">
        <v>2392500.4512097402</v>
      </c>
      <c r="I6" s="520">
        <v>0.1222</v>
      </c>
      <c r="J6" s="455">
        <f>+H6*I6</f>
        <v>292363.55513783026</v>
      </c>
      <c r="K6" s="622">
        <f>+H6+J6</f>
        <v>2684864.0063475706</v>
      </c>
      <c r="L6" s="868">
        <f>+K6-14</f>
        <v>2684850.0063475706</v>
      </c>
      <c r="M6" s="440"/>
      <c r="AQ6" s="279"/>
    </row>
    <row r="7" spans="1:43" ht="43.5" customHeight="1">
      <c r="A7" s="177">
        <v>2</v>
      </c>
      <c r="B7" s="178" t="s">
        <v>12</v>
      </c>
      <c r="C7" s="179" t="s">
        <v>109</v>
      </c>
      <c r="D7" s="276">
        <v>0</v>
      </c>
      <c r="E7" s="180">
        <v>1646000</v>
      </c>
      <c r="F7" s="378">
        <v>1752600</v>
      </c>
      <c r="G7" s="522">
        <v>1991200.35283694</v>
      </c>
      <c r="H7" s="522">
        <v>2082350.3289968718</v>
      </c>
      <c r="I7" s="182">
        <v>0.1222</v>
      </c>
      <c r="J7" s="456">
        <f t="shared" ref="J7:J11" si="0">+H7*I7</f>
        <v>254463.21020341775</v>
      </c>
      <c r="K7" s="181">
        <f>+H7+J7</f>
        <v>2336813.5392002896</v>
      </c>
      <c r="L7" s="597">
        <f>+K7-14</f>
        <v>2336799.5392002896</v>
      </c>
      <c r="M7" s="440"/>
      <c r="AQ7" s="279"/>
    </row>
    <row r="8" spans="1:43" ht="24.75" customHeight="1">
      <c r="A8" s="177">
        <v>3</v>
      </c>
      <c r="B8" s="178" t="s">
        <v>12</v>
      </c>
      <c r="C8" s="179" t="s">
        <v>16</v>
      </c>
      <c r="D8" s="180">
        <v>1793000</v>
      </c>
      <c r="E8" s="180">
        <v>1891100</v>
      </c>
      <c r="F8" s="378">
        <v>2013600</v>
      </c>
      <c r="G8" s="522">
        <v>2287749.5230538729</v>
      </c>
      <c r="H8" s="522">
        <v>2392500.4512097402</v>
      </c>
      <c r="I8" s="182">
        <v>0.1222</v>
      </c>
      <c r="J8" s="456">
        <f t="shared" si="0"/>
        <v>292363.55513783026</v>
      </c>
      <c r="K8" s="181">
        <f t="shared" ref="K8:K11" si="1">+H8+J8</f>
        <v>2684864.0063475706</v>
      </c>
      <c r="L8" s="597">
        <f>+K8-14</f>
        <v>2684850.0063475706</v>
      </c>
      <c r="M8" s="440"/>
      <c r="AQ8" s="279"/>
    </row>
    <row r="9" spans="1:43" ht="24.75" customHeight="1">
      <c r="A9" s="177">
        <f>+A8+1</f>
        <v>4</v>
      </c>
      <c r="B9" s="178" t="s">
        <v>12</v>
      </c>
      <c r="C9" s="179" t="s">
        <v>14</v>
      </c>
      <c r="D9" s="180">
        <v>1793000</v>
      </c>
      <c r="E9" s="180">
        <v>1891100</v>
      </c>
      <c r="F9" s="378">
        <v>2013600</v>
      </c>
      <c r="G9" s="522">
        <v>2287749.5230538729</v>
      </c>
      <c r="H9" s="522">
        <v>2392500.4512097402</v>
      </c>
      <c r="I9" s="182">
        <v>0.1222</v>
      </c>
      <c r="J9" s="456">
        <f t="shared" si="0"/>
        <v>292363.55513783026</v>
      </c>
      <c r="K9" s="181">
        <f t="shared" si="1"/>
        <v>2684864.0063475706</v>
      </c>
      <c r="L9" s="597">
        <f t="shared" ref="L9:L11" si="2">+K9-14</f>
        <v>2684850.0063475706</v>
      </c>
      <c r="M9" s="440"/>
      <c r="AQ9" s="279"/>
    </row>
    <row r="10" spans="1:43" ht="24.75" customHeight="1">
      <c r="A10" s="177">
        <f t="shared" ref="A10:A11" si="3">+A9+1</f>
        <v>5</v>
      </c>
      <c r="B10" s="178" t="s">
        <v>12</v>
      </c>
      <c r="C10" s="179" t="s">
        <v>15</v>
      </c>
      <c r="D10" s="180">
        <v>1793000</v>
      </c>
      <c r="E10" s="180">
        <v>1891100</v>
      </c>
      <c r="F10" s="378">
        <v>2013600</v>
      </c>
      <c r="G10" s="522">
        <v>2287749.5230538729</v>
      </c>
      <c r="H10" s="522">
        <v>2392500.4512097402</v>
      </c>
      <c r="I10" s="182">
        <v>0.1222</v>
      </c>
      <c r="J10" s="456">
        <f t="shared" si="0"/>
        <v>292363.55513783026</v>
      </c>
      <c r="K10" s="181">
        <f t="shared" si="1"/>
        <v>2684864.0063475706</v>
      </c>
      <c r="L10" s="597">
        <f t="shared" si="2"/>
        <v>2684850.0063475706</v>
      </c>
      <c r="M10" s="440"/>
      <c r="AQ10" s="279"/>
    </row>
    <row r="11" spans="1:43" ht="24.75" customHeight="1" thickBot="1">
      <c r="A11" s="186">
        <f t="shared" si="3"/>
        <v>6</v>
      </c>
      <c r="B11" s="187" t="s">
        <v>12</v>
      </c>
      <c r="C11" s="188" t="s">
        <v>17</v>
      </c>
      <c r="D11" s="190">
        <v>1793000</v>
      </c>
      <c r="E11" s="190">
        <v>1891100</v>
      </c>
      <c r="F11" s="380">
        <v>2013600</v>
      </c>
      <c r="G11" s="523">
        <v>2287749.5230538729</v>
      </c>
      <c r="H11" s="523">
        <v>2392500.4512097402</v>
      </c>
      <c r="I11" s="381">
        <v>0.1222</v>
      </c>
      <c r="J11" s="192">
        <f t="shared" si="0"/>
        <v>292363.55513783026</v>
      </c>
      <c r="K11" s="191">
        <f t="shared" si="1"/>
        <v>2684864.0063475706</v>
      </c>
      <c r="L11" s="685">
        <f t="shared" si="2"/>
        <v>2684850.0063475706</v>
      </c>
      <c r="M11" s="440"/>
      <c r="AQ11" s="279"/>
    </row>
    <row r="12" spans="1:43" ht="10.5" customHeight="1" thickTop="1" thickBot="1">
      <c r="A12" s="96"/>
      <c r="B12" s="97"/>
      <c r="C12" s="98"/>
      <c r="D12" s="99"/>
      <c r="E12" s="99"/>
      <c r="F12" s="99"/>
      <c r="G12" s="99"/>
      <c r="H12" s="99"/>
      <c r="I12" s="100"/>
      <c r="J12" s="101"/>
      <c r="K12" s="99"/>
      <c r="L12" s="102"/>
      <c r="M12" s="440"/>
      <c r="AQ12" s="279"/>
    </row>
    <row r="13" spans="1:43" ht="39.75" customHeight="1" thickTop="1">
      <c r="A13" s="820" t="s">
        <v>146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2"/>
      <c r="M13" s="440"/>
      <c r="AQ13" s="279"/>
    </row>
    <row r="14" spans="1:43" ht="30.75" customHeight="1">
      <c r="A14" s="839" t="s">
        <v>4</v>
      </c>
      <c r="B14" s="840" t="s">
        <v>5</v>
      </c>
      <c r="C14" s="840" t="s">
        <v>6</v>
      </c>
      <c r="D14" s="836" t="s">
        <v>7</v>
      </c>
      <c r="E14" s="836" t="s">
        <v>74</v>
      </c>
      <c r="F14" s="836" t="s">
        <v>75</v>
      </c>
      <c r="G14" s="836" t="s">
        <v>152</v>
      </c>
      <c r="H14" s="836" t="s">
        <v>200</v>
      </c>
      <c r="I14" s="829" t="s">
        <v>201</v>
      </c>
      <c r="J14" s="829"/>
      <c r="K14" s="829"/>
      <c r="L14" s="830"/>
      <c r="M14" s="440"/>
      <c r="AQ14" s="279"/>
    </row>
    <row r="15" spans="1:43" ht="45" customHeight="1">
      <c r="A15" s="839"/>
      <c r="B15" s="840"/>
      <c r="C15" s="840"/>
      <c r="D15" s="836"/>
      <c r="E15" s="836"/>
      <c r="F15" s="836"/>
      <c r="G15" s="836"/>
      <c r="H15" s="836"/>
      <c r="I15" s="459" t="s">
        <v>80</v>
      </c>
      <c r="J15" s="682" t="s">
        <v>81</v>
      </c>
      <c r="K15" s="682" t="s">
        <v>82</v>
      </c>
      <c r="L15" s="461" t="s">
        <v>83</v>
      </c>
      <c r="M15" s="440"/>
      <c r="AQ15" s="279"/>
    </row>
    <row r="16" spans="1:43" ht="25.5" customHeight="1">
      <c r="A16" s="304">
        <v>1</v>
      </c>
      <c r="B16" s="305" t="s">
        <v>138</v>
      </c>
      <c r="C16" s="306" t="s">
        <v>141</v>
      </c>
      <c r="D16" s="307">
        <v>0</v>
      </c>
      <c r="E16" s="307">
        <v>0</v>
      </c>
      <c r="F16" s="524">
        <v>4300000</v>
      </c>
      <c r="G16" s="527">
        <v>2543750</v>
      </c>
      <c r="H16" s="527">
        <v>2660249.75</v>
      </c>
      <c r="I16" s="79">
        <v>0.1222</v>
      </c>
      <c r="J16" s="309">
        <f>+H16*I16</f>
        <v>325082.51945000002</v>
      </c>
      <c r="K16" s="623">
        <f>+H16+J16</f>
        <v>2985332.26945</v>
      </c>
      <c r="L16" s="870">
        <f>+K16-32</f>
        <v>2985300.26945</v>
      </c>
      <c r="M16" s="440"/>
      <c r="AQ16" s="279"/>
    </row>
    <row r="17" spans="1:43" ht="25.5" customHeight="1">
      <c r="A17" s="204">
        <v>2</v>
      </c>
      <c r="B17" s="205" t="s">
        <v>138</v>
      </c>
      <c r="C17" s="206" t="s">
        <v>142</v>
      </c>
      <c r="D17" s="209">
        <v>3200550</v>
      </c>
      <c r="E17" s="209">
        <v>3375600</v>
      </c>
      <c r="F17" s="525">
        <v>3594300</v>
      </c>
      <c r="G17" s="528">
        <v>2543750</v>
      </c>
      <c r="H17" s="528">
        <v>2660249.75</v>
      </c>
      <c r="I17" s="79">
        <v>0.1222</v>
      </c>
      <c r="J17" s="312">
        <f t="shared" ref="J17" si="4">+H17*I17</f>
        <v>325082.51945000002</v>
      </c>
      <c r="K17" s="624">
        <f>+H17+J17</f>
        <v>2985332.26945</v>
      </c>
      <c r="L17" s="869">
        <f>+K17-32</f>
        <v>2985300.26945</v>
      </c>
      <c r="M17" s="440"/>
      <c r="AQ17" s="279"/>
    </row>
    <row r="18" spans="1:43" ht="25.5" customHeight="1" thickBot="1">
      <c r="A18" s="218">
        <v>3</v>
      </c>
      <c r="B18" s="369" t="s">
        <v>138</v>
      </c>
      <c r="C18" s="370" t="s">
        <v>143</v>
      </c>
      <c r="D18" s="221">
        <v>0</v>
      </c>
      <c r="E18" s="221">
        <v>0</v>
      </c>
      <c r="F18" s="526">
        <v>0</v>
      </c>
      <c r="G18" s="529">
        <v>2238500</v>
      </c>
      <c r="H18" s="529">
        <v>2341000.2999999998</v>
      </c>
      <c r="I18" s="80">
        <v>0.1222</v>
      </c>
      <c r="J18" s="457">
        <f>+H18*I18</f>
        <v>286070.23666</v>
      </c>
      <c r="K18" s="625">
        <f>+H18+J18</f>
        <v>2627070.5366599998</v>
      </c>
      <c r="L18" s="865">
        <f>+K18-21</f>
        <v>2627049.5366599998</v>
      </c>
      <c r="M18" s="440"/>
      <c r="AQ18" s="279"/>
    </row>
    <row r="19" spans="1:43" ht="10.5" customHeight="1" thickTop="1" thickBot="1">
      <c r="A19" s="96"/>
      <c r="B19" s="97"/>
      <c r="C19" s="98"/>
      <c r="D19" s="99"/>
      <c r="E19" s="99"/>
      <c r="F19" s="99"/>
      <c r="G19" s="99"/>
      <c r="H19" s="99"/>
      <c r="I19" s="100"/>
      <c r="J19" s="101"/>
      <c r="K19" s="99"/>
      <c r="L19" s="102"/>
      <c r="M19" s="440"/>
      <c r="AQ19" s="279"/>
    </row>
    <row r="20" spans="1:43" ht="24.75" customHeight="1" thickTop="1">
      <c r="A20" s="820" t="s">
        <v>26</v>
      </c>
      <c r="B20" s="821"/>
      <c r="C20" s="821"/>
      <c r="D20" s="821"/>
      <c r="E20" s="821"/>
      <c r="F20" s="821"/>
      <c r="G20" s="821"/>
      <c r="H20" s="821"/>
      <c r="I20" s="821"/>
      <c r="J20" s="821"/>
      <c r="K20" s="821"/>
      <c r="L20" s="822"/>
      <c r="M20" s="440"/>
      <c r="N20" s="439">
        <f>+L23*Q23</f>
        <v>-3189899.6557563152</v>
      </c>
      <c r="AQ20" s="279"/>
    </row>
    <row r="21" spans="1:43" s="103" customFormat="1" ht="30.75" customHeight="1">
      <c r="A21" s="841" t="s">
        <v>4</v>
      </c>
      <c r="B21" s="840" t="s">
        <v>5</v>
      </c>
      <c r="C21" s="840" t="s">
        <v>6</v>
      </c>
      <c r="D21" s="836" t="s">
        <v>7</v>
      </c>
      <c r="E21" s="836" t="s">
        <v>74</v>
      </c>
      <c r="F21" s="836" t="s">
        <v>75</v>
      </c>
      <c r="G21" s="836" t="s">
        <v>152</v>
      </c>
      <c r="H21" s="836" t="s">
        <v>200</v>
      </c>
      <c r="I21" s="829" t="s">
        <v>201</v>
      </c>
      <c r="J21" s="829"/>
      <c r="K21" s="829"/>
      <c r="L21" s="830"/>
      <c r="M21" s="440"/>
      <c r="N21" s="437">
        <f>+L23+N20</f>
        <v>2543750</v>
      </c>
      <c r="O21" s="435"/>
      <c r="P21" s="435"/>
      <c r="Q21" s="435"/>
      <c r="AQ21" s="279"/>
    </row>
    <row r="22" spans="1:43" s="103" customFormat="1" ht="30.75" customHeight="1">
      <c r="A22" s="841"/>
      <c r="B22" s="840"/>
      <c r="C22" s="840"/>
      <c r="D22" s="836"/>
      <c r="E22" s="836"/>
      <c r="F22" s="836"/>
      <c r="G22" s="836"/>
      <c r="H22" s="836"/>
      <c r="I22" s="459" t="s">
        <v>80</v>
      </c>
      <c r="J22" s="682" t="s">
        <v>81</v>
      </c>
      <c r="K22" s="682" t="s">
        <v>82</v>
      </c>
      <c r="L22" s="461" t="s">
        <v>83</v>
      </c>
      <c r="M22" s="440"/>
      <c r="N22" s="435"/>
      <c r="O22" s="435"/>
      <c r="P22" s="441"/>
      <c r="Q22" s="435"/>
      <c r="AQ22" s="279"/>
    </row>
    <row r="23" spans="1:43" s="103" customFormat="1" ht="25.5" customHeight="1">
      <c r="A23" s="686">
        <v>1</v>
      </c>
      <c r="B23" s="687" t="s">
        <v>27</v>
      </c>
      <c r="C23" s="688" t="s">
        <v>108</v>
      </c>
      <c r="D23" s="689">
        <v>0</v>
      </c>
      <c r="E23" s="689">
        <v>0</v>
      </c>
      <c r="F23" s="690">
        <v>4300000</v>
      </c>
      <c r="G23" s="691">
        <v>4885549.9851212231</v>
      </c>
      <c r="H23" s="691">
        <v>5109300.1744397748</v>
      </c>
      <c r="I23" s="692">
        <v>0.1222</v>
      </c>
      <c r="J23" s="693">
        <f>+H23*I23</f>
        <v>624356.48131654051</v>
      </c>
      <c r="K23" s="694">
        <f>+H23+J23</f>
        <v>5733656.6557563152</v>
      </c>
      <c r="L23" s="867">
        <f>+K23-7</f>
        <v>5733649.6557563152</v>
      </c>
      <c r="M23" s="440"/>
      <c r="N23" s="435"/>
      <c r="O23" s="443">
        <v>2543750</v>
      </c>
      <c r="P23" s="443">
        <f>+O23-L23</f>
        <v>-3189899.6557563152</v>
      </c>
      <c r="Q23" s="442">
        <f>+P23/L23</f>
        <v>-0.55634715186230566</v>
      </c>
      <c r="AQ23" s="279"/>
    </row>
    <row r="24" spans="1:43" s="103" customFormat="1" ht="32.25" customHeight="1">
      <c r="A24" s="695">
        <v>2</v>
      </c>
      <c r="B24" s="696" t="s">
        <v>27</v>
      </c>
      <c r="C24" s="697" t="s">
        <v>28</v>
      </c>
      <c r="D24" s="698">
        <v>3200550</v>
      </c>
      <c r="E24" s="698">
        <v>3375600</v>
      </c>
      <c r="F24" s="699">
        <v>3594300</v>
      </c>
      <c r="G24" s="700">
        <v>4083749.630964085</v>
      </c>
      <c r="H24" s="700">
        <v>4270750.3640622403</v>
      </c>
      <c r="I24" s="701">
        <v>0.1222</v>
      </c>
      <c r="J24" s="702">
        <f t="shared" ref="J24:J33" si="5">+H24*I24</f>
        <v>521885.69448840577</v>
      </c>
      <c r="K24" s="703">
        <f>+H24+J24</f>
        <v>4792636.0585506465</v>
      </c>
      <c r="L24" s="866">
        <f>+K24-36</f>
        <v>4792600.0585506465</v>
      </c>
      <c r="M24" s="440"/>
      <c r="N24" s="435"/>
      <c r="O24" s="443">
        <v>2543750</v>
      </c>
      <c r="P24" s="443">
        <f>+O24-L24</f>
        <v>-2248850.0585506465</v>
      </c>
      <c r="Q24" s="442">
        <f>+P24/L24</f>
        <v>-0.46923382528829921</v>
      </c>
      <c r="AQ24" s="279"/>
    </row>
    <row r="25" spans="1:43" s="103" customFormat="1" ht="25.5" customHeight="1">
      <c r="A25" s="695">
        <v>3</v>
      </c>
      <c r="B25" s="704" t="s">
        <v>27</v>
      </c>
      <c r="C25" s="705" t="s">
        <v>111</v>
      </c>
      <c r="D25" s="698">
        <v>0</v>
      </c>
      <c r="E25" s="698">
        <v>0</v>
      </c>
      <c r="F25" s="699">
        <v>0</v>
      </c>
      <c r="G25" s="700">
        <v>4203900</v>
      </c>
      <c r="H25" s="700">
        <v>4396399.62</v>
      </c>
      <c r="I25" s="701">
        <v>0.1222</v>
      </c>
      <c r="J25" s="702">
        <f t="shared" si="5"/>
        <v>537240.03356400004</v>
      </c>
      <c r="K25" s="703">
        <f t="shared" ref="K25:K33" si="6">+H25+J25</f>
        <v>4933639.6535640005</v>
      </c>
      <c r="L25" s="866">
        <f>+K25-40</f>
        <v>4933599.6535640005</v>
      </c>
      <c r="M25" s="440"/>
      <c r="N25" s="435"/>
      <c r="O25" s="435"/>
      <c r="P25" s="437"/>
      <c r="Q25" s="435"/>
      <c r="AQ25" s="279"/>
    </row>
    <row r="26" spans="1:43" s="103" customFormat="1" ht="25.5" customHeight="1">
      <c r="A26" s="695">
        <v>4</v>
      </c>
      <c r="B26" s="704" t="s">
        <v>27</v>
      </c>
      <c r="C26" s="705" t="s">
        <v>113</v>
      </c>
      <c r="D26" s="698">
        <v>0</v>
      </c>
      <c r="E26" s="698">
        <v>0</v>
      </c>
      <c r="F26" s="699">
        <v>0</v>
      </c>
      <c r="G26" s="700">
        <v>4040199.6365999999</v>
      </c>
      <c r="H26" s="700">
        <v>4225199.7799562803</v>
      </c>
      <c r="I26" s="701">
        <v>0.1222</v>
      </c>
      <c r="J26" s="702">
        <f t="shared" si="5"/>
        <v>516319.41311065748</v>
      </c>
      <c r="K26" s="703">
        <f t="shared" si="6"/>
        <v>4741519.1930669378</v>
      </c>
      <c r="L26" s="866">
        <f>+K26-19</f>
        <v>4741500.1930669378</v>
      </c>
      <c r="M26" s="440"/>
      <c r="N26" s="435"/>
      <c r="O26" s="435"/>
      <c r="P26" s="435"/>
      <c r="Q26" s="435"/>
      <c r="AQ26" s="279"/>
    </row>
    <row r="27" spans="1:43" s="103" customFormat="1" ht="25.5" customHeight="1">
      <c r="A27" s="695">
        <v>5</v>
      </c>
      <c r="B27" s="704" t="s">
        <v>27</v>
      </c>
      <c r="C27" s="705" t="s">
        <v>114</v>
      </c>
      <c r="D27" s="698">
        <v>0</v>
      </c>
      <c r="E27" s="698">
        <v>0</v>
      </c>
      <c r="F27" s="699">
        <v>0</v>
      </c>
      <c r="G27" s="700">
        <v>4751049.7487076502</v>
      </c>
      <c r="H27" s="700">
        <v>4968599.8271984607</v>
      </c>
      <c r="I27" s="701">
        <v>0.1222</v>
      </c>
      <c r="J27" s="702">
        <f t="shared" si="5"/>
        <v>607162.89888365194</v>
      </c>
      <c r="K27" s="703">
        <f t="shared" si="6"/>
        <v>5575762.7260821126</v>
      </c>
      <c r="L27" s="866">
        <f>+K27-13</f>
        <v>5575749.7260821126</v>
      </c>
      <c r="M27" s="440"/>
      <c r="N27" s="435"/>
      <c r="O27" s="443">
        <v>2543750</v>
      </c>
      <c r="P27" s="443">
        <f>+O27-L27</f>
        <v>-3031999.7260821126</v>
      </c>
      <c r="Q27" s="442">
        <f>+P27/L27</f>
        <v>-0.54378332511932781</v>
      </c>
      <c r="AQ27" s="279"/>
    </row>
    <row r="28" spans="1:43" s="103" customFormat="1" ht="25.5" customHeight="1">
      <c r="A28" s="695">
        <v>6</v>
      </c>
      <c r="B28" s="696" t="s">
        <v>27</v>
      </c>
      <c r="C28" s="697" t="s">
        <v>115</v>
      </c>
      <c r="D28" s="698">
        <v>0</v>
      </c>
      <c r="E28" s="698">
        <v>0</v>
      </c>
      <c r="F28" s="699">
        <v>0</v>
      </c>
      <c r="G28" s="700">
        <v>3494200.452025</v>
      </c>
      <c r="H28" s="700">
        <v>3654199.8327277452</v>
      </c>
      <c r="I28" s="701">
        <v>0.1222</v>
      </c>
      <c r="J28" s="702">
        <f t="shared" si="5"/>
        <v>446543.21955933049</v>
      </c>
      <c r="K28" s="703">
        <f t="shared" si="6"/>
        <v>4100743.0522870757</v>
      </c>
      <c r="L28" s="866">
        <f>+K28-43</f>
        <v>4100700.0522870757</v>
      </c>
      <c r="M28" s="440"/>
      <c r="N28" s="435"/>
      <c r="O28" s="435"/>
      <c r="P28" s="435"/>
      <c r="Q28" s="435"/>
      <c r="AQ28" s="279"/>
    </row>
    <row r="29" spans="1:43" s="103" customFormat="1" ht="25.5" customHeight="1">
      <c r="A29" s="695">
        <v>7</v>
      </c>
      <c r="B29" s="704" t="s">
        <v>27</v>
      </c>
      <c r="C29" s="705" t="s">
        <v>127</v>
      </c>
      <c r="D29" s="698"/>
      <c r="E29" s="698"/>
      <c r="F29" s="699"/>
      <c r="G29" s="700">
        <v>3381650.25</v>
      </c>
      <c r="H29" s="700">
        <v>3536499.8314499999</v>
      </c>
      <c r="I29" s="701">
        <v>0.1222</v>
      </c>
      <c r="J29" s="702">
        <f t="shared" si="5"/>
        <v>432160.27940319001</v>
      </c>
      <c r="K29" s="703">
        <f t="shared" si="6"/>
        <v>3968660.1108531901</v>
      </c>
      <c r="L29" s="866">
        <f>+K29-10</f>
        <v>3968650.1108531901</v>
      </c>
      <c r="M29" s="440"/>
      <c r="N29" s="435"/>
      <c r="O29" s="443">
        <v>2289375</v>
      </c>
      <c r="P29" s="443">
        <f>+O29-L29</f>
        <v>-1679275.1108531901</v>
      </c>
      <c r="Q29" s="442">
        <f>+P29/L29</f>
        <v>-0.42313508723301774</v>
      </c>
      <c r="AQ29" s="279"/>
    </row>
    <row r="30" spans="1:43" s="103" customFormat="1" ht="25.5" customHeight="1">
      <c r="A30" s="695">
        <v>8</v>
      </c>
      <c r="B30" s="696" t="s">
        <v>27</v>
      </c>
      <c r="C30" s="697" t="s">
        <v>128</v>
      </c>
      <c r="D30" s="698">
        <v>0</v>
      </c>
      <c r="E30" s="698">
        <v>0</v>
      </c>
      <c r="F30" s="699">
        <v>0</v>
      </c>
      <c r="G30" s="700">
        <v>4597950.3429999994</v>
      </c>
      <c r="H30" s="700">
        <v>4808500.468709399</v>
      </c>
      <c r="I30" s="701">
        <v>0.1222</v>
      </c>
      <c r="J30" s="702">
        <f t="shared" si="5"/>
        <v>587598.75727628858</v>
      </c>
      <c r="K30" s="703">
        <f t="shared" si="6"/>
        <v>5396099.2259856872</v>
      </c>
      <c r="L30" s="866">
        <f>+K30-49</f>
        <v>5396050.2259856872</v>
      </c>
      <c r="M30" s="440"/>
      <c r="N30" s="435"/>
      <c r="O30" s="443">
        <v>2543750</v>
      </c>
      <c r="P30" s="443">
        <f>+O30-L30</f>
        <v>-2852300.2259856872</v>
      </c>
      <c r="Q30" s="442">
        <f>+P30/L30</f>
        <v>-0.52859037750425353</v>
      </c>
      <c r="AQ30" s="279"/>
    </row>
    <row r="31" spans="1:43" s="103" customFormat="1" ht="25.5" customHeight="1">
      <c r="A31" s="695">
        <v>9</v>
      </c>
      <c r="B31" s="704" t="s">
        <v>27</v>
      </c>
      <c r="C31" s="705" t="s">
        <v>139</v>
      </c>
      <c r="D31" s="698"/>
      <c r="E31" s="698"/>
      <c r="F31" s="699"/>
      <c r="G31" s="700">
        <v>4427099.5</v>
      </c>
      <c r="H31" s="700">
        <v>4629849.6571000004</v>
      </c>
      <c r="I31" s="701">
        <v>0.1222</v>
      </c>
      <c r="J31" s="702">
        <f t="shared" si="5"/>
        <v>565767.62809762009</v>
      </c>
      <c r="K31" s="703">
        <f t="shared" si="6"/>
        <v>5195617.2851976203</v>
      </c>
      <c r="L31" s="866">
        <f>+K31-17</f>
        <v>5195600.2851976203</v>
      </c>
      <c r="M31" s="440"/>
      <c r="N31" s="435"/>
      <c r="O31" s="435"/>
      <c r="P31" s="435"/>
      <c r="Q31" s="435"/>
      <c r="AQ31" s="279"/>
    </row>
    <row r="32" spans="1:43" s="103" customFormat="1" ht="25.5" customHeight="1">
      <c r="A32" s="695">
        <v>10</v>
      </c>
      <c r="B32" s="704" t="s">
        <v>27</v>
      </c>
      <c r="C32" s="705" t="s">
        <v>144</v>
      </c>
      <c r="D32" s="698"/>
      <c r="E32" s="698"/>
      <c r="F32" s="699"/>
      <c r="G32" s="700">
        <v>4578750</v>
      </c>
      <c r="H32" s="700">
        <v>4788449.75</v>
      </c>
      <c r="I32" s="701">
        <v>0.1222</v>
      </c>
      <c r="J32" s="702">
        <f t="shared" si="5"/>
        <v>585148.55945000006</v>
      </c>
      <c r="K32" s="703">
        <f t="shared" si="6"/>
        <v>5373598.3094500005</v>
      </c>
      <c r="L32" s="866">
        <f>+K32-48</f>
        <v>5373550.3094500005</v>
      </c>
      <c r="M32" s="434">
        <v>2500000</v>
      </c>
      <c r="N32" s="435">
        <f>+M32*I32</f>
        <v>305500</v>
      </c>
      <c r="O32" s="436">
        <f>+M32+N32</f>
        <v>2805500</v>
      </c>
      <c r="P32" s="437">
        <f>+O32-L32</f>
        <v>-2568050.3094500005</v>
      </c>
      <c r="Q32" s="442">
        <f>+P32/L32</f>
        <v>-0.47790569764161162</v>
      </c>
      <c r="AQ32" s="279"/>
    </row>
    <row r="33" spans="1:45" s="103" customFormat="1" ht="25.5" customHeight="1" thickBot="1">
      <c r="A33" s="706">
        <v>11</v>
      </c>
      <c r="B33" s="707" t="s">
        <v>27</v>
      </c>
      <c r="C33" s="708" t="s">
        <v>145</v>
      </c>
      <c r="D33" s="709"/>
      <c r="E33" s="709"/>
      <c r="F33" s="710"/>
      <c r="G33" s="711">
        <v>4578750</v>
      </c>
      <c r="H33" s="711">
        <v>4788449.75</v>
      </c>
      <c r="I33" s="712">
        <v>0.1222</v>
      </c>
      <c r="J33" s="713">
        <f t="shared" si="5"/>
        <v>585148.55945000006</v>
      </c>
      <c r="K33" s="714">
        <f t="shared" si="6"/>
        <v>5373598.3094500005</v>
      </c>
      <c r="L33" s="865">
        <f>+K33-48</f>
        <v>5373550.3094500005</v>
      </c>
      <c r="M33" s="434"/>
      <c r="N33" s="435"/>
      <c r="O33" s="436"/>
      <c r="P33" s="437"/>
      <c r="Q33" s="442"/>
      <c r="AQ33" s="279"/>
    </row>
    <row r="34" spans="1:45" s="347" customFormat="1" ht="10.5" customHeight="1" thickTop="1" thickBot="1">
      <c r="A34" s="341"/>
      <c r="B34" s="341"/>
      <c r="C34" s="303"/>
      <c r="D34" s="342"/>
      <c r="E34" s="342"/>
      <c r="F34" s="342"/>
      <c r="G34" s="342"/>
      <c r="H34" s="342"/>
      <c r="I34" s="343"/>
      <c r="J34" s="344"/>
      <c r="K34" s="342"/>
      <c r="L34" s="345"/>
      <c r="M34" s="444"/>
      <c r="N34" s="445"/>
      <c r="O34" s="445"/>
      <c r="P34" s="445"/>
      <c r="Q34" s="445"/>
      <c r="AQ34" s="279"/>
    </row>
    <row r="35" spans="1:45" s="103" customFormat="1" ht="32.25" customHeight="1" thickTop="1">
      <c r="A35" s="820" t="s">
        <v>133</v>
      </c>
      <c r="B35" s="821"/>
      <c r="C35" s="821"/>
      <c r="D35" s="821"/>
      <c r="E35" s="821"/>
      <c r="F35" s="821"/>
      <c r="G35" s="821"/>
      <c r="H35" s="821"/>
      <c r="I35" s="821"/>
      <c r="J35" s="821"/>
      <c r="K35" s="821"/>
      <c r="L35" s="822"/>
      <c r="M35" s="440"/>
      <c r="N35" s="435"/>
      <c r="O35" s="435"/>
      <c r="P35" s="435"/>
      <c r="Q35" s="435"/>
      <c r="AQ35" s="279"/>
    </row>
    <row r="36" spans="1:45" s="103" customFormat="1" ht="32.25" customHeight="1">
      <c r="A36" s="841" t="s">
        <v>4</v>
      </c>
      <c r="B36" s="840" t="s">
        <v>5</v>
      </c>
      <c r="C36" s="840" t="s">
        <v>134</v>
      </c>
      <c r="D36" s="836" t="s">
        <v>7</v>
      </c>
      <c r="E36" s="836" t="s">
        <v>74</v>
      </c>
      <c r="F36" s="836" t="s">
        <v>75</v>
      </c>
      <c r="G36" s="836" t="s">
        <v>152</v>
      </c>
      <c r="H36" s="836" t="s">
        <v>200</v>
      </c>
      <c r="I36" s="829" t="s">
        <v>201</v>
      </c>
      <c r="J36" s="829"/>
      <c r="K36" s="829"/>
      <c r="L36" s="830"/>
      <c r="M36" s="440"/>
      <c r="N36" s="435"/>
      <c r="O36" s="435"/>
      <c r="P36" s="435"/>
      <c r="Q36" s="435"/>
      <c r="AQ36" s="279"/>
    </row>
    <row r="37" spans="1:45" s="103" customFormat="1" ht="32.25" customHeight="1">
      <c r="A37" s="841"/>
      <c r="B37" s="840"/>
      <c r="C37" s="840"/>
      <c r="D37" s="836"/>
      <c r="E37" s="836"/>
      <c r="F37" s="836"/>
      <c r="G37" s="836"/>
      <c r="H37" s="836"/>
      <c r="I37" s="459" t="s">
        <v>80</v>
      </c>
      <c r="J37" s="682" t="s">
        <v>81</v>
      </c>
      <c r="K37" s="682" t="s">
        <v>82</v>
      </c>
      <c r="L37" s="461" t="s">
        <v>83</v>
      </c>
      <c r="M37" s="440"/>
      <c r="N37" s="435"/>
      <c r="O37" s="435"/>
      <c r="P37" s="435"/>
      <c r="Q37" s="435"/>
      <c r="AQ37" s="279"/>
    </row>
    <row r="38" spans="1:45" s="103" customFormat="1" ht="25.5" customHeight="1">
      <c r="A38" s="472">
        <v>1</v>
      </c>
      <c r="B38" s="473" t="s">
        <v>135</v>
      </c>
      <c r="C38" s="474" t="s">
        <v>136</v>
      </c>
      <c r="D38" s="475">
        <v>0</v>
      </c>
      <c r="E38" s="475">
        <v>0</v>
      </c>
      <c r="F38" s="537">
        <v>4300000</v>
      </c>
      <c r="G38" s="543">
        <v>5901500</v>
      </c>
      <c r="H38" s="543">
        <v>6171749.7000000002</v>
      </c>
      <c r="I38" s="540">
        <v>0.1222</v>
      </c>
      <c r="J38" s="476">
        <f>+H38*I38</f>
        <v>754187.81333999999</v>
      </c>
      <c r="K38" s="629">
        <f>+H38+J38</f>
        <v>6925937.5133400001</v>
      </c>
      <c r="L38" s="867">
        <f>+K38-38</f>
        <v>6925899.5133400001</v>
      </c>
      <c r="M38" s="440"/>
      <c r="N38" s="435"/>
      <c r="O38" s="435"/>
      <c r="P38" s="435"/>
      <c r="Q38" s="435"/>
      <c r="AQ38" s="279"/>
    </row>
    <row r="39" spans="1:45" s="103" customFormat="1" ht="25.5" customHeight="1">
      <c r="A39" s="477">
        <v>2</v>
      </c>
      <c r="B39" s="478" t="s">
        <v>135</v>
      </c>
      <c r="C39" s="479" t="s">
        <v>137</v>
      </c>
      <c r="D39" s="480">
        <v>3200550</v>
      </c>
      <c r="E39" s="480">
        <v>3375600</v>
      </c>
      <c r="F39" s="538">
        <v>3594300</v>
      </c>
      <c r="G39" s="544">
        <v>5901500</v>
      </c>
      <c r="H39" s="544">
        <v>6171749.7000000002</v>
      </c>
      <c r="I39" s="541">
        <v>0.1222</v>
      </c>
      <c r="J39" s="481">
        <f t="shared" ref="J39:J42" si="7">+H39*I39</f>
        <v>754187.81333999999</v>
      </c>
      <c r="K39" s="630">
        <f t="shared" ref="K39:K42" si="8">+H39+J39</f>
        <v>6925937.5133400001</v>
      </c>
      <c r="L39" s="866">
        <f>+K39-38</f>
        <v>6925899.5133400001</v>
      </c>
      <c r="M39" s="440"/>
      <c r="N39" s="435"/>
      <c r="O39" s="435"/>
      <c r="P39" s="435"/>
      <c r="Q39" s="435"/>
      <c r="AQ39" s="279"/>
    </row>
    <row r="40" spans="1:45" s="103" customFormat="1" ht="25.5" customHeight="1">
      <c r="A40" s="477">
        <v>3</v>
      </c>
      <c r="B40" s="482" t="s">
        <v>135</v>
      </c>
      <c r="C40" s="483" t="s">
        <v>140</v>
      </c>
      <c r="D40" s="480">
        <v>0</v>
      </c>
      <c r="E40" s="480">
        <v>0</v>
      </c>
      <c r="F40" s="538">
        <v>0</v>
      </c>
      <c r="G40" s="544">
        <v>6613750</v>
      </c>
      <c r="H40" s="544">
        <v>6916649.75</v>
      </c>
      <c r="I40" s="541">
        <v>0.1222</v>
      </c>
      <c r="J40" s="481">
        <f t="shared" si="7"/>
        <v>845214.59944999998</v>
      </c>
      <c r="K40" s="630">
        <f t="shared" si="8"/>
        <v>7761864.3494499996</v>
      </c>
      <c r="L40" s="866">
        <f>+K40-14</f>
        <v>7761850.3494499996</v>
      </c>
      <c r="M40" s="440"/>
      <c r="N40" s="435"/>
      <c r="O40" s="435"/>
      <c r="P40" s="435"/>
      <c r="Q40" s="435"/>
      <c r="AQ40" s="279"/>
    </row>
    <row r="41" spans="1:45" s="103" customFormat="1" ht="25.5" customHeight="1">
      <c r="A41" s="477">
        <v>4</v>
      </c>
      <c r="B41" s="482" t="s">
        <v>135</v>
      </c>
      <c r="C41" s="483" t="s">
        <v>149</v>
      </c>
      <c r="D41" s="480">
        <v>0</v>
      </c>
      <c r="E41" s="480">
        <v>0</v>
      </c>
      <c r="F41" s="538">
        <v>0</v>
      </c>
      <c r="G41" s="544">
        <v>6613750</v>
      </c>
      <c r="H41" s="544">
        <v>6916649.75</v>
      </c>
      <c r="I41" s="541">
        <v>0.1222</v>
      </c>
      <c r="J41" s="481">
        <f t="shared" si="7"/>
        <v>845214.59944999998</v>
      </c>
      <c r="K41" s="630">
        <f t="shared" si="8"/>
        <v>7761864.3494499996</v>
      </c>
      <c r="L41" s="866">
        <f t="shared" ref="L41" si="9">+K41-14</f>
        <v>7761850.3494499996</v>
      </c>
      <c r="M41" s="440"/>
      <c r="N41" s="435"/>
      <c r="O41" s="435"/>
      <c r="P41" s="435"/>
      <c r="Q41" s="435"/>
      <c r="AQ41" s="279"/>
    </row>
    <row r="42" spans="1:45" s="103" customFormat="1" ht="25.5" customHeight="1" thickBot="1">
      <c r="A42" s="484">
        <v>5</v>
      </c>
      <c r="B42" s="485" t="s">
        <v>135</v>
      </c>
      <c r="C42" s="486" t="s">
        <v>156</v>
      </c>
      <c r="D42" s="487">
        <v>0</v>
      </c>
      <c r="E42" s="487">
        <v>0</v>
      </c>
      <c r="F42" s="539">
        <v>0</v>
      </c>
      <c r="G42" s="545">
        <v>5000000</v>
      </c>
      <c r="H42" s="545">
        <v>5229000</v>
      </c>
      <c r="I42" s="542">
        <v>0.1222</v>
      </c>
      <c r="J42" s="488">
        <f t="shared" si="7"/>
        <v>638983.80000000005</v>
      </c>
      <c r="K42" s="631">
        <f t="shared" si="8"/>
        <v>5867983.7999999998</v>
      </c>
      <c r="L42" s="871">
        <f>+K42-34</f>
        <v>5867949.7999999998</v>
      </c>
      <c r="M42" s="446" t="s">
        <v>150</v>
      </c>
      <c r="N42" s="435"/>
      <c r="O42" s="435"/>
      <c r="P42" s="435"/>
      <c r="Q42" s="435"/>
      <c r="AQ42" s="279"/>
      <c r="AR42" s="652"/>
      <c r="AS42" s="652"/>
    </row>
    <row r="43" spans="1:45" s="120" customFormat="1" ht="10.5" customHeight="1" thickTop="1" thickBot="1">
      <c r="A43" s="96"/>
      <c r="B43" s="96"/>
      <c r="C43" s="98"/>
      <c r="D43" s="116"/>
      <c r="E43" s="116"/>
      <c r="F43" s="116"/>
      <c r="G43" s="116"/>
      <c r="H43" s="116"/>
      <c r="I43" s="117"/>
      <c r="J43" s="118"/>
      <c r="K43" s="116"/>
      <c r="L43" s="119"/>
      <c r="M43" s="440"/>
      <c r="N43" s="447"/>
      <c r="O43" s="447"/>
      <c r="P43" s="447"/>
      <c r="Q43" s="447"/>
      <c r="AQ43" s="279"/>
    </row>
    <row r="44" spans="1:45" s="120" customFormat="1" ht="32.25" customHeight="1" thickTop="1">
      <c r="A44" s="820" t="s">
        <v>158</v>
      </c>
      <c r="B44" s="821"/>
      <c r="C44" s="821"/>
      <c r="D44" s="821"/>
      <c r="E44" s="821"/>
      <c r="F44" s="821"/>
      <c r="G44" s="821"/>
      <c r="H44" s="821"/>
      <c r="I44" s="821"/>
      <c r="J44" s="821"/>
      <c r="K44" s="821"/>
      <c r="L44" s="822"/>
      <c r="M44" s="440"/>
      <c r="N44" s="447"/>
      <c r="O44" s="447"/>
      <c r="P44" s="447"/>
      <c r="Q44" s="447"/>
      <c r="AQ44" s="279"/>
    </row>
    <row r="45" spans="1:45" s="120" customFormat="1" ht="32.25" customHeight="1">
      <c r="A45" s="841" t="s">
        <v>4</v>
      </c>
      <c r="B45" s="840" t="s">
        <v>5</v>
      </c>
      <c r="C45" s="840" t="s">
        <v>134</v>
      </c>
      <c r="D45" s="836" t="s">
        <v>7</v>
      </c>
      <c r="E45" s="836" t="s">
        <v>74</v>
      </c>
      <c r="F45" s="837" t="s">
        <v>75</v>
      </c>
      <c r="G45" s="836" t="s">
        <v>152</v>
      </c>
      <c r="H45" s="836" t="s">
        <v>200</v>
      </c>
      <c r="I45" s="838" t="s">
        <v>201</v>
      </c>
      <c r="J45" s="829"/>
      <c r="K45" s="829"/>
      <c r="L45" s="830"/>
      <c r="M45" s="440"/>
      <c r="N45" s="447"/>
      <c r="O45" s="447"/>
      <c r="P45" s="447"/>
      <c r="Q45" s="447"/>
      <c r="AQ45" s="279"/>
    </row>
    <row r="46" spans="1:45" s="120" customFormat="1" ht="32.25" customHeight="1">
      <c r="A46" s="841"/>
      <c r="B46" s="840"/>
      <c r="C46" s="840"/>
      <c r="D46" s="836"/>
      <c r="E46" s="836"/>
      <c r="F46" s="837"/>
      <c r="G46" s="836"/>
      <c r="H46" s="836"/>
      <c r="I46" s="519" t="s">
        <v>80</v>
      </c>
      <c r="J46" s="682" t="s">
        <v>81</v>
      </c>
      <c r="K46" s="682" t="s">
        <v>82</v>
      </c>
      <c r="L46" s="461" t="s">
        <v>83</v>
      </c>
      <c r="M46" s="440"/>
      <c r="N46" s="447"/>
      <c r="O46" s="447"/>
      <c r="P46" s="447"/>
      <c r="Q46" s="447"/>
      <c r="AQ46" s="279"/>
    </row>
    <row r="47" spans="1:45" s="120" customFormat="1" ht="25.5" customHeight="1">
      <c r="A47" s="593">
        <v>1</v>
      </c>
      <c r="B47" s="594" t="s">
        <v>27</v>
      </c>
      <c r="C47" s="595" t="s">
        <v>155</v>
      </c>
      <c r="D47" s="512"/>
      <c r="E47" s="512"/>
      <c r="F47" s="513"/>
      <c r="G47" s="553">
        <v>2000000</v>
      </c>
      <c r="H47" s="553">
        <v>2091600</v>
      </c>
      <c r="I47" s="514">
        <v>0.1222</v>
      </c>
      <c r="J47" s="580">
        <f>+H47*I47</f>
        <v>255593.52000000002</v>
      </c>
      <c r="K47" s="632">
        <f>+H47+J47</f>
        <v>2347193.52</v>
      </c>
      <c r="L47" s="867">
        <f>+K47-44</f>
        <v>2347149.52</v>
      </c>
      <c r="M47" s="440"/>
      <c r="N47" s="447"/>
      <c r="O47" s="447"/>
      <c r="P47" s="447"/>
      <c r="Q47" s="447"/>
      <c r="AQ47" s="279"/>
    </row>
    <row r="48" spans="1:45" s="120" customFormat="1" ht="25.5" customHeight="1" thickBot="1">
      <c r="A48" s="585">
        <v>2</v>
      </c>
      <c r="B48" s="586" t="s">
        <v>135</v>
      </c>
      <c r="C48" s="587" t="s">
        <v>159</v>
      </c>
      <c r="D48" s="588">
        <v>0</v>
      </c>
      <c r="E48" s="588">
        <v>0</v>
      </c>
      <c r="F48" s="589">
        <v>0</v>
      </c>
      <c r="G48" s="590">
        <v>5000000</v>
      </c>
      <c r="H48" s="590">
        <v>5229000</v>
      </c>
      <c r="I48" s="591">
        <v>0.1222</v>
      </c>
      <c r="J48" s="592">
        <f t="shared" ref="J48" si="10">+H48*I48</f>
        <v>638983.80000000005</v>
      </c>
      <c r="K48" s="684">
        <f>+H48+J48</f>
        <v>5867983.7999999998</v>
      </c>
      <c r="L48" s="609">
        <f>+K48-34</f>
        <v>5867949.7999999998</v>
      </c>
      <c r="M48" s="440"/>
      <c r="N48" s="447"/>
      <c r="O48" s="447"/>
      <c r="P48" s="447"/>
      <c r="Q48" s="447"/>
      <c r="AQ48" s="279"/>
    </row>
    <row r="49" spans="1:46" s="120" customFormat="1" ht="10.5" customHeight="1" thickTop="1" thickBot="1">
      <c r="A49" s="96"/>
      <c r="B49" s="96"/>
      <c r="C49" s="98"/>
      <c r="D49" s="116"/>
      <c r="E49" s="116"/>
      <c r="F49" s="116"/>
      <c r="G49" s="116"/>
      <c r="H49" s="116"/>
      <c r="I49" s="117"/>
      <c r="J49" s="118"/>
      <c r="K49" s="116"/>
      <c r="L49" s="119"/>
      <c r="M49" s="440"/>
      <c r="N49" s="447"/>
      <c r="O49" s="447"/>
      <c r="P49" s="447"/>
      <c r="Q49" s="447"/>
      <c r="AQ49" s="279"/>
    </row>
    <row r="50" spans="1:46" ht="32.25" customHeight="1" thickTop="1">
      <c r="B50" s="820" t="s">
        <v>29</v>
      </c>
      <c r="C50" s="821"/>
      <c r="D50" s="821"/>
      <c r="E50" s="821"/>
      <c r="F50" s="821"/>
      <c r="G50" s="821"/>
      <c r="H50" s="821"/>
      <c r="I50" s="821"/>
      <c r="J50" s="821"/>
      <c r="K50" s="821"/>
      <c r="L50" s="822"/>
      <c r="M50" s="440"/>
      <c r="AQ50" s="279"/>
    </row>
    <row r="51" spans="1:46" ht="39.75" customHeight="1">
      <c r="A51" s="121"/>
      <c r="B51" s="489" t="s">
        <v>4</v>
      </c>
      <c r="C51" s="490" t="s">
        <v>29</v>
      </c>
      <c r="D51" s="682" t="s">
        <v>84</v>
      </c>
      <c r="E51" s="682" t="s">
        <v>85</v>
      </c>
      <c r="F51" s="683" t="s">
        <v>86</v>
      </c>
      <c r="G51" s="682" t="s">
        <v>153</v>
      </c>
      <c r="H51" s="682" t="s">
        <v>202</v>
      </c>
      <c r="I51" s="519" t="s">
        <v>80</v>
      </c>
      <c r="J51" s="682" t="s">
        <v>81</v>
      </c>
      <c r="K51" s="682" t="s">
        <v>82</v>
      </c>
      <c r="L51" s="610" t="s">
        <v>83</v>
      </c>
      <c r="M51" s="440"/>
      <c r="AQ51" s="279"/>
    </row>
    <row r="52" spans="1:46" ht="20.25" customHeight="1">
      <c r="A52" s="121"/>
      <c r="B52" s="491">
        <v>1</v>
      </c>
      <c r="C52" s="492" t="s">
        <v>160</v>
      </c>
      <c r="D52" s="493">
        <v>59400</v>
      </c>
      <c r="E52" s="494">
        <v>62600</v>
      </c>
      <c r="F52" s="495">
        <v>66600</v>
      </c>
      <c r="G52" s="549">
        <v>75649.570699595002</v>
      </c>
      <c r="H52" s="549">
        <v>79100.321037636459</v>
      </c>
      <c r="I52" s="579">
        <v>0.1222</v>
      </c>
      <c r="J52" s="496">
        <f>+H52*I52</f>
        <v>9666.0592307991756</v>
      </c>
      <c r="K52" s="634">
        <f t="shared" ref="K52:K85" si="11">+H52+J52</f>
        <v>88766.380268435634</v>
      </c>
      <c r="L52" s="611">
        <f>+K52-16</f>
        <v>88750.380268435634</v>
      </c>
      <c r="M52" s="440"/>
      <c r="AQ52" s="279"/>
    </row>
    <row r="53" spans="1:46" ht="20.25" customHeight="1">
      <c r="A53" s="121"/>
      <c r="B53" s="427">
        <v>2</v>
      </c>
      <c r="C53" s="431" t="s">
        <v>161</v>
      </c>
      <c r="D53" s="428">
        <v>37800</v>
      </c>
      <c r="E53" s="429">
        <v>39900</v>
      </c>
      <c r="F53" s="430">
        <v>42450</v>
      </c>
      <c r="G53" s="550">
        <v>48200.443626430002</v>
      </c>
      <c r="H53" s="550">
        <v>50400.023944520493</v>
      </c>
      <c r="I53" s="578">
        <v>0.1222</v>
      </c>
      <c r="J53" s="497">
        <f t="shared" ref="J53:J88" si="12">+H53*I53</f>
        <v>6158.8829260204047</v>
      </c>
      <c r="K53" s="635">
        <f t="shared" si="11"/>
        <v>56558.906870540901</v>
      </c>
      <c r="L53" s="612">
        <f>+K53-9</f>
        <v>56549.906870540901</v>
      </c>
      <c r="M53" s="440"/>
      <c r="AQ53" s="279"/>
    </row>
    <row r="54" spans="1:46" ht="20.25" customHeight="1">
      <c r="A54" s="121"/>
      <c r="B54" s="419">
        <v>3</v>
      </c>
      <c r="C54" s="432" t="s">
        <v>162</v>
      </c>
      <c r="D54" s="420"/>
      <c r="E54" s="421"/>
      <c r="F54" s="422"/>
      <c r="G54" s="551">
        <v>61650.443626430002</v>
      </c>
      <c r="H54" s="551">
        <v>64450.033944520495</v>
      </c>
      <c r="I54" s="547">
        <v>0.1222</v>
      </c>
      <c r="J54" s="497">
        <f t="shared" si="12"/>
        <v>7875.7941480204045</v>
      </c>
      <c r="K54" s="635">
        <f t="shared" si="11"/>
        <v>72325.828092540905</v>
      </c>
      <c r="L54" s="613">
        <f>+K54-26</f>
        <v>72299.828092540905</v>
      </c>
      <c r="M54" s="446" t="s">
        <v>150</v>
      </c>
      <c r="AQ54" s="279"/>
    </row>
    <row r="55" spans="1:46" ht="20.25" customHeight="1">
      <c r="A55" s="121"/>
      <c r="B55" s="419">
        <v>4</v>
      </c>
      <c r="C55" s="432" t="s">
        <v>163</v>
      </c>
      <c r="D55" s="420">
        <v>37800</v>
      </c>
      <c r="E55" s="421">
        <v>39900</v>
      </c>
      <c r="F55" s="422">
        <v>66222</v>
      </c>
      <c r="G55" s="551">
        <v>75100.145331934997</v>
      </c>
      <c r="H55" s="551">
        <v>78499.731988137617</v>
      </c>
      <c r="I55" s="547">
        <v>0.1222</v>
      </c>
      <c r="J55" s="497">
        <f t="shared" si="12"/>
        <v>9592.6672489504163</v>
      </c>
      <c r="K55" s="635">
        <f t="shared" si="11"/>
        <v>88092.39923708803</v>
      </c>
      <c r="L55" s="613">
        <f>+K55-42</f>
        <v>88050.39923708803</v>
      </c>
      <c r="M55" s="440"/>
      <c r="AQ55" s="279"/>
    </row>
    <row r="56" spans="1:46" ht="20.25" customHeight="1">
      <c r="A56" s="121"/>
      <c r="B56" s="642">
        <v>5</v>
      </c>
      <c r="C56" s="643" t="s">
        <v>186</v>
      </c>
      <c r="D56" s="644"/>
      <c r="E56" s="645"/>
      <c r="F56" s="646"/>
      <c r="G56" s="647">
        <v>0</v>
      </c>
      <c r="H56" s="647">
        <v>115000</v>
      </c>
      <c r="I56" s="648">
        <v>0.1222</v>
      </c>
      <c r="J56" s="649">
        <f t="shared" si="12"/>
        <v>14053</v>
      </c>
      <c r="K56" s="650">
        <f t="shared" si="11"/>
        <v>129053</v>
      </c>
      <c r="L56" s="613">
        <f>+K56-3</f>
        <v>129050</v>
      </c>
      <c r="M56" s="440"/>
      <c r="AQ56" s="279"/>
    </row>
    <row r="57" spans="1:46" ht="20.25" customHeight="1">
      <c r="A57" s="121"/>
      <c r="B57" s="509">
        <v>6</v>
      </c>
      <c r="C57" s="510" t="s">
        <v>164</v>
      </c>
      <c r="D57" s="511">
        <v>315600</v>
      </c>
      <c r="E57" s="512">
        <v>332900</v>
      </c>
      <c r="F57" s="513">
        <v>354450</v>
      </c>
      <c r="G57" s="553">
        <v>402650.18904601998</v>
      </c>
      <c r="H57" s="553">
        <v>421049.5677043277</v>
      </c>
      <c r="I57" s="514">
        <v>0.1222</v>
      </c>
      <c r="J57" s="580">
        <f t="shared" si="12"/>
        <v>51452.257173468846</v>
      </c>
      <c r="K57" s="632">
        <f t="shared" si="11"/>
        <v>472501.82487779652</v>
      </c>
      <c r="L57" s="615">
        <f>+K57-2</f>
        <v>472499.82487779652</v>
      </c>
      <c r="M57" s="440"/>
      <c r="AQ57" s="279"/>
    </row>
    <row r="58" spans="1:46" ht="20.25" customHeight="1">
      <c r="A58" s="121"/>
      <c r="B58" s="498">
        <v>7</v>
      </c>
      <c r="C58" s="499" t="s">
        <v>165</v>
      </c>
      <c r="D58" s="500"/>
      <c r="E58" s="501">
        <v>480000</v>
      </c>
      <c r="F58" s="502">
        <v>511100</v>
      </c>
      <c r="G58" s="554">
        <v>580649.88134346996</v>
      </c>
      <c r="H58" s="554">
        <v>607199.64590900089</v>
      </c>
      <c r="I58" s="450">
        <v>0.1222</v>
      </c>
      <c r="J58" s="581">
        <f t="shared" si="12"/>
        <v>74199.796730079906</v>
      </c>
      <c r="K58" s="637">
        <f t="shared" si="11"/>
        <v>681399.44263908081</v>
      </c>
      <c r="L58" s="616">
        <f>+K58-49</f>
        <v>681350.44263908081</v>
      </c>
      <c r="M58" s="440"/>
      <c r="AQ58" s="279"/>
    </row>
    <row r="59" spans="1:46" ht="20.25" customHeight="1">
      <c r="A59" s="121"/>
      <c r="B59" s="503">
        <v>8</v>
      </c>
      <c r="C59" s="504" t="s">
        <v>166</v>
      </c>
      <c r="D59" s="505">
        <v>7800</v>
      </c>
      <c r="E59" s="506">
        <v>8200</v>
      </c>
      <c r="F59" s="507">
        <v>8700</v>
      </c>
      <c r="G59" s="555">
        <v>9849.6584249999996</v>
      </c>
      <c r="H59" s="555">
        <v>10299.772780865</v>
      </c>
      <c r="I59" s="515">
        <v>0.1222</v>
      </c>
      <c r="J59" s="582">
        <f t="shared" si="12"/>
        <v>1258.632233821703</v>
      </c>
      <c r="K59" s="638">
        <f t="shared" si="11"/>
        <v>11558.405014686703</v>
      </c>
      <c r="L59" s="617">
        <f>+K59-8</f>
        <v>11550.405014686703</v>
      </c>
      <c r="M59" s="440"/>
      <c r="AQ59" s="279"/>
    </row>
    <row r="60" spans="1:46" ht="20.25" customHeight="1">
      <c r="A60" s="121"/>
      <c r="B60" s="427">
        <v>9</v>
      </c>
      <c r="C60" s="431" t="s">
        <v>167</v>
      </c>
      <c r="D60" s="428">
        <v>115700</v>
      </c>
      <c r="E60" s="429">
        <v>122000</v>
      </c>
      <c r="F60" s="430">
        <v>129900</v>
      </c>
      <c r="G60" s="550">
        <v>147549.80235000001</v>
      </c>
      <c r="H60" s="550">
        <v>154299.58329763002</v>
      </c>
      <c r="I60" s="547">
        <v>0.1222</v>
      </c>
      <c r="J60" s="497">
        <f t="shared" si="12"/>
        <v>18855.409078970388</v>
      </c>
      <c r="K60" s="635">
        <f t="shared" si="11"/>
        <v>173154.99237660039</v>
      </c>
      <c r="L60" s="612">
        <f>+K60-5</f>
        <v>173149.99237660039</v>
      </c>
      <c r="M60" s="440"/>
      <c r="AQ60" s="279"/>
    </row>
    <row r="61" spans="1:46" ht="20.25" customHeight="1">
      <c r="A61" s="121"/>
      <c r="B61" s="419">
        <v>10</v>
      </c>
      <c r="C61" s="432" t="s">
        <v>168</v>
      </c>
      <c r="D61" s="420"/>
      <c r="E61" s="421"/>
      <c r="F61" s="422"/>
      <c r="G61" s="551">
        <v>205150</v>
      </c>
      <c r="H61" s="551">
        <v>214499.87</v>
      </c>
      <c r="I61" s="547">
        <v>0.1222</v>
      </c>
      <c r="J61" s="497">
        <f t="shared" si="12"/>
        <v>26211.884114</v>
      </c>
      <c r="K61" s="635">
        <f t="shared" si="11"/>
        <v>240711.75411400001</v>
      </c>
      <c r="L61" s="613">
        <f>+K61-12</f>
        <v>240699.75411400001</v>
      </c>
      <c r="M61" s="446" t="s">
        <v>150</v>
      </c>
      <c r="N61" s="448"/>
      <c r="AQ61" s="279"/>
    </row>
    <row r="62" spans="1:46" ht="20.25" customHeight="1">
      <c r="A62" s="121"/>
      <c r="B62" s="419">
        <v>11</v>
      </c>
      <c r="C62" s="432" t="s">
        <v>169</v>
      </c>
      <c r="D62" s="420">
        <v>206000</v>
      </c>
      <c r="E62" s="421">
        <v>217300</v>
      </c>
      <c r="F62" s="422">
        <v>231350</v>
      </c>
      <c r="G62" s="551">
        <v>262800.39445040497</v>
      </c>
      <c r="H62" s="551">
        <v>274799.6525162335</v>
      </c>
      <c r="I62" s="547">
        <v>0.1222</v>
      </c>
      <c r="J62" s="497">
        <f t="shared" si="12"/>
        <v>33580.517537483734</v>
      </c>
      <c r="K62" s="635">
        <f t="shared" si="11"/>
        <v>308380.17005371721</v>
      </c>
      <c r="L62" s="613">
        <f>+K62-30</f>
        <v>308350.17005371721</v>
      </c>
      <c r="M62" s="440"/>
      <c r="N62" s="448"/>
      <c r="AQ62" s="279"/>
    </row>
    <row r="63" spans="1:46" ht="20.25" customHeight="1">
      <c r="A63" s="121"/>
      <c r="B63" s="642">
        <v>12</v>
      </c>
      <c r="C63" s="432" t="s">
        <v>187</v>
      </c>
      <c r="D63" s="644"/>
      <c r="E63" s="645"/>
      <c r="F63" s="646"/>
      <c r="G63" s="647">
        <v>0</v>
      </c>
      <c r="H63" s="647">
        <v>404000</v>
      </c>
      <c r="I63" s="648">
        <v>0.1222</v>
      </c>
      <c r="J63" s="649">
        <f t="shared" si="12"/>
        <v>49368.800000000003</v>
      </c>
      <c r="K63" s="650">
        <f t="shared" si="11"/>
        <v>453368.8</v>
      </c>
      <c r="L63" s="613">
        <f>+K63-19</f>
        <v>453349.8</v>
      </c>
      <c r="M63" s="440"/>
      <c r="N63" s="448"/>
      <c r="AQ63" s="279"/>
    </row>
    <row r="64" spans="1:46" s="439" customFormat="1" ht="20.25" customHeight="1">
      <c r="A64" s="121"/>
      <c r="B64" s="509">
        <v>13</v>
      </c>
      <c r="C64" s="510" t="s">
        <v>170</v>
      </c>
      <c r="D64" s="511">
        <v>5200</v>
      </c>
      <c r="E64" s="512">
        <v>5500</v>
      </c>
      <c r="F64" s="513">
        <v>5850</v>
      </c>
      <c r="G64" s="553">
        <v>6599.75</v>
      </c>
      <c r="H64" s="553">
        <v>6900.0185499999998</v>
      </c>
      <c r="I64" s="514">
        <v>0.1222</v>
      </c>
      <c r="J64" s="580">
        <f t="shared" si="12"/>
        <v>843.18226680999999</v>
      </c>
      <c r="K64" s="632">
        <f t="shared" si="11"/>
        <v>7743.2008168100001</v>
      </c>
      <c r="L64" s="615">
        <f>+K64-43</f>
        <v>7700.2008168100001</v>
      </c>
      <c r="M64" s="440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279"/>
      <c r="AR64" s="84"/>
      <c r="AS64" s="84"/>
      <c r="AT64" s="84"/>
    </row>
    <row r="65" spans="1:46" s="439" customFormat="1" ht="20.25" customHeight="1">
      <c r="A65" s="121"/>
      <c r="B65" s="498">
        <v>14</v>
      </c>
      <c r="C65" s="499" t="s">
        <v>171</v>
      </c>
      <c r="D65" s="500">
        <v>59500</v>
      </c>
      <c r="E65" s="501">
        <v>62800</v>
      </c>
      <c r="F65" s="502">
        <v>66850</v>
      </c>
      <c r="G65" s="554">
        <v>75949.720950000003</v>
      </c>
      <c r="H65" s="554">
        <v>79400.218169510001</v>
      </c>
      <c r="I65" s="450">
        <v>0.1222</v>
      </c>
      <c r="J65" s="581">
        <f t="shared" si="12"/>
        <v>9702.7066603141229</v>
      </c>
      <c r="K65" s="637">
        <f t="shared" si="11"/>
        <v>89102.924829824129</v>
      </c>
      <c r="L65" s="616">
        <f>+K65-3</f>
        <v>89099.924829824129</v>
      </c>
      <c r="M65" s="440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279"/>
      <c r="AR65" s="84"/>
      <c r="AS65" s="84"/>
      <c r="AT65" s="84"/>
    </row>
    <row r="66" spans="1:46" s="439" customFormat="1" ht="20.25" customHeight="1">
      <c r="A66" s="121"/>
      <c r="B66" s="498">
        <v>15</v>
      </c>
      <c r="C66" s="499" t="s">
        <v>172</v>
      </c>
      <c r="D66" s="500">
        <v>17900</v>
      </c>
      <c r="E66" s="501">
        <v>18900</v>
      </c>
      <c r="F66" s="502">
        <v>20100</v>
      </c>
      <c r="G66" s="554">
        <v>22699.920321735</v>
      </c>
      <c r="H66" s="554">
        <v>23699.576672470463</v>
      </c>
      <c r="I66" s="450">
        <v>0.1222</v>
      </c>
      <c r="J66" s="581">
        <f t="shared" si="12"/>
        <v>2896.0882693758908</v>
      </c>
      <c r="K66" s="637">
        <f t="shared" si="11"/>
        <v>26595.664941846353</v>
      </c>
      <c r="L66" s="616">
        <f>+K66-46</f>
        <v>26549.664941846353</v>
      </c>
      <c r="M66" s="440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279"/>
      <c r="AR66" s="84"/>
      <c r="AS66" s="84"/>
      <c r="AT66" s="84"/>
    </row>
    <row r="67" spans="1:46" s="439" customFormat="1" ht="20.25" customHeight="1">
      <c r="A67" s="121"/>
      <c r="B67" s="503">
        <v>16</v>
      </c>
      <c r="C67" s="516" t="s">
        <v>98</v>
      </c>
      <c r="D67" s="505">
        <v>11600</v>
      </c>
      <c r="E67" s="506">
        <v>12200</v>
      </c>
      <c r="F67" s="507">
        <v>12950</v>
      </c>
      <c r="G67" s="555">
        <v>14700.353224999999</v>
      </c>
      <c r="H67" s="555">
        <v>15349.629402704999</v>
      </c>
      <c r="I67" s="515">
        <v>0.1222</v>
      </c>
      <c r="J67" s="582">
        <f t="shared" si="12"/>
        <v>1875.7247130105509</v>
      </c>
      <c r="K67" s="638">
        <f t="shared" si="11"/>
        <v>17225.354115715549</v>
      </c>
      <c r="L67" s="617">
        <f>+K67-25</f>
        <v>17200.354115715549</v>
      </c>
      <c r="M67" s="440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279"/>
      <c r="AR67" s="84"/>
      <c r="AS67" s="84"/>
      <c r="AT67" s="84"/>
    </row>
    <row r="68" spans="1:46" s="439" customFormat="1" ht="20.25" customHeight="1">
      <c r="A68" s="121"/>
      <c r="B68" s="663">
        <v>17</v>
      </c>
      <c r="C68" s="664" t="s">
        <v>173</v>
      </c>
      <c r="D68" s="665">
        <v>0</v>
      </c>
      <c r="E68" s="666">
        <v>196200</v>
      </c>
      <c r="F68" s="667">
        <v>208900</v>
      </c>
      <c r="G68" s="668">
        <v>237299.87114571003</v>
      </c>
      <c r="H68" s="668">
        <v>248150.20524418354</v>
      </c>
      <c r="I68" s="669">
        <v>0.1222</v>
      </c>
      <c r="J68" s="670">
        <f t="shared" si="12"/>
        <v>30323.955080839231</v>
      </c>
      <c r="K68" s="671">
        <f t="shared" si="11"/>
        <v>278474.16032502276</v>
      </c>
      <c r="L68" s="672">
        <f>+K68-24</f>
        <v>278450.16032502276</v>
      </c>
      <c r="M68" s="440"/>
      <c r="N68" s="448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279"/>
      <c r="AR68" s="84"/>
      <c r="AS68" s="84"/>
      <c r="AT68" s="84"/>
    </row>
    <row r="69" spans="1:46" s="439" customFormat="1" ht="20.25" customHeight="1">
      <c r="A69" s="121"/>
      <c r="B69" s="419">
        <v>18</v>
      </c>
      <c r="C69" s="432" t="s">
        <v>174</v>
      </c>
      <c r="D69" s="420"/>
      <c r="E69" s="421"/>
      <c r="F69" s="422"/>
      <c r="G69" s="551">
        <v>303749.87114571</v>
      </c>
      <c r="H69" s="551">
        <v>317649.61524418351</v>
      </c>
      <c r="I69" s="547">
        <v>0.1222</v>
      </c>
      <c r="J69" s="497">
        <f t="shared" si="12"/>
        <v>38816.782982839228</v>
      </c>
      <c r="K69" s="635">
        <f t="shared" si="11"/>
        <v>356466.39822702273</v>
      </c>
      <c r="L69" s="613">
        <f>+K69-16</f>
        <v>356450.39822702273</v>
      </c>
      <c r="M69" s="446" t="s">
        <v>150</v>
      </c>
      <c r="N69" s="448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279"/>
      <c r="AR69" s="84"/>
      <c r="AS69" s="84"/>
      <c r="AT69" s="84"/>
    </row>
    <row r="70" spans="1:46" s="439" customFormat="1" ht="20.25" customHeight="1">
      <c r="A70" s="121"/>
      <c r="B70" s="419">
        <v>19</v>
      </c>
      <c r="C70" s="432" t="s">
        <v>175</v>
      </c>
      <c r="D70" s="420">
        <v>0</v>
      </c>
      <c r="E70" s="421">
        <v>0</v>
      </c>
      <c r="F70" s="422">
        <v>325884</v>
      </c>
      <c r="G70" s="551">
        <v>370199.908128265</v>
      </c>
      <c r="H70" s="551">
        <v>387150.06392053951</v>
      </c>
      <c r="I70" s="547">
        <v>0.1222</v>
      </c>
      <c r="J70" s="497">
        <f t="shared" si="12"/>
        <v>47309.73781108993</v>
      </c>
      <c r="K70" s="635">
        <f t="shared" si="11"/>
        <v>434459.80173162941</v>
      </c>
      <c r="L70" s="613">
        <f>+K70-10</f>
        <v>434449.80173162941</v>
      </c>
      <c r="M70" s="440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279"/>
      <c r="AR70" s="84"/>
      <c r="AS70" s="84"/>
      <c r="AT70" s="84"/>
    </row>
    <row r="71" spans="1:46" s="439" customFormat="1" ht="20.25" customHeight="1">
      <c r="A71" s="121"/>
      <c r="B71" s="423">
        <v>20</v>
      </c>
      <c r="C71" s="433" t="s">
        <v>188</v>
      </c>
      <c r="D71" s="424">
        <v>0</v>
      </c>
      <c r="E71" s="425">
        <v>0</v>
      </c>
      <c r="F71" s="426">
        <v>325884</v>
      </c>
      <c r="G71" s="552">
        <v>0</v>
      </c>
      <c r="H71" s="552">
        <v>569000</v>
      </c>
      <c r="I71" s="548">
        <v>0.1222</v>
      </c>
      <c r="J71" s="508">
        <f t="shared" si="12"/>
        <v>69531.8</v>
      </c>
      <c r="K71" s="636">
        <f t="shared" si="11"/>
        <v>638531.80000000005</v>
      </c>
      <c r="L71" s="614">
        <f>+K71-32</f>
        <v>638499.80000000005</v>
      </c>
      <c r="M71" s="440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279"/>
      <c r="AR71" s="84"/>
      <c r="AS71" s="84"/>
      <c r="AT71" s="84"/>
    </row>
    <row r="72" spans="1:46" s="439" customFormat="1" ht="20.25" customHeight="1">
      <c r="A72" s="121"/>
      <c r="B72" s="427">
        <v>21</v>
      </c>
      <c r="C72" s="431" t="s">
        <v>189</v>
      </c>
      <c r="D72" s="428">
        <v>36700</v>
      </c>
      <c r="E72" s="429">
        <v>38700</v>
      </c>
      <c r="F72" s="430">
        <v>41200</v>
      </c>
      <c r="G72" s="550">
        <v>46799.525236535002</v>
      </c>
      <c r="H72" s="550">
        <v>48899.943492368307</v>
      </c>
      <c r="I72" s="578">
        <v>0.1222</v>
      </c>
      <c r="J72" s="583">
        <f t="shared" si="12"/>
        <v>5975.5730947674074</v>
      </c>
      <c r="K72" s="639">
        <f t="shared" si="11"/>
        <v>54875.516587135717</v>
      </c>
      <c r="L72" s="612">
        <f>+K72-16</f>
        <v>54859.516587135717</v>
      </c>
      <c r="M72" s="440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279"/>
      <c r="AR72" s="84"/>
      <c r="AS72" s="84"/>
      <c r="AT72" s="84"/>
    </row>
    <row r="73" spans="1:46" s="439" customFormat="1" ht="20.25" customHeight="1">
      <c r="A73" s="121"/>
      <c r="B73" s="419">
        <v>22</v>
      </c>
      <c r="C73" s="432" t="s">
        <v>190</v>
      </c>
      <c r="D73" s="420"/>
      <c r="E73" s="421"/>
      <c r="F73" s="422"/>
      <c r="G73" s="551">
        <v>59899.525236535002</v>
      </c>
      <c r="H73" s="551">
        <v>62599.923492368303</v>
      </c>
      <c r="I73" s="547">
        <v>0.1222</v>
      </c>
      <c r="J73" s="497">
        <f t="shared" si="12"/>
        <v>7649.7106507674071</v>
      </c>
      <c r="K73" s="635">
        <f t="shared" si="11"/>
        <v>70249.634143135714</v>
      </c>
      <c r="L73" s="613">
        <f>+K73</f>
        <v>70249.634143135714</v>
      </c>
      <c r="M73" s="446" t="s">
        <v>150</v>
      </c>
      <c r="N73" s="448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279"/>
      <c r="AR73" s="84"/>
      <c r="AS73" s="84"/>
      <c r="AT73" s="84"/>
    </row>
    <row r="74" spans="1:46" s="439" customFormat="1" ht="20.25" customHeight="1">
      <c r="A74" s="121"/>
      <c r="B74" s="419">
        <v>23</v>
      </c>
      <c r="C74" s="432" t="s">
        <v>191</v>
      </c>
      <c r="D74" s="420">
        <v>0</v>
      </c>
      <c r="E74" s="421">
        <v>0</v>
      </c>
      <c r="F74" s="422">
        <v>64272</v>
      </c>
      <c r="G74" s="551">
        <v>72999.889549999993</v>
      </c>
      <c r="H74" s="551">
        <v>76300.28449138999</v>
      </c>
      <c r="I74" s="547">
        <v>0.1222</v>
      </c>
      <c r="J74" s="497">
        <f t="shared" si="12"/>
        <v>9323.894764847857</v>
      </c>
      <c r="K74" s="635">
        <f t="shared" si="11"/>
        <v>85624.17925623784</v>
      </c>
      <c r="L74" s="613">
        <f>+K74-24</f>
        <v>85600.17925623784</v>
      </c>
      <c r="M74" s="440"/>
      <c r="N74" s="448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279"/>
      <c r="AR74" s="84"/>
      <c r="AS74" s="84"/>
      <c r="AT74" s="84"/>
    </row>
    <row r="75" spans="1:46" s="439" customFormat="1" ht="20.25" customHeight="1">
      <c r="A75" s="121"/>
      <c r="B75" s="653">
        <v>24</v>
      </c>
      <c r="C75" s="654" t="s">
        <v>192</v>
      </c>
      <c r="D75" s="655"/>
      <c r="E75" s="656"/>
      <c r="F75" s="657"/>
      <c r="G75" s="658">
        <v>0</v>
      </c>
      <c r="H75" s="658">
        <v>112000</v>
      </c>
      <c r="I75" s="659">
        <v>0.1222</v>
      </c>
      <c r="J75" s="660">
        <f t="shared" si="12"/>
        <v>13686.4</v>
      </c>
      <c r="K75" s="661">
        <f t="shared" si="11"/>
        <v>125686.39999999999</v>
      </c>
      <c r="L75" s="662">
        <f>+K75-36</f>
        <v>125650.4</v>
      </c>
      <c r="M75" s="440"/>
      <c r="N75" s="448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279"/>
      <c r="AR75" s="84"/>
      <c r="AS75" s="84"/>
      <c r="AT75" s="84"/>
    </row>
    <row r="76" spans="1:46" s="439" customFormat="1" ht="20.25" customHeight="1">
      <c r="A76" s="121"/>
      <c r="B76" s="491">
        <v>25</v>
      </c>
      <c r="C76" s="517" t="s">
        <v>176</v>
      </c>
      <c r="D76" s="493">
        <v>225000</v>
      </c>
      <c r="E76" s="494">
        <v>237300</v>
      </c>
      <c r="F76" s="495">
        <v>252650</v>
      </c>
      <c r="G76" s="549">
        <v>286999.99766153499</v>
      </c>
      <c r="H76" s="549">
        <v>300099.59755443328</v>
      </c>
      <c r="I76" s="584">
        <v>0.1222</v>
      </c>
      <c r="J76" s="496">
        <f t="shared" si="12"/>
        <v>36672.170821151747</v>
      </c>
      <c r="K76" s="634">
        <f t="shared" si="11"/>
        <v>336771.76837558503</v>
      </c>
      <c r="L76" s="618">
        <f>+K76-22</f>
        <v>336749.76837558503</v>
      </c>
      <c r="M76" s="440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279"/>
      <c r="AR76" s="84"/>
      <c r="AS76" s="84"/>
      <c r="AT76" s="84"/>
    </row>
    <row r="77" spans="1:46" s="439" customFormat="1" ht="20.25" customHeight="1">
      <c r="A77" s="121"/>
      <c r="B77" s="427">
        <v>26</v>
      </c>
      <c r="C77" s="431" t="s">
        <v>177</v>
      </c>
      <c r="D77" s="428">
        <v>0</v>
      </c>
      <c r="E77" s="429">
        <v>0</v>
      </c>
      <c r="F77" s="430">
        <v>605000</v>
      </c>
      <c r="G77" s="550">
        <v>687349.85384642496</v>
      </c>
      <c r="H77" s="550">
        <v>718800.47715259122</v>
      </c>
      <c r="I77" s="578">
        <v>0.1222</v>
      </c>
      <c r="J77" s="583">
        <f t="shared" si="12"/>
        <v>87837.418308046646</v>
      </c>
      <c r="K77" s="639">
        <f t="shared" si="11"/>
        <v>806637.89546063787</v>
      </c>
      <c r="L77" s="612">
        <f>+K77-38</f>
        <v>806599.89546063787</v>
      </c>
      <c r="M77" s="440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279"/>
      <c r="AR77" s="84"/>
      <c r="AS77" s="84"/>
      <c r="AT77" s="84"/>
    </row>
    <row r="78" spans="1:46" s="439" customFormat="1" ht="20.25" customHeight="1">
      <c r="A78" s="121"/>
      <c r="B78" s="419">
        <v>27</v>
      </c>
      <c r="C78" s="432" t="s">
        <v>178</v>
      </c>
      <c r="D78" s="420"/>
      <c r="E78" s="421"/>
      <c r="F78" s="422"/>
      <c r="G78" s="551">
        <v>957149.85384642496</v>
      </c>
      <c r="H78" s="551">
        <v>1000950.3171525912</v>
      </c>
      <c r="I78" s="547">
        <v>0.1222</v>
      </c>
      <c r="J78" s="497">
        <f t="shared" si="12"/>
        <v>122316.12875604664</v>
      </c>
      <c r="K78" s="635">
        <f t="shared" si="11"/>
        <v>1123266.4459086377</v>
      </c>
      <c r="L78" s="613">
        <f>+K78-16</f>
        <v>1123250.4459086377</v>
      </c>
      <c r="M78" s="446" t="s">
        <v>150</v>
      </c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279"/>
      <c r="AR78" s="84"/>
      <c r="AS78" s="84"/>
      <c r="AT78" s="84"/>
    </row>
    <row r="79" spans="1:46" s="439" customFormat="1" ht="20.25" customHeight="1">
      <c r="A79" s="121"/>
      <c r="B79" s="423">
        <v>28</v>
      </c>
      <c r="C79" s="433" t="s">
        <v>179</v>
      </c>
      <c r="D79" s="424">
        <v>0</v>
      </c>
      <c r="E79" s="425">
        <v>0</v>
      </c>
      <c r="F79" s="426">
        <v>1080000</v>
      </c>
      <c r="G79" s="552">
        <v>1226999.71805</v>
      </c>
      <c r="H79" s="552">
        <v>1283150.3051366899</v>
      </c>
      <c r="I79" s="548">
        <v>0.1222</v>
      </c>
      <c r="J79" s="508">
        <f t="shared" si="12"/>
        <v>156800.9672877035</v>
      </c>
      <c r="K79" s="636">
        <f t="shared" si="11"/>
        <v>1439951.2724243933</v>
      </c>
      <c r="L79" s="614">
        <f>+K79-1</f>
        <v>1439950.2724243933</v>
      </c>
      <c r="M79" s="440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279"/>
      <c r="AR79" s="84"/>
      <c r="AS79" s="84"/>
      <c r="AT79" s="84"/>
    </row>
    <row r="80" spans="1:46" s="439" customFormat="1" ht="20.25" customHeight="1">
      <c r="A80" s="121"/>
      <c r="B80" s="427">
        <v>29</v>
      </c>
      <c r="C80" s="431" t="s">
        <v>180</v>
      </c>
      <c r="D80" s="428">
        <v>0</v>
      </c>
      <c r="E80" s="429">
        <v>0</v>
      </c>
      <c r="F80" s="430">
        <v>405000</v>
      </c>
      <c r="G80" s="550">
        <v>460099.54612531001</v>
      </c>
      <c r="H80" s="550">
        <v>481150.10533784924</v>
      </c>
      <c r="I80" s="547">
        <v>0.1222</v>
      </c>
      <c r="J80" s="497">
        <f t="shared" si="12"/>
        <v>58796.542872285179</v>
      </c>
      <c r="K80" s="635">
        <f t="shared" si="11"/>
        <v>539946.64821013436</v>
      </c>
      <c r="L80" s="612">
        <f>+K80-47</f>
        <v>539899.64821013436</v>
      </c>
      <c r="M80" s="440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279"/>
      <c r="AR80" s="84"/>
      <c r="AS80" s="84"/>
      <c r="AT80" s="84"/>
    </row>
    <row r="81" spans="1:46" s="439" customFormat="1" ht="20.25" customHeight="1">
      <c r="A81" s="121"/>
      <c r="B81" s="419">
        <v>30</v>
      </c>
      <c r="C81" s="432" t="s">
        <v>181</v>
      </c>
      <c r="D81" s="420"/>
      <c r="E81" s="421"/>
      <c r="F81" s="422"/>
      <c r="G81" s="551">
        <v>639049.54612531001</v>
      </c>
      <c r="H81" s="551">
        <v>668300.01533784915</v>
      </c>
      <c r="I81" s="547">
        <v>0.1222</v>
      </c>
      <c r="J81" s="497">
        <f t="shared" si="12"/>
        <v>81666.261874285163</v>
      </c>
      <c r="K81" s="635">
        <f t="shared" si="11"/>
        <v>749966.27721213433</v>
      </c>
      <c r="L81" s="613">
        <f>+K81-16</f>
        <v>749950.27721213433</v>
      </c>
      <c r="M81" s="446" t="s">
        <v>150</v>
      </c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279"/>
      <c r="AR81" s="84"/>
      <c r="AS81" s="84"/>
      <c r="AT81" s="84"/>
    </row>
    <row r="82" spans="1:46" s="439" customFormat="1" ht="20.25" customHeight="1">
      <c r="A82" s="121"/>
      <c r="B82" s="419">
        <v>31</v>
      </c>
      <c r="C82" s="432" t="s">
        <v>182</v>
      </c>
      <c r="D82" s="420">
        <v>0</v>
      </c>
      <c r="E82" s="421">
        <v>0</v>
      </c>
      <c r="F82" s="422">
        <v>720000</v>
      </c>
      <c r="G82" s="551">
        <v>817999.75248917995</v>
      </c>
      <c r="H82" s="551">
        <v>855450.14115318435</v>
      </c>
      <c r="I82" s="547">
        <v>0.1222</v>
      </c>
      <c r="J82" s="497">
        <f t="shared" si="12"/>
        <v>104536.00724891914</v>
      </c>
      <c r="K82" s="635">
        <f t="shared" si="11"/>
        <v>959986.14840210346</v>
      </c>
      <c r="L82" s="613">
        <f>+K82-36</f>
        <v>959950.14840210346</v>
      </c>
      <c r="M82" s="440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279"/>
      <c r="AR82" s="84"/>
      <c r="AS82" s="84"/>
      <c r="AT82" s="84"/>
    </row>
    <row r="83" spans="1:46" s="439" customFormat="1" ht="20.25" customHeight="1">
      <c r="A83" s="121"/>
      <c r="B83" s="653">
        <v>32</v>
      </c>
      <c r="C83" s="654" t="s">
        <v>193</v>
      </c>
      <c r="D83" s="655">
        <v>0</v>
      </c>
      <c r="E83" s="656">
        <v>0</v>
      </c>
      <c r="F83" s="657">
        <v>720000</v>
      </c>
      <c r="G83" s="658">
        <v>0</v>
      </c>
      <c r="H83" s="658">
        <v>1257000</v>
      </c>
      <c r="I83" s="659">
        <v>0.1222</v>
      </c>
      <c r="J83" s="660">
        <f t="shared" si="12"/>
        <v>153605.4</v>
      </c>
      <c r="K83" s="661">
        <f t="shared" si="11"/>
        <v>1410605.4</v>
      </c>
      <c r="L83" s="662">
        <f>+K83-5</f>
        <v>1410600.4</v>
      </c>
      <c r="M83" s="440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279"/>
      <c r="AR83" s="84"/>
      <c r="AS83" s="84"/>
      <c r="AT83" s="84"/>
    </row>
    <row r="84" spans="1:46" s="439" customFormat="1" ht="20.25" customHeight="1">
      <c r="A84" s="121"/>
      <c r="B84" s="566">
        <v>33</v>
      </c>
      <c r="C84" s="567" t="s">
        <v>119</v>
      </c>
      <c r="D84" s="568"/>
      <c r="E84" s="569"/>
      <c r="F84" s="570"/>
      <c r="G84" s="571">
        <v>2550.11625</v>
      </c>
      <c r="H84" s="571">
        <v>2649.9115742499998</v>
      </c>
      <c r="I84" s="572">
        <v>0.1222</v>
      </c>
      <c r="J84" s="573">
        <f t="shared" si="12"/>
        <v>323.81919437335</v>
      </c>
      <c r="K84" s="640">
        <f t="shared" si="11"/>
        <v>2973.7307686233498</v>
      </c>
      <c r="L84" s="619">
        <f>+K84-24</f>
        <v>2949.7307686233498</v>
      </c>
      <c r="M84" s="440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279"/>
      <c r="AR84" s="84"/>
      <c r="AS84" s="84"/>
      <c r="AT84" s="84"/>
    </row>
    <row r="85" spans="1:46" s="439" customFormat="1" ht="20.25" customHeight="1">
      <c r="A85" s="121"/>
      <c r="B85" s="574">
        <v>34</v>
      </c>
      <c r="C85" s="575" t="s">
        <v>183</v>
      </c>
      <c r="D85" s="576"/>
      <c r="E85" s="277"/>
      <c r="F85" s="577"/>
      <c r="G85" s="556">
        <v>42200.25</v>
      </c>
      <c r="H85" s="556">
        <v>44100.02145</v>
      </c>
      <c r="I85" s="449">
        <v>0.1222</v>
      </c>
      <c r="J85" s="251">
        <f t="shared" si="12"/>
        <v>5389.0226211899999</v>
      </c>
      <c r="K85" s="641">
        <f t="shared" si="11"/>
        <v>49489.044071190001</v>
      </c>
      <c r="L85" s="620">
        <f>+K85-39</f>
        <v>49450.044071190001</v>
      </c>
      <c r="M85" s="440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279"/>
      <c r="AR85" s="84"/>
      <c r="AS85" s="84"/>
      <c r="AT85" s="84"/>
    </row>
    <row r="86" spans="1:46" s="439" customFormat="1" ht="20.25" customHeight="1">
      <c r="A86" s="121"/>
      <c r="B86" s="574">
        <v>35</v>
      </c>
      <c r="C86" s="575" t="s">
        <v>184</v>
      </c>
      <c r="D86" s="576"/>
      <c r="E86" s="277"/>
      <c r="F86" s="577"/>
      <c r="G86" s="556"/>
      <c r="H86" s="556"/>
      <c r="I86" s="449"/>
      <c r="J86" s="251">
        <f t="shared" si="12"/>
        <v>0</v>
      </c>
      <c r="K86" s="641"/>
      <c r="L86" s="620"/>
      <c r="M86" s="440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279"/>
      <c r="AR86" s="84"/>
      <c r="AS86" s="84"/>
      <c r="AT86" s="84"/>
    </row>
    <row r="87" spans="1:46" s="439" customFormat="1" ht="20.25" customHeight="1">
      <c r="A87" s="121"/>
      <c r="B87" s="574">
        <v>36</v>
      </c>
      <c r="C87" s="575" t="s">
        <v>198</v>
      </c>
      <c r="D87" s="576"/>
      <c r="E87" s="277"/>
      <c r="F87" s="577"/>
      <c r="G87" s="556"/>
      <c r="H87" s="556">
        <v>120000</v>
      </c>
      <c r="I87" s="449">
        <v>0.1222</v>
      </c>
      <c r="J87" s="251">
        <f t="shared" si="12"/>
        <v>14664</v>
      </c>
      <c r="K87" s="641">
        <f>+H87+J87</f>
        <v>134664</v>
      </c>
      <c r="L87" s="620">
        <f>+K87-14</f>
        <v>134650</v>
      </c>
      <c r="M87" s="440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279"/>
      <c r="AR87" s="84"/>
      <c r="AS87" s="84"/>
      <c r="AT87" s="84"/>
    </row>
    <row r="88" spans="1:46" s="439" customFormat="1" ht="31.5" customHeight="1" thickBot="1">
      <c r="A88" s="121"/>
      <c r="B88" s="557">
        <v>37</v>
      </c>
      <c r="C88" s="715" t="s">
        <v>199</v>
      </c>
      <c r="D88" s="559"/>
      <c r="E88" s="560"/>
      <c r="F88" s="561"/>
      <c r="G88" s="716"/>
      <c r="H88" s="563">
        <v>600000</v>
      </c>
      <c r="I88" s="564">
        <v>0.1222</v>
      </c>
      <c r="J88" s="268">
        <f t="shared" si="12"/>
        <v>73320</v>
      </c>
      <c r="K88" s="562">
        <f>+H88+J88</f>
        <v>673320</v>
      </c>
      <c r="L88" s="621">
        <f>+K88-20</f>
        <v>673300</v>
      </c>
      <c r="M88" s="440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279"/>
      <c r="AR88" s="84"/>
      <c r="AS88" s="84"/>
      <c r="AT88" s="84"/>
    </row>
    <row r="89" spans="1:46" s="439" customFormat="1" ht="16.5" thickTop="1">
      <c r="A89" s="84"/>
      <c r="B89" s="84"/>
      <c r="C89" s="274" t="s">
        <v>205</v>
      </c>
      <c r="D89" s="141"/>
      <c r="E89" s="142"/>
      <c r="F89" s="142"/>
      <c r="G89" s="142"/>
      <c r="H89" s="142"/>
      <c r="I89" s="143"/>
      <c r="J89" s="141"/>
      <c r="K89" s="142"/>
      <c r="L89" s="14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</row>
    <row r="90" spans="1:46" s="439" customFormat="1">
      <c r="A90" s="84"/>
      <c r="B90" s="84"/>
      <c r="C90" s="842" t="s">
        <v>204</v>
      </c>
      <c r="D90" s="842"/>
      <c r="E90" s="842"/>
      <c r="F90" s="842"/>
      <c r="G90" s="842"/>
      <c r="H90" s="842"/>
      <c r="I90" s="842"/>
      <c r="J90" s="842"/>
      <c r="K90" s="842"/>
      <c r="L90" s="842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</row>
    <row r="91" spans="1:46" s="439" customFormat="1">
      <c r="A91" s="84"/>
      <c r="B91" s="84"/>
      <c r="C91" s="84" t="s">
        <v>185</v>
      </c>
      <c r="D91" s="141"/>
      <c r="E91" s="142"/>
      <c r="F91" s="142"/>
      <c r="G91" s="142"/>
      <c r="H91" s="142"/>
      <c r="I91" s="143"/>
      <c r="J91" s="141"/>
      <c r="K91" s="142"/>
      <c r="L91" s="14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</row>
    <row r="92" spans="1:46">
      <c r="C92" s="274"/>
    </row>
  </sheetData>
  <mergeCells count="53">
    <mergeCell ref="A1:L1"/>
    <mergeCell ref="A3:L3"/>
    <mergeCell ref="A4:A5"/>
    <mergeCell ref="B4:B5"/>
    <mergeCell ref="C4:C5"/>
    <mergeCell ref="D4:D5"/>
    <mergeCell ref="E4:E5"/>
    <mergeCell ref="F4:F5"/>
    <mergeCell ref="G4:G5"/>
    <mergeCell ref="H4:H5"/>
    <mergeCell ref="I4:L4"/>
    <mergeCell ref="A13:L13"/>
    <mergeCell ref="A14:A15"/>
    <mergeCell ref="B14:B15"/>
    <mergeCell ref="C14:C15"/>
    <mergeCell ref="D14:D15"/>
    <mergeCell ref="E14:E15"/>
    <mergeCell ref="F14:F15"/>
    <mergeCell ref="G14:G15"/>
    <mergeCell ref="H14:H15"/>
    <mergeCell ref="I14:L14"/>
    <mergeCell ref="A20:L20"/>
    <mergeCell ref="A21:A22"/>
    <mergeCell ref="B21:B22"/>
    <mergeCell ref="C21:C22"/>
    <mergeCell ref="D21:D22"/>
    <mergeCell ref="E21:E22"/>
    <mergeCell ref="F21:F22"/>
    <mergeCell ref="G21:G22"/>
    <mergeCell ref="H21:H22"/>
    <mergeCell ref="I21:L21"/>
    <mergeCell ref="A35:L35"/>
    <mergeCell ref="A36:A37"/>
    <mergeCell ref="B36:B37"/>
    <mergeCell ref="C36:C37"/>
    <mergeCell ref="D36:D37"/>
    <mergeCell ref="E36:E37"/>
    <mergeCell ref="F36:F37"/>
    <mergeCell ref="G36:G37"/>
    <mergeCell ref="H36:H37"/>
    <mergeCell ref="I45:L45"/>
    <mergeCell ref="B50:L50"/>
    <mergeCell ref="C90:L90"/>
    <mergeCell ref="I36:L36"/>
    <mergeCell ref="A44:L44"/>
    <mergeCell ref="A45:A46"/>
    <mergeCell ref="B45:B46"/>
    <mergeCell ref="C45:C46"/>
    <mergeCell ref="D45:D46"/>
    <mergeCell ref="E45:E46"/>
    <mergeCell ref="F45:F46"/>
    <mergeCell ref="G45:G46"/>
    <mergeCell ref="H45:H46"/>
  </mergeCells>
  <hyperlinks>
    <hyperlink ref="C90" r:id="rId1" display="https://www.dane.gov.co/index.php/estadisticas-por-tema/precios-y-costos/indice-de-precios-al-consumidor-ipc/ipc-historico" xr:uid="{00000000-0004-0000-0700-000000000000}"/>
    <hyperlink ref="C89" r:id="rId2" display="https://www.banrep.gov.co/es/estadisticas/indice-precios-consumidor-ipc" xr:uid="{00000000-0004-0000-0700-000001000000}"/>
  </hyperlinks>
  <pageMargins left="0.9055118110236221" right="0.31496062992125984" top="0.35433070866141736" bottom="0.15748031496062992" header="0.31496062992125984" footer="0.31496062992125984"/>
  <pageSetup scale="80" orientation="landscape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21"/>
  <sheetViews>
    <sheetView workbookViewId="0">
      <selection activeCell="E9" sqref="E9"/>
    </sheetView>
  </sheetViews>
  <sheetFormatPr baseColWidth="10" defaultRowHeight="15"/>
  <cols>
    <col min="2" max="2" width="8.85546875" customWidth="1"/>
    <col min="3" max="5" width="20.140625" customWidth="1"/>
  </cols>
  <sheetData>
    <row r="1" spans="2:5">
      <c r="B1" s="845" t="s">
        <v>206</v>
      </c>
      <c r="C1" s="846"/>
      <c r="D1" s="846"/>
      <c r="E1" s="847"/>
    </row>
    <row r="2" spans="2:5">
      <c r="B2" s="848"/>
      <c r="C2" s="849"/>
      <c r="D2" s="849"/>
      <c r="E2" s="850"/>
    </row>
    <row r="3" spans="2:5">
      <c r="B3" s="851" t="s">
        <v>207</v>
      </c>
      <c r="C3" s="852"/>
      <c r="D3" s="852"/>
      <c r="E3" s="853"/>
    </row>
    <row r="4" spans="2:5">
      <c r="B4" s="854"/>
      <c r="C4" s="855"/>
      <c r="D4" s="855"/>
      <c r="E4" s="856"/>
    </row>
    <row r="5" spans="2:5" ht="17.25">
      <c r="B5" s="857" t="s">
        <v>208</v>
      </c>
      <c r="C5" s="858"/>
      <c r="D5" s="858"/>
      <c r="E5" s="859"/>
    </row>
    <row r="6" spans="2:5">
      <c r="B6" s="860" t="s">
        <v>209</v>
      </c>
      <c r="C6" s="862" t="s">
        <v>210</v>
      </c>
      <c r="D6" s="863"/>
      <c r="E6" s="864"/>
    </row>
    <row r="7" spans="2:5">
      <c r="B7" s="861"/>
      <c r="C7" s="717" t="s">
        <v>211</v>
      </c>
      <c r="D7" s="717" t="s">
        <v>212</v>
      </c>
      <c r="E7" s="718" t="s">
        <v>213</v>
      </c>
    </row>
    <row r="8" spans="2:5">
      <c r="B8" s="719">
        <v>2013</v>
      </c>
      <c r="C8" s="720">
        <v>-0.26</v>
      </c>
      <c r="D8" s="732">
        <v>1.89</v>
      </c>
      <c r="E8" s="721">
        <v>1.84</v>
      </c>
    </row>
    <row r="9" spans="2:5">
      <c r="B9" s="722">
        <v>2014</v>
      </c>
      <c r="C9" s="723">
        <v>0.16</v>
      </c>
      <c r="D9" s="733">
        <v>3.25</v>
      </c>
      <c r="E9" s="724">
        <v>3.29</v>
      </c>
    </row>
    <row r="10" spans="2:5">
      <c r="B10" s="719">
        <v>2015</v>
      </c>
      <c r="C10" s="720">
        <v>0.68</v>
      </c>
      <c r="D10" s="732">
        <v>5.47</v>
      </c>
      <c r="E10" s="721">
        <v>5.89</v>
      </c>
    </row>
    <row r="11" spans="2:5">
      <c r="B11" s="722">
        <v>2016</v>
      </c>
      <c r="C11" s="723">
        <v>-0.06</v>
      </c>
      <c r="D11" s="733">
        <v>5.19</v>
      </c>
      <c r="E11" s="724">
        <v>6.48</v>
      </c>
    </row>
    <row r="12" spans="2:5">
      <c r="B12" s="719">
        <v>2017</v>
      </c>
      <c r="C12" s="720">
        <v>0.02</v>
      </c>
      <c r="D12" s="732">
        <v>3.5</v>
      </c>
      <c r="E12" s="721">
        <v>4.05</v>
      </c>
    </row>
    <row r="13" spans="2:5">
      <c r="B13" s="722">
        <v>2018</v>
      </c>
      <c r="C13" s="723">
        <v>0.12</v>
      </c>
      <c r="D13" s="733">
        <v>2.75</v>
      </c>
      <c r="E13" s="724">
        <v>3.33</v>
      </c>
    </row>
    <row r="14" spans="2:5">
      <c r="B14" s="719">
        <v>2019</v>
      </c>
      <c r="C14" s="720">
        <v>0.16</v>
      </c>
      <c r="D14" s="732">
        <v>3.43</v>
      </c>
      <c r="E14" s="721">
        <v>3.86</v>
      </c>
    </row>
    <row r="15" spans="2:5">
      <c r="B15" s="722">
        <v>2020</v>
      </c>
      <c r="C15" s="723">
        <v>-0.06</v>
      </c>
      <c r="D15" s="733">
        <v>1.38</v>
      </c>
      <c r="E15" s="724">
        <v>1.75</v>
      </c>
    </row>
    <row r="16" spans="2:5">
      <c r="B16" s="719">
        <v>2021</v>
      </c>
      <c r="C16" s="720">
        <v>0.01</v>
      </c>
      <c r="D16" s="732">
        <v>4.34</v>
      </c>
      <c r="E16" s="721">
        <v>4.58</v>
      </c>
    </row>
    <row r="17" spans="2:5">
      <c r="B17" s="725">
        <v>2022</v>
      </c>
      <c r="C17" s="726">
        <v>0.72</v>
      </c>
      <c r="D17" s="727">
        <v>10.86</v>
      </c>
      <c r="E17" s="728">
        <v>12.22</v>
      </c>
    </row>
    <row r="18" spans="2:5">
      <c r="B18" s="729"/>
      <c r="C18" s="729"/>
      <c r="D18" s="729"/>
      <c r="E18" s="729"/>
    </row>
    <row r="19" spans="2:5">
      <c r="B19" s="843" t="s">
        <v>214</v>
      </c>
      <c r="C19" s="843"/>
      <c r="D19" s="843"/>
      <c r="E19" s="843"/>
    </row>
    <row r="20" spans="2:5">
      <c r="B20" s="730" t="s">
        <v>215</v>
      </c>
      <c r="C20" s="731"/>
      <c r="D20" s="731"/>
      <c r="E20" s="731"/>
    </row>
    <row r="21" spans="2:5">
      <c r="B21" s="844" t="s">
        <v>216</v>
      </c>
      <c r="C21" s="844"/>
      <c r="D21" s="844"/>
      <c r="E21" s="844"/>
    </row>
  </sheetData>
  <mergeCells count="7">
    <mergeCell ref="B19:E19"/>
    <mergeCell ref="B21:E21"/>
    <mergeCell ref="B1:E2"/>
    <mergeCell ref="B3:E4"/>
    <mergeCell ref="B5:E5"/>
    <mergeCell ref="B6:B7"/>
    <mergeCell ref="C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7</vt:i4>
      </vt:variant>
    </vt:vector>
  </HeadingPairs>
  <TitlesOfParts>
    <vt:vector size="17" baseType="lpstr">
      <vt:lpstr>DP 2017 (2)</vt:lpstr>
      <vt:lpstr>DP 2017</vt:lpstr>
      <vt:lpstr>HT</vt:lpstr>
      <vt:lpstr>DERECHOS PECUNIARIOS 2019</vt:lpstr>
      <vt:lpstr>DERECHOS PECUNIARIOS 2020</vt:lpstr>
      <vt:lpstr>DERECHOS PECUNIARIOS 2021</vt:lpstr>
      <vt:lpstr>DERECHOS PECUNIARIOS 2022</vt:lpstr>
      <vt:lpstr>DERECHOS PECUNIARIOS 2023</vt:lpstr>
      <vt:lpstr>Hoja1</vt:lpstr>
      <vt:lpstr>DERECHOS PECUNIARIOS 2022 (2)</vt:lpstr>
      <vt:lpstr>'DERECHOS PECUNIARIOS 2019'!Área_de_impresión</vt:lpstr>
      <vt:lpstr>'DERECHOS PECUNIARIOS 2020'!Área_de_impresión</vt:lpstr>
      <vt:lpstr>'DERECHOS PECUNIARIOS 2021'!Área_de_impresión</vt:lpstr>
      <vt:lpstr>'DERECHOS PECUNIARIOS 2022'!Área_de_impresión</vt:lpstr>
      <vt:lpstr>'DERECHOS PECUNIARIOS 2022 (2)'!Área_de_impresión</vt:lpstr>
      <vt:lpstr>'DERECHOS PECUNIARIOS 2023'!Área_de_impresión</vt:lpstr>
      <vt:lpstr>HT!Área_de_impresión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Meneses</dc:creator>
  <cp:lastModifiedBy>Jhon Castaño</cp:lastModifiedBy>
  <cp:lastPrinted>2021-11-11T13:53:17Z</cp:lastPrinted>
  <dcterms:created xsi:type="dcterms:W3CDTF">2016-10-24T13:07:30Z</dcterms:created>
  <dcterms:modified xsi:type="dcterms:W3CDTF">2023-11-09T23:07:25Z</dcterms:modified>
</cp:coreProperties>
</file>