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dos\Downloads\UNIP\Projeto\"/>
    </mc:Choice>
  </mc:AlternateContent>
  <bookViews>
    <workbookView xWindow="0" yWindow="0" windowWidth="20490" windowHeight="7620" tabRatio="905" activeTab="1"/>
  </bookViews>
  <sheets>
    <sheet name="Identificação" sheetId="1" r:id="rId1"/>
    <sheet name="Investimentos - Operação" sheetId="2" r:id="rId2"/>
    <sheet name="Mercado" sheetId="7" r:id="rId3"/>
    <sheet name="Análise Investimento" sheetId="8" r:id="rId4"/>
    <sheet name="Fluxo de Caixa - Simples" sheetId="9" r:id="rId5"/>
  </sheets>
  <calcPr calcId="162913"/>
</workbook>
</file>

<file path=xl/calcChain.xml><?xml version="1.0" encoding="utf-8"?>
<calcChain xmlns="http://schemas.openxmlformats.org/spreadsheetml/2006/main">
  <c r="B15" i="9" l="1"/>
  <c r="D15" i="9" l="1"/>
  <c r="E15" i="9"/>
  <c r="F15" i="9"/>
  <c r="G15" i="9"/>
  <c r="H15" i="9"/>
  <c r="C15" i="9"/>
  <c r="D20" i="2" l="1"/>
  <c r="D30" i="2" l="1"/>
  <c r="D29" i="2"/>
  <c r="D28" i="2"/>
  <c r="D26" i="2"/>
  <c r="D27" i="2"/>
  <c r="D25" i="2"/>
  <c r="D22" i="2"/>
  <c r="D21" i="2"/>
  <c r="D19" i="2"/>
  <c r="D18" i="2"/>
  <c r="D31" i="2"/>
  <c r="C13" i="8" s="1"/>
  <c r="C14" i="8" s="1"/>
  <c r="D15" i="2"/>
  <c r="D14" i="2"/>
  <c r="D13" i="2"/>
  <c r="B2" i="2"/>
  <c r="C16" i="9"/>
  <c r="C3" i="9"/>
  <c r="C2" i="9"/>
  <c r="C8" i="9" s="1"/>
  <c r="H16" i="9"/>
  <c r="G16" i="9"/>
  <c r="F16" i="9"/>
  <c r="E16" i="9"/>
  <c r="D16" i="9"/>
  <c r="H3" i="9"/>
  <c r="H9" i="9" s="1"/>
  <c r="G3" i="9"/>
  <c r="G9" i="9" s="1"/>
  <c r="F3" i="9"/>
  <c r="F9" i="9" s="1"/>
  <c r="E3" i="9"/>
  <c r="E9" i="9" s="1"/>
  <c r="D3" i="9"/>
  <c r="D9" i="9" s="1"/>
  <c r="H2" i="9"/>
  <c r="H8" i="9" s="1"/>
  <c r="G2" i="9"/>
  <c r="G8" i="9" s="1"/>
  <c r="F2" i="9"/>
  <c r="F8" i="9" s="1"/>
  <c r="E2" i="9"/>
  <c r="E8" i="9" s="1"/>
  <c r="D2" i="9"/>
  <c r="D8" i="9" s="1"/>
  <c r="C6" i="8"/>
  <c r="C6" i="7"/>
  <c r="C6" i="2"/>
  <c r="B12" i="8"/>
  <c r="B13" i="8" s="1"/>
  <c r="B14" i="8" s="1"/>
  <c r="B15" i="8" s="1"/>
  <c r="B16" i="8" s="1"/>
  <c r="C4" i="8"/>
  <c r="H19" i="8"/>
  <c r="J19" i="8"/>
  <c r="H20" i="8"/>
  <c r="J20" i="8"/>
  <c r="C4" i="7"/>
  <c r="C4" i="2"/>
  <c r="C9" i="9"/>
  <c r="C4" i="9" l="1"/>
  <c r="C10" i="9" s="1"/>
  <c r="C7" i="9" s="1"/>
  <c r="G4" i="9"/>
  <c r="G10" i="9" s="1"/>
  <c r="G7" i="9" s="1"/>
  <c r="C6" i="9"/>
  <c r="H4" i="9"/>
  <c r="H10" i="9" s="1"/>
  <c r="H7" i="9" s="1"/>
  <c r="E4" i="9"/>
  <c r="E6" i="9" s="1"/>
  <c r="D23" i="2"/>
  <c r="C12" i="8" s="1"/>
  <c r="D16" i="2"/>
  <c r="C11" i="8" s="1"/>
  <c r="D4" i="9"/>
  <c r="D10" i="9" s="1"/>
  <c r="F4" i="9"/>
  <c r="F10" i="9" s="1"/>
  <c r="F7" i="9" s="1"/>
  <c r="D7" i="9"/>
  <c r="F6" i="9"/>
  <c r="G6" i="9"/>
  <c r="C15" i="8"/>
  <c r="F11" i="9" l="1"/>
  <c r="D14" i="8" s="1"/>
  <c r="E14" i="8" s="1"/>
  <c r="C11" i="9"/>
  <c r="D11" i="8" s="1"/>
  <c r="E11" i="8" s="1"/>
  <c r="F11" i="8" s="1"/>
  <c r="G11" i="8" s="1"/>
  <c r="H6" i="9"/>
  <c r="D6" i="9"/>
  <c r="D11" i="9" s="1"/>
  <c r="D12" i="8" s="1"/>
  <c r="E10" i="9"/>
  <c r="E7" i="9" s="1"/>
  <c r="E11" i="9" s="1"/>
  <c r="D13" i="8" s="1"/>
  <c r="E13" i="8" s="1"/>
  <c r="H13" i="8" s="1"/>
  <c r="E12" i="8"/>
  <c r="H12" i="8" s="1"/>
  <c r="H11" i="9"/>
  <c r="D16" i="8" s="1"/>
  <c r="G11" i="9"/>
  <c r="D15" i="8" s="1"/>
  <c r="E15" i="8" s="1"/>
  <c r="C16" i="8"/>
  <c r="C17" i="8"/>
  <c r="H14" i="8"/>
  <c r="I11" i="8" l="1"/>
  <c r="J11" i="8" s="1"/>
  <c r="E16" i="8"/>
  <c r="E17" i="8" s="1"/>
  <c r="F12" i="8"/>
  <c r="G12" i="8" s="1"/>
  <c r="G22" i="8"/>
  <c r="H22" i="8" s="1"/>
  <c r="D17" i="8"/>
  <c r="H15" i="8"/>
  <c r="H16" i="8" l="1"/>
  <c r="I12" i="8"/>
  <c r="G21" i="8"/>
  <c r="F13" i="8"/>
  <c r="G13" i="8" s="1"/>
  <c r="F14" i="8" l="1"/>
  <c r="G14" i="8" s="1"/>
  <c r="I13" i="8"/>
  <c r="J12" i="8"/>
  <c r="F15" i="8" l="1"/>
  <c r="I14" i="8"/>
  <c r="J13" i="8"/>
  <c r="G15" i="8"/>
  <c r="F16" i="8"/>
  <c r="G16" i="8" s="1"/>
  <c r="J14" i="8" l="1"/>
  <c r="I15" i="8"/>
  <c r="G17" i="8"/>
  <c r="G19" i="8" s="1"/>
  <c r="I19" i="8" l="1"/>
  <c r="J15" i="8"/>
  <c r="I16" i="8"/>
  <c r="J16" i="8" s="1"/>
  <c r="J17" i="8" l="1"/>
  <c r="G20" i="8" l="1"/>
  <c r="I20" i="8"/>
</calcChain>
</file>

<file path=xl/sharedStrings.xml><?xml version="1.0" encoding="utf-8"?>
<sst xmlns="http://schemas.openxmlformats.org/spreadsheetml/2006/main" count="109" uniqueCount="81">
  <si>
    <t>Item</t>
  </si>
  <si>
    <t>Justificativa</t>
  </si>
  <si>
    <t>Valor</t>
  </si>
  <si>
    <t>Forma de Aplicação</t>
  </si>
  <si>
    <t>Item:</t>
  </si>
  <si>
    <t>Nome do Projeto:</t>
  </si>
  <si>
    <t>Resumo Executivo:</t>
  </si>
  <si>
    <t>Investimentos Necessários:</t>
  </si>
  <si>
    <t>TOTAL</t>
  </si>
  <si>
    <t>Pay-Back Normal</t>
  </si>
  <si>
    <t>Pay-Back Descontado</t>
  </si>
  <si>
    <t>Período</t>
  </si>
  <si>
    <t>Investimento</t>
  </si>
  <si>
    <t>Entrada Caixa</t>
  </si>
  <si>
    <t>Fluxo Caixa</t>
  </si>
  <si>
    <t>Saldo</t>
  </si>
  <si>
    <t>Resultado</t>
  </si>
  <si>
    <t>Entrada Cx (VP)</t>
  </si>
  <si>
    <t>TMA</t>
  </si>
  <si>
    <t>Anos</t>
  </si>
  <si>
    <t>Pay-Back Desc.</t>
  </si>
  <si>
    <t>Período 2</t>
  </si>
  <si>
    <t>Meses</t>
  </si>
  <si>
    <t>VPL</t>
  </si>
  <si>
    <t>TIR</t>
  </si>
  <si>
    <t>Numero</t>
  </si>
  <si>
    <t>ano 1</t>
  </si>
  <si>
    <t>ano 2</t>
  </si>
  <si>
    <t>ano 3</t>
  </si>
  <si>
    <t>ano 4</t>
  </si>
  <si>
    <t>ano 5</t>
  </si>
  <si>
    <t>ano</t>
  </si>
  <si>
    <t>1.1</t>
  </si>
  <si>
    <t>1.2</t>
  </si>
  <si>
    <t>Marketing</t>
  </si>
  <si>
    <t>Produto/Serviço</t>
  </si>
  <si>
    <t>Instalação</t>
  </si>
  <si>
    <t>Licença de Uso</t>
  </si>
  <si>
    <t>Por Cliente</t>
  </si>
  <si>
    <t>Forma de Cobrança</t>
  </si>
  <si>
    <t>Considerações</t>
  </si>
  <si>
    <t>Licença Média / Cliente (5)</t>
  </si>
  <si>
    <t>Manutenção / Licença</t>
  </si>
  <si>
    <t>ano 0</t>
  </si>
  <si>
    <t>(+) Receita</t>
  </si>
  <si>
    <t>Instalação+Licença+Manutenção</t>
  </si>
  <si>
    <t>(-) Impostos</t>
  </si>
  <si>
    <t>RESULTADO</t>
  </si>
  <si>
    <t>Percentagem</t>
  </si>
  <si>
    <t>Manutenção/ Melhoria</t>
  </si>
  <si>
    <t>ANÁLISE INICIAL DO PROJETO</t>
  </si>
  <si>
    <t>Primeiro Ano / Valor Mensal</t>
  </si>
  <si>
    <t>Demais anos / Valor Mensal</t>
  </si>
  <si>
    <t>Período 0</t>
  </si>
  <si>
    <t>Mercado:</t>
  </si>
  <si>
    <t>PROJETOS DE CRESCIMENTO</t>
  </si>
  <si>
    <t>D</t>
  </si>
  <si>
    <t xml:space="preserve">O software que está sendo desenvolvido terá como foco principal administrar e gerenciar estoque, compra e venda de produtos com enfase em empresas de manutenção de impressoras. A venda de acessórios como cartuchos e tonners também será gerenciada pelo software.
A principal intenção ao </t>
  </si>
  <si>
    <t>Funcionários</t>
  </si>
  <si>
    <t>Análista</t>
  </si>
  <si>
    <t>Desenvolvedor</t>
  </si>
  <si>
    <t>Gerente de Projeto</t>
  </si>
  <si>
    <t>Análista\Desenvolvedor</t>
  </si>
  <si>
    <t>Tester\Desenvolvedor</t>
  </si>
  <si>
    <t>Testar e Desenvolver(Dedicação parcial)</t>
  </si>
  <si>
    <t>Análisar o Projeto e Desenvolvimento (Dedicação parcial)</t>
  </si>
  <si>
    <t>Sistema de Controle de Estoque</t>
  </si>
  <si>
    <t>Gerente do Projeto (Dedicação Total)</t>
  </si>
  <si>
    <t>6 Meses</t>
  </si>
  <si>
    <t>Suporte\Tester</t>
  </si>
  <si>
    <t>Suporte ao Cliente (Dedicação parcial)</t>
  </si>
  <si>
    <t>Testar e Desenvolver (Dedicação Total)</t>
  </si>
  <si>
    <t>Anunciar e Vender(Dedicação Total)</t>
  </si>
  <si>
    <t>Análisar o Projeto e Desenvolvimento (Dedicação Total)</t>
  </si>
  <si>
    <t>1.3</t>
  </si>
  <si>
    <t>Pós Venda</t>
  </si>
  <si>
    <t>Implantação e Treinamento (Dedicação Total)</t>
  </si>
  <si>
    <t>Demanda</t>
  </si>
  <si>
    <t>Por Hora (Solicada)</t>
  </si>
  <si>
    <t>Por mês</t>
  </si>
  <si>
    <t>Treinamento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</si>
</sst>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&quot;R$ &quot;* #,##0.00_);_(&quot;R$ &quot;* \(#,##0.00\);_(&quot;R$ &quot;* &quot;-&quot;??_);_(@_)"/>
    <numFmt numFmtId="165" formatCode="&quot;R$&quot;#,##0.00_);[Red]\(&quot;R$&quot;#,##0.00\)"/>
    <numFmt numFmtId="166" formatCode="_(&quot;R$&quot;* #,##0.00_);_(&quot;R$&quot;* \(#,##0.00\);_(&quot;R$&quot;* &quot;-&quot;??_);_(@_)"/>
    <numFmt numFmtId="167" formatCode="_([$$-2C0A]* #,##0.00_);_([$$-2C0A]* \(#,##0.00\);_([$$-2C0A]* &quot;-&quot;??_);_(@_)"/>
    <numFmt numFmtId="168" formatCode="0.000"/>
    <numFmt numFmtId="169" formatCode="&quot;R$&quot;\ #,##0.00"/>
  </numFmts>
  <fonts count="16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color theme="0"/>
      <name val="Arial"/>
      <family val="2"/>
    </font>
    <font>
      <b/>
      <sz val="10"/>
      <color rgb="FF002060"/>
      <name val="Arial"/>
      <family val="2"/>
    </font>
    <font>
      <u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0" fillId="0" borderId="1" xfId="0" applyBorder="1"/>
    <xf numFmtId="0" fontId="3" fillId="0" borderId="0" xfId="0" applyFont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2" borderId="2" xfId="0" applyFont="1" applyFill="1" applyBorder="1" applyAlignment="1"/>
    <xf numFmtId="0" fontId="3" fillId="2" borderId="1" xfId="0" applyFont="1" applyFill="1" applyBorder="1" applyAlignment="1"/>
    <xf numFmtId="0" fontId="3" fillId="3" borderId="1" xfId="0" applyFont="1" applyFill="1" applyBorder="1" applyAlignment="1">
      <alignment horizontal="center"/>
    </xf>
    <xf numFmtId="0" fontId="4" fillId="0" borderId="0" xfId="0" applyFont="1"/>
    <xf numFmtId="2" fontId="0" fillId="0" borderId="0" xfId="0" applyNumberFormat="1"/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167" fontId="1" fillId="5" borderId="1" xfId="2" applyNumberFormat="1" applyFill="1" applyBorder="1"/>
    <xf numFmtId="167" fontId="1" fillId="5" borderId="2" xfId="2" applyNumberFormat="1" applyFill="1" applyBorder="1"/>
    <xf numFmtId="167" fontId="0" fillId="4" borderId="1" xfId="0" applyNumberFormat="1" applyFill="1" applyBorder="1"/>
    <xf numFmtId="2" fontId="0" fillId="4" borderId="1" xfId="0" applyNumberFormat="1" applyFill="1" applyBorder="1"/>
    <xf numFmtId="0" fontId="0" fillId="2" borderId="1" xfId="0" applyFill="1" applyBorder="1"/>
    <xf numFmtId="167" fontId="0" fillId="2" borderId="1" xfId="0" applyNumberFormat="1" applyFill="1" applyBorder="1"/>
    <xf numFmtId="2" fontId="0" fillId="2" borderId="1" xfId="0" applyNumberFormat="1" applyFill="1" applyBorder="1"/>
    <xf numFmtId="165" fontId="0" fillId="2" borderId="1" xfId="0" applyNumberFormat="1" applyFill="1" applyBorder="1"/>
    <xf numFmtId="167" fontId="3" fillId="5" borderId="1" xfId="2" applyNumberFormat="1" applyFont="1" applyFill="1" applyBorder="1"/>
    <xf numFmtId="0" fontId="3" fillId="0" borderId="0" xfId="0" applyFont="1"/>
    <xf numFmtId="0" fontId="5" fillId="0" borderId="1" xfId="0" applyFont="1" applyBorder="1"/>
    <xf numFmtId="9" fontId="5" fillId="0" borderId="1" xfId="3" applyFont="1" applyBorder="1"/>
    <xf numFmtId="0" fontId="3" fillId="6" borderId="1" xfId="0" applyFont="1" applyFill="1" applyBorder="1"/>
    <xf numFmtId="1" fontId="3" fillId="6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left"/>
    </xf>
    <xf numFmtId="0" fontId="3" fillId="5" borderId="1" xfId="0" applyFont="1" applyFill="1" applyBorder="1"/>
    <xf numFmtId="167" fontId="3" fillId="5" borderId="1" xfId="0" applyNumberFormat="1" applyFont="1" applyFill="1" applyBorder="1"/>
    <xf numFmtId="0" fontId="0" fillId="5" borderId="1" xfId="0" applyFill="1" applyBorder="1"/>
    <xf numFmtId="10" fontId="3" fillId="5" borderId="1" xfId="3" applyNumberFormat="1" applyFont="1" applyFill="1" applyBorder="1"/>
    <xf numFmtId="165" fontId="0" fillId="0" borderId="0" xfId="0" applyNumberFormat="1"/>
    <xf numFmtId="0" fontId="0" fillId="0" borderId="0" xfId="0" applyAlignment="1">
      <alignment wrapText="1"/>
    </xf>
    <xf numFmtId="0" fontId="8" fillId="0" borderId="0" xfId="0" applyFont="1"/>
    <xf numFmtId="164" fontId="8" fillId="7" borderId="1" xfId="1" applyFont="1" applyFill="1" applyBorder="1"/>
    <xf numFmtId="164" fontId="10" fillId="7" borderId="1" xfId="1" applyFont="1" applyFill="1" applyBorder="1"/>
    <xf numFmtId="0" fontId="7" fillId="0" borderId="1" xfId="0" applyFont="1" applyBorder="1" applyAlignment="1">
      <alignment horizontal="right"/>
    </xf>
    <xf numFmtId="0" fontId="7" fillId="0" borderId="1" xfId="0" applyFont="1" applyBorder="1"/>
    <xf numFmtId="0" fontId="0" fillId="0" borderId="0" xfId="0" applyBorder="1"/>
    <xf numFmtId="164" fontId="10" fillId="8" borderId="3" xfId="1" applyFont="1" applyFill="1" applyBorder="1"/>
    <xf numFmtId="164" fontId="7" fillId="8" borderId="3" xfId="1" applyFont="1" applyFill="1" applyBorder="1"/>
    <xf numFmtId="0" fontId="7" fillId="0" borderId="0" xfId="0" applyFont="1"/>
    <xf numFmtId="39" fontId="0" fillId="0" borderId="0" xfId="0" applyNumberFormat="1"/>
    <xf numFmtId="164" fontId="0" fillId="0" borderId="0" xfId="0" applyNumberFormat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center"/>
    </xf>
    <xf numFmtId="4" fontId="9" fillId="0" borderId="0" xfId="0" applyNumberFormat="1" applyFont="1" applyAlignment="1">
      <alignment horizontal="center"/>
    </xf>
    <xf numFmtId="9" fontId="0" fillId="0" borderId="0" xfId="0" applyNumberFormat="1"/>
    <xf numFmtId="0" fontId="9" fillId="0" borderId="0" xfId="0" applyFont="1" applyAlignment="1">
      <alignment horizontal="center"/>
    </xf>
    <xf numFmtId="169" fontId="12" fillId="0" borderId="0" xfId="0" applyNumberFormat="1" applyFont="1"/>
    <xf numFmtId="0" fontId="0" fillId="10" borderId="0" xfId="0" applyFill="1"/>
    <xf numFmtId="0" fontId="13" fillId="11" borderId="0" xfId="0" applyFont="1" applyFill="1"/>
    <xf numFmtId="0" fontId="7" fillId="0" borderId="0" xfId="0" applyFont="1" applyAlignment="1">
      <alignment horizontal="left" indent="2"/>
    </xf>
    <xf numFmtId="10" fontId="7" fillId="0" borderId="0" xfId="0" applyNumberFormat="1" applyFont="1"/>
    <xf numFmtId="169" fontId="8" fillId="0" borderId="0" xfId="0" applyNumberFormat="1" applyFont="1"/>
    <xf numFmtId="0" fontId="13" fillId="12" borderId="0" xfId="0" applyFont="1" applyFill="1"/>
    <xf numFmtId="169" fontId="13" fillId="12" borderId="0" xfId="0" applyNumberFormat="1" applyFont="1" applyFill="1"/>
    <xf numFmtId="9" fontId="7" fillId="0" borderId="0" xfId="0" applyNumberFormat="1" applyFont="1"/>
    <xf numFmtId="169" fontId="0" fillId="10" borderId="0" xfId="0" applyNumberFormat="1" applyFill="1"/>
    <xf numFmtId="169" fontId="13" fillId="11" borderId="0" xfId="1" applyNumberFormat="1" applyFont="1" applyFill="1"/>
    <xf numFmtId="0" fontId="13" fillId="12" borderId="0" xfId="0" applyFont="1" applyFill="1" applyAlignment="1">
      <alignment horizontal="center"/>
    </xf>
    <xf numFmtId="169" fontId="14" fillId="13" borderId="5" xfId="0" applyNumberFormat="1" applyFont="1" applyFill="1" applyBorder="1"/>
    <xf numFmtId="168" fontId="3" fillId="5" borderId="1" xfId="0" applyNumberFormat="1" applyFont="1" applyFill="1" applyBorder="1"/>
    <xf numFmtId="164" fontId="7" fillId="7" borderId="0" xfId="1" applyFont="1" applyFill="1" applyBorder="1"/>
    <xf numFmtId="0" fontId="6" fillId="0" borderId="1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15" fillId="0" borderId="0" xfId="0" applyFont="1"/>
    <xf numFmtId="0" fontId="7" fillId="0" borderId="1" xfId="0" applyFont="1" applyBorder="1" applyAlignment="1">
      <alignment horizontal="left" indent="1"/>
    </xf>
    <xf numFmtId="0" fontId="7" fillId="0" borderId="1" xfId="0" applyFont="1" applyBorder="1" applyAlignment="1"/>
    <xf numFmtId="0" fontId="7" fillId="0" borderId="0" xfId="0" applyFont="1" applyFill="1" applyBorder="1" applyAlignment="1"/>
    <xf numFmtId="0" fontId="7" fillId="0" borderId="0" xfId="0" applyFont="1" applyFill="1" applyBorder="1" applyAlignment="1">
      <alignment horizontal="left" indent="1"/>
    </xf>
    <xf numFmtId="0" fontId="7" fillId="0" borderId="1" xfId="0" applyFont="1" applyBorder="1" applyAlignment="1">
      <alignment horizontal="left" indent="3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9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3" fillId="2" borderId="17" xfId="0" applyFont="1" applyFill="1" applyBorder="1" applyAlignment="1">
      <alignment horizontal="left"/>
    </xf>
    <xf numFmtId="0" fontId="11" fillId="9" borderId="6" xfId="0" applyFont="1" applyFill="1" applyBorder="1" applyAlignment="1">
      <alignment horizontal="center"/>
    </xf>
    <xf numFmtId="0" fontId="11" fillId="9" borderId="8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4" fillId="13" borderId="18" xfId="0" applyFont="1" applyFill="1" applyBorder="1" applyAlignment="1">
      <alignment horizontal="right" indent="1"/>
    </xf>
    <xf numFmtId="0" fontId="14" fillId="13" borderId="5" xfId="0" applyFont="1" applyFill="1" applyBorder="1" applyAlignment="1">
      <alignment horizontal="right" indent="1"/>
    </xf>
    <xf numFmtId="0" fontId="15" fillId="0" borderId="0" xfId="0" applyFont="1" applyBorder="1"/>
  </cellXfs>
  <cellStyles count="4">
    <cellStyle name="Moeda" xfId="1" builtinId="4"/>
    <cellStyle name="Moeda_Trabalho Financas v3" xfId="2"/>
    <cellStyle name="Normal" xfId="0" builtinId="0"/>
    <cellStyle name="Porcentagem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Fluxo de Caixa</a:t>
            </a:r>
          </a:p>
        </c:rich>
      </c:tx>
      <c:layout>
        <c:manualLayout>
          <c:xMode val="edge"/>
          <c:yMode val="edge"/>
          <c:x val="0.44215731098128863"/>
          <c:y val="4.14746543778801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3333365247171079E-2"/>
          <c:y val="0.2903232339142468"/>
          <c:w val="0.95294208883089082"/>
          <c:h val="0.5944713837291720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'Análise Investimento'!$A$11:$A$16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F-46F8-A3A9-F4D19475E957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'Análise Investimento'!$E$11:$E$16</c:f>
              <c:numCache>
                <c:formatCode>_([$$-2C0A]* #,##0.00_);_([$$-2C0A]* \(#,##0.00\);_([$$-2C0A]* "-"??_);_(@_)</c:formatCode>
                <c:ptCount val="6"/>
                <c:pt idx="0">
                  <c:v>-144000</c:v>
                </c:pt>
                <c:pt idx="1">
                  <c:v>-180720.90000000002</c:v>
                </c:pt>
                <c:pt idx="2">
                  <c:v>330657.59999999998</c:v>
                </c:pt>
                <c:pt idx="3">
                  <c:v>867098.39999999979</c:v>
                </c:pt>
                <c:pt idx="4">
                  <c:v>1395540.2999999996</c:v>
                </c:pt>
                <c:pt idx="5">
                  <c:v>1985650.7999999993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8F-46F8-A3A9-F4D19475E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0859167"/>
        <c:axId val="1"/>
      </c:barChart>
      <c:catAx>
        <c:axId val="1930859167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93085916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38100</xdr:rowOff>
    </xdr:from>
    <xdr:to>
      <xdr:col>10</xdr:col>
      <xdr:colOff>9525</xdr:colOff>
      <xdr:row>38</xdr:row>
      <xdr:rowOff>0</xdr:rowOff>
    </xdr:to>
    <xdr:graphicFrame macro="">
      <xdr:nvGraphicFramePr>
        <xdr:cNvPr id="1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showGridLines="0" topLeftCell="A6" workbookViewId="0">
      <selection activeCell="D6" sqref="D6:N6"/>
    </sheetView>
  </sheetViews>
  <sheetFormatPr defaultRowHeight="12.75" x14ac:dyDescent="0.2"/>
  <cols>
    <col min="4" max="4" width="24" customWidth="1"/>
    <col min="9" max="9" width="4.42578125" customWidth="1"/>
  </cols>
  <sheetData>
    <row r="1" spans="2:14" ht="13.5" thickBot="1" x14ac:dyDescent="0.25"/>
    <row r="2" spans="2:14" ht="13.5" thickBot="1" x14ac:dyDescent="0.25">
      <c r="B2" s="76" t="s">
        <v>50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8"/>
    </row>
    <row r="4" spans="2:14" x14ac:dyDescent="0.2">
      <c r="B4" s="3" t="s">
        <v>4</v>
      </c>
      <c r="C4" s="1">
        <v>1</v>
      </c>
    </row>
    <row r="6" spans="2:14" x14ac:dyDescent="0.2">
      <c r="B6" s="91" t="s">
        <v>5</v>
      </c>
      <c r="C6" s="92"/>
      <c r="D6" s="79" t="s">
        <v>66</v>
      </c>
      <c r="E6" s="80"/>
      <c r="F6" s="80"/>
      <c r="G6" s="80"/>
      <c r="H6" s="80"/>
      <c r="I6" s="80"/>
      <c r="J6" s="80"/>
      <c r="K6" s="80"/>
      <c r="L6" s="80"/>
      <c r="M6" s="80"/>
      <c r="N6" s="80"/>
    </row>
    <row r="8" spans="2:14" x14ac:dyDescent="0.2">
      <c r="B8" s="90" t="s">
        <v>6</v>
      </c>
      <c r="C8" s="90"/>
      <c r="D8" s="81" t="s">
        <v>57</v>
      </c>
      <c r="E8" s="82"/>
      <c r="F8" s="82"/>
      <c r="G8" s="82"/>
      <c r="H8" s="82"/>
      <c r="I8" s="82"/>
      <c r="J8" s="82"/>
      <c r="K8" s="82"/>
      <c r="L8" s="82"/>
      <c r="M8" s="82"/>
      <c r="N8" s="83"/>
    </row>
    <row r="9" spans="2:14" x14ac:dyDescent="0.2">
      <c r="D9" s="84"/>
      <c r="E9" s="85"/>
      <c r="F9" s="85"/>
      <c r="G9" s="85"/>
      <c r="H9" s="85"/>
      <c r="I9" s="85"/>
      <c r="J9" s="85"/>
      <c r="K9" s="85"/>
      <c r="L9" s="85"/>
      <c r="M9" s="85"/>
      <c r="N9" s="86"/>
    </row>
    <row r="10" spans="2:14" x14ac:dyDescent="0.2">
      <c r="D10" s="84"/>
      <c r="E10" s="85"/>
      <c r="F10" s="85"/>
      <c r="G10" s="85"/>
      <c r="H10" s="85"/>
      <c r="I10" s="85"/>
      <c r="J10" s="85"/>
      <c r="K10" s="85"/>
      <c r="L10" s="85"/>
      <c r="M10" s="85"/>
      <c r="N10" s="86"/>
    </row>
    <row r="11" spans="2:14" x14ac:dyDescent="0.2">
      <c r="D11" s="84"/>
      <c r="E11" s="85"/>
      <c r="F11" s="85"/>
      <c r="G11" s="85"/>
      <c r="H11" s="85"/>
      <c r="I11" s="85"/>
      <c r="J11" s="85"/>
      <c r="K11" s="85"/>
      <c r="L11" s="85"/>
      <c r="M11" s="85"/>
      <c r="N11" s="86"/>
    </row>
    <row r="12" spans="2:14" x14ac:dyDescent="0.2">
      <c r="D12" s="84"/>
      <c r="E12" s="85"/>
      <c r="F12" s="85"/>
      <c r="G12" s="85"/>
      <c r="H12" s="85"/>
      <c r="I12" s="85"/>
      <c r="J12" s="85"/>
      <c r="K12" s="85"/>
      <c r="L12" s="85"/>
      <c r="M12" s="85"/>
      <c r="N12" s="86"/>
    </row>
    <row r="13" spans="2:14" x14ac:dyDescent="0.2">
      <c r="D13" s="84"/>
      <c r="E13" s="85"/>
      <c r="F13" s="85"/>
      <c r="G13" s="85"/>
      <c r="H13" s="85"/>
      <c r="I13" s="85"/>
      <c r="J13" s="85"/>
      <c r="K13" s="85"/>
      <c r="L13" s="85"/>
      <c r="M13" s="85"/>
      <c r="N13" s="86"/>
    </row>
    <row r="14" spans="2:14" x14ac:dyDescent="0.2">
      <c r="D14" s="84"/>
      <c r="E14" s="85"/>
      <c r="F14" s="85"/>
      <c r="G14" s="85"/>
      <c r="H14" s="85"/>
      <c r="I14" s="85"/>
      <c r="J14" s="85"/>
      <c r="K14" s="85"/>
      <c r="L14" s="85"/>
      <c r="M14" s="85"/>
      <c r="N14" s="86"/>
    </row>
    <row r="15" spans="2:14" x14ac:dyDescent="0.2">
      <c r="D15" s="84"/>
      <c r="E15" s="85"/>
      <c r="F15" s="85"/>
      <c r="G15" s="85"/>
      <c r="H15" s="85"/>
      <c r="I15" s="85"/>
      <c r="J15" s="85"/>
      <c r="K15" s="85"/>
      <c r="L15" s="85"/>
      <c r="M15" s="85"/>
      <c r="N15" s="86"/>
    </row>
    <row r="16" spans="2:14" x14ac:dyDescent="0.2">
      <c r="D16" s="84"/>
      <c r="E16" s="85"/>
      <c r="F16" s="85"/>
      <c r="G16" s="85"/>
      <c r="H16" s="85"/>
      <c r="I16" s="85"/>
      <c r="J16" s="85"/>
      <c r="K16" s="85"/>
      <c r="L16" s="85"/>
      <c r="M16" s="85"/>
      <c r="N16" s="86"/>
    </row>
    <row r="17" spans="4:14" x14ac:dyDescent="0.2">
      <c r="D17" s="84"/>
      <c r="E17" s="85"/>
      <c r="F17" s="85"/>
      <c r="G17" s="85"/>
      <c r="H17" s="85"/>
      <c r="I17" s="85"/>
      <c r="J17" s="85"/>
      <c r="K17" s="85"/>
      <c r="L17" s="85"/>
      <c r="M17" s="85"/>
      <c r="N17" s="86"/>
    </row>
    <row r="18" spans="4:14" x14ac:dyDescent="0.2">
      <c r="D18" s="84"/>
      <c r="E18" s="85"/>
      <c r="F18" s="85"/>
      <c r="G18" s="85"/>
      <c r="H18" s="85"/>
      <c r="I18" s="85"/>
      <c r="J18" s="85"/>
      <c r="K18" s="85"/>
      <c r="L18" s="85"/>
      <c r="M18" s="85"/>
      <c r="N18" s="86"/>
    </row>
    <row r="19" spans="4:14" x14ac:dyDescent="0.2">
      <c r="D19" s="84"/>
      <c r="E19" s="85"/>
      <c r="F19" s="85"/>
      <c r="G19" s="85"/>
      <c r="H19" s="85"/>
      <c r="I19" s="85"/>
      <c r="J19" s="85"/>
      <c r="K19" s="85"/>
      <c r="L19" s="85"/>
      <c r="M19" s="85"/>
      <c r="N19" s="86"/>
    </row>
    <row r="20" spans="4:14" x14ac:dyDescent="0.2">
      <c r="D20" s="84"/>
      <c r="E20" s="85"/>
      <c r="F20" s="85"/>
      <c r="G20" s="85"/>
      <c r="H20" s="85"/>
      <c r="I20" s="85"/>
      <c r="J20" s="85"/>
      <c r="K20" s="85"/>
      <c r="L20" s="85"/>
      <c r="M20" s="85"/>
      <c r="N20" s="86"/>
    </row>
    <row r="21" spans="4:14" x14ac:dyDescent="0.2">
      <c r="D21" s="84"/>
      <c r="E21" s="85"/>
      <c r="F21" s="85"/>
      <c r="G21" s="85"/>
      <c r="H21" s="85"/>
      <c r="I21" s="85"/>
      <c r="J21" s="85"/>
      <c r="K21" s="85"/>
      <c r="L21" s="85"/>
      <c r="M21" s="85"/>
      <c r="N21" s="86"/>
    </row>
    <row r="22" spans="4:14" x14ac:dyDescent="0.2">
      <c r="D22" s="84"/>
      <c r="E22" s="85"/>
      <c r="F22" s="85"/>
      <c r="G22" s="85"/>
      <c r="H22" s="85"/>
      <c r="I22" s="85"/>
      <c r="J22" s="85"/>
      <c r="K22" s="85"/>
      <c r="L22" s="85"/>
      <c r="M22" s="85"/>
      <c r="N22" s="86"/>
    </row>
    <row r="23" spans="4:14" x14ac:dyDescent="0.2">
      <c r="D23" s="84"/>
      <c r="E23" s="85"/>
      <c r="F23" s="85"/>
      <c r="G23" s="85"/>
      <c r="H23" s="85"/>
      <c r="I23" s="85"/>
      <c r="J23" s="85"/>
      <c r="K23" s="85"/>
      <c r="L23" s="85"/>
      <c r="M23" s="85"/>
      <c r="N23" s="86"/>
    </row>
    <row r="24" spans="4:14" x14ac:dyDescent="0.2">
      <c r="D24" s="84"/>
      <c r="E24" s="85"/>
      <c r="F24" s="85"/>
      <c r="G24" s="85"/>
      <c r="H24" s="85"/>
      <c r="I24" s="85"/>
      <c r="J24" s="85"/>
      <c r="K24" s="85"/>
      <c r="L24" s="85"/>
      <c r="M24" s="85"/>
      <c r="N24" s="86"/>
    </row>
    <row r="25" spans="4:14" x14ac:dyDescent="0.2">
      <c r="D25" s="84"/>
      <c r="E25" s="85"/>
      <c r="F25" s="85"/>
      <c r="G25" s="85"/>
      <c r="H25" s="85"/>
      <c r="I25" s="85"/>
      <c r="J25" s="85"/>
      <c r="K25" s="85"/>
      <c r="L25" s="85"/>
      <c r="M25" s="85"/>
      <c r="N25" s="86"/>
    </row>
    <row r="26" spans="4:14" x14ac:dyDescent="0.2">
      <c r="D26" s="84"/>
      <c r="E26" s="85"/>
      <c r="F26" s="85"/>
      <c r="G26" s="85"/>
      <c r="H26" s="85"/>
      <c r="I26" s="85"/>
      <c r="J26" s="85"/>
      <c r="K26" s="85"/>
      <c r="L26" s="85"/>
      <c r="M26" s="85"/>
      <c r="N26" s="86"/>
    </row>
    <row r="27" spans="4:14" x14ac:dyDescent="0.2">
      <c r="D27" s="84"/>
      <c r="E27" s="85"/>
      <c r="F27" s="85"/>
      <c r="G27" s="85"/>
      <c r="H27" s="85"/>
      <c r="I27" s="85"/>
      <c r="J27" s="85"/>
      <c r="K27" s="85"/>
      <c r="L27" s="85"/>
      <c r="M27" s="85"/>
      <c r="N27" s="86"/>
    </row>
    <row r="28" spans="4:14" x14ac:dyDescent="0.2">
      <c r="D28" s="84"/>
      <c r="E28" s="85"/>
      <c r="F28" s="85"/>
      <c r="G28" s="85"/>
      <c r="H28" s="85"/>
      <c r="I28" s="85"/>
      <c r="J28" s="85"/>
      <c r="K28" s="85"/>
      <c r="L28" s="85"/>
      <c r="M28" s="85"/>
      <c r="N28" s="86"/>
    </row>
    <row r="29" spans="4:14" x14ac:dyDescent="0.2">
      <c r="D29" s="84"/>
      <c r="E29" s="85"/>
      <c r="F29" s="85"/>
      <c r="G29" s="85"/>
      <c r="H29" s="85"/>
      <c r="I29" s="85"/>
      <c r="J29" s="85"/>
      <c r="K29" s="85"/>
      <c r="L29" s="85"/>
      <c r="M29" s="85"/>
      <c r="N29" s="86"/>
    </row>
    <row r="30" spans="4:14" x14ac:dyDescent="0.2">
      <c r="D30" s="87"/>
      <c r="E30" s="88"/>
      <c r="F30" s="88"/>
      <c r="G30" s="88"/>
      <c r="H30" s="88"/>
      <c r="I30" s="88"/>
      <c r="J30" s="88"/>
      <c r="K30" s="88"/>
      <c r="L30" s="88"/>
      <c r="M30" s="88"/>
      <c r="N30" s="89"/>
    </row>
    <row r="33" spans="4:4" x14ac:dyDescent="0.2">
      <c r="D33" s="45" t="s">
        <v>56</v>
      </c>
    </row>
  </sheetData>
  <mergeCells count="5">
    <mergeCell ref="B2:N2"/>
    <mergeCell ref="D6:N6"/>
    <mergeCell ref="D8:N30"/>
    <mergeCell ref="B8:C8"/>
    <mergeCell ref="B6:C6"/>
  </mergeCells>
  <phoneticPr fontId="2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tabSelected="1" topLeftCell="A6" workbookViewId="0">
      <selection activeCell="A31" sqref="A31"/>
    </sheetView>
  </sheetViews>
  <sheetFormatPr defaultRowHeight="12.75" x14ac:dyDescent="0.2"/>
  <cols>
    <col min="1" max="1" width="9.5703125" style="36" customWidth="1"/>
    <col min="2" max="2" width="50.85546875" bestFit="1" customWidth="1"/>
    <col min="3" max="3" width="49.7109375" bestFit="1" customWidth="1"/>
    <col min="4" max="4" width="16" customWidth="1"/>
    <col min="5" max="5" width="43.85546875" bestFit="1" customWidth="1"/>
  </cols>
  <sheetData>
    <row r="1" spans="1:14" ht="13.5" thickBot="1" x14ac:dyDescent="0.25"/>
    <row r="2" spans="1:14" ht="13.5" thickBot="1" x14ac:dyDescent="0.25">
      <c r="B2" s="76" t="str">
        <f>Identificação!B2</f>
        <v>ANÁLISE INICIAL DO PROJETO</v>
      </c>
      <c r="C2" s="77"/>
      <c r="D2" s="77"/>
      <c r="E2" s="78"/>
    </row>
    <row r="4" spans="1:14" x14ac:dyDescent="0.2">
      <c r="B4" s="3" t="s">
        <v>4</v>
      </c>
      <c r="C4" s="1">
        <f>Identificação!C4</f>
        <v>1</v>
      </c>
    </row>
    <row r="6" spans="1:14" x14ac:dyDescent="0.2">
      <c r="B6" s="7" t="s">
        <v>5</v>
      </c>
      <c r="C6" s="80" t="str">
        <f>Identificação!D6</f>
        <v>Sistema de Controle de Estoque</v>
      </c>
      <c r="D6" s="80"/>
      <c r="E6" s="80"/>
    </row>
    <row r="7" spans="1:14" x14ac:dyDescent="0.2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x14ac:dyDescent="0.2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1:14" x14ac:dyDescent="0.2">
      <c r="B9" s="7" t="s">
        <v>7</v>
      </c>
    </row>
    <row r="11" spans="1:14" x14ac:dyDescent="0.2">
      <c r="A11" s="8" t="s">
        <v>25</v>
      </c>
      <c r="B11" s="8" t="s">
        <v>0</v>
      </c>
      <c r="C11" s="8" t="s">
        <v>1</v>
      </c>
      <c r="D11" s="8" t="s">
        <v>2</v>
      </c>
      <c r="E11" s="8" t="s">
        <v>3</v>
      </c>
      <c r="F11" s="2"/>
    </row>
    <row r="12" spans="1:14" x14ac:dyDescent="0.2">
      <c r="A12" s="69">
        <v>1</v>
      </c>
      <c r="B12" s="72" t="s">
        <v>58</v>
      </c>
      <c r="C12" s="1"/>
      <c r="D12" s="39"/>
      <c r="E12" s="1"/>
    </row>
    <row r="13" spans="1:14" x14ac:dyDescent="0.2">
      <c r="A13" s="75" t="s">
        <v>32</v>
      </c>
      <c r="B13" s="71" t="s">
        <v>62</v>
      </c>
      <c r="C13" s="41" t="s">
        <v>65</v>
      </c>
      <c r="D13" s="38">
        <f>30*40*4*6*3</f>
        <v>86400</v>
      </c>
      <c r="E13" s="41" t="s">
        <v>68</v>
      </c>
    </row>
    <row r="14" spans="1:14" x14ac:dyDescent="0.2">
      <c r="A14" s="75" t="s">
        <v>33</v>
      </c>
      <c r="B14" s="74" t="s">
        <v>61</v>
      </c>
      <c r="C14" s="41" t="s">
        <v>67</v>
      </c>
      <c r="D14" s="38">
        <f>30*40*4*6</f>
        <v>28800</v>
      </c>
      <c r="E14" s="41" t="s">
        <v>68</v>
      </c>
    </row>
    <row r="15" spans="1:14" ht="13.5" thickBot="1" x14ac:dyDescent="0.25">
      <c r="A15" s="75" t="s">
        <v>74</v>
      </c>
      <c r="B15" s="71" t="s">
        <v>63</v>
      </c>
      <c r="C15" s="41" t="s">
        <v>64</v>
      </c>
      <c r="D15" s="38">
        <f>30*40*4*6</f>
        <v>28800</v>
      </c>
      <c r="E15" s="41" t="s">
        <v>68</v>
      </c>
    </row>
    <row r="16" spans="1:14" ht="13.5" thickBot="1" x14ac:dyDescent="0.25">
      <c r="A16" s="42"/>
      <c r="B16" s="42"/>
      <c r="C16" s="42"/>
      <c r="D16" s="43">
        <f>SUM(D12:D15)</f>
        <v>144000</v>
      </c>
      <c r="E16" s="42"/>
    </row>
    <row r="17" spans="1:5" ht="16.5" thickBot="1" x14ac:dyDescent="0.3">
      <c r="A17" s="93" t="s">
        <v>51</v>
      </c>
      <c r="B17" s="94"/>
      <c r="C17" s="42"/>
      <c r="D17" s="67"/>
      <c r="E17" s="42"/>
    </row>
    <row r="18" spans="1:5" x14ac:dyDescent="0.2">
      <c r="A18" s="48">
        <v>1</v>
      </c>
      <c r="B18" s="72" t="s">
        <v>59</v>
      </c>
      <c r="C18" s="41" t="s">
        <v>73</v>
      </c>
      <c r="D18" s="38">
        <f>40*40*4*1</f>
        <v>6400</v>
      </c>
      <c r="E18" s="41"/>
    </row>
    <row r="19" spans="1:5" x14ac:dyDescent="0.2">
      <c r="A19" s="40">
        <v>2</v>
      </c>
      <c r="B19" s="73" t="s">
        <v>61</v>
      </c>
      <c r="C19" s="41" t="s">
        <v>67</v>
      </c>
      <c r="D19" s="38">
        <f>40*40*4*1</f>
        <v>6400</v>
      </c>
      <c r="E19" s="41"/>
    </row>
    <row r="20" spans="1:5" x14ac:dyDescent="0.2">
      <c r="A20" s="48">
        <v>3</v>
      </c>
      <c r="B20" s="72" t="s">
        <v>60</v>
      </c>
      <c r="C20" s="41" t="s">
        <v>71</v>
      </c>
      <c r="D20" s="38">
        <f>40*40*4*2</f>
        <v>12800</v>
      </c>
      <c r="E20" s="1"/>
    </row>
    <row r="21" spans="1:5" x14ac:dyDescent="0.2">
      <c r="A21" s="40">
        <v>4</v>
      </c>
      <c r="B21" s="72" t="s">
        <v>69</v>
      </c>
      <c r="C21" s="41" t="s">
        <v>70</v>
      </c>
      <c r="D21" s="38">
        <f>40*40*4*1</f>
        <v>6400</v>
      </c>
      <c r="E21" s="1"/>
    </row>
    <row r="22" spans="1:5" ht="13.5" thickBot="1" x14ac:dyDescent="0.25">
      <c r="A22" s="48">
        <v>5</v>
      </c>
      <c r="B22" s="72" t="s">
        <v>34</v>
      </c>
      <c r="C22" s="41" t="s">
        <v>72</v>
      </c>
      <c r="D22" s="38">
        <f>40*40*4*1</f>
        <v>6400</v>
      </c>
      <c r="E22" s="1"/>
    </row>
    <row r="23" spans="1:5" ht="13.5" thickBot="1" x14ac:dyDescent="0.25">
      <c r="A23" s="42"/>
      <c r="B23" s="42"/>
      <c r="C23" s="42"/>
      <c r="D23" s="44">
        <f>SUM(D18:D22)</f>
        <v>38400</v>
      </c>
      <c r="E23" s="42"/>
    </row>
    <row r="24" spans="1:5" ht="16.5" thickBot="1" x14ac:dyDescent="0.3">
      <c r="A24" s="93" t="s">
        <v>52</v>
      </c>
      <c r="B24" s="94"/>
      <c r="C24" s="42"/>
      <c r="D24" s="67"/>
      <c r="E24" s="42"/>
    </row>
    <row r="25" spans="1:5" x14ac:dyDescent="0.2">
      <c r="A25" s="48">
        <v>1</v>
      </c>
      <c r="B25" s="72" t="s">
        <v>59</v>
      </c>
      <c r="C25" s="41" t="s">
        <v>73</v>
      </c>
      <c r="D25" s="38">
        <f>50*40*4*1</f>
        <v>8000</v>
      </c>
      <c r="E25" s="41"/>
    </row>
    <row r="26" spans="1:5" x14ac:dyDescent="0.2">
      <c r="A26" s="40">
        <v>2</v>
      </c>
      <c r="B26" s="73" t="s">
        <v>61</v>
      </c>
      <c r="C26" s="41" t="s">
        <v>67</v>
      </c>
      <c r="D26" s="38">
        <f>50*40*4*1</f>
        <v>8000</v>
      </c>
      <c r="E26" s="41"/>
    </row>
    <row r="27" spans="1:5" x14ac:dyDescent="0.2">
      <c r="A27" s="48">
        <v>3</v>
      </c>
      <c r="B27" s="72" t="s">
        <v>60</v>
      </c>
      <c r="C27" s="41" t="s">
        <v>71</v>
      </c>
      <c r="D27" s="38">
        <f>50*40*4*2</f>
        <v>16000</v>
      </c>
      <c r="E27" s="1"/>
    </row>
    <row r="28" spans="1:5" x14ac:dyDescent="0.2">
      <c r="A28" s="40">
        <v>4</v>
      </c>
      <c r="B28" s="72" t="s">
        <v>69</v>
      </c>
      <c r="C28" s="41" t="s">
        <v>70</v>
      </c>
      <c r="D28" s="38">
        <f>50*40*4*1</f>
        <v>8000</v>
      </c>
      <c r="E28" s="1"/>
    </row>
    <row r="29" spans="1:5" x14ac:dyDescent="0.2">
      <c r="A29" s="48">
        <v>5</v>
      </c>
      <c r="B29" s="72" t="s">
        <v>34</v>
      </c>
      <c r="C29" s="41" t="s">
        <v>72</v>
      </c>
      <c r="D29" s="38">
        <f>50*40*4*1</f>
        <v>8000</v>
      </c>
      <c r="E29" s="1"/>
    </row>
    <row r="30" spans="1:5" ht="13.5" thickBot="1" x14ac:dyDescent="0.25">
      <c r="A30" s="40">
        <v>6</v>
      </c>
      <c r="B30" s="41" t="s">
        <v>75</v>
      </c>
      <c r="C30" s="41" t="s">
        <v>76</v>
      </c>
      <c r="D30" s="38">
        <f>50*40*4*1</f>
        <v>8000</v>
      </c>
      <c r="E30" s="41"/>
    </row>
    <row r="31" spans="1:5" ht="13.5" thickBot="1" x14ac:dyDescent="0.25">
      <c r="A31" s="98"/>
      <c r="B31" s="42"/>
      <c r="C31" s="42"/>
      <c r="D31" s="44">
        <f>SUM(D25:D30)</f>
        <v>56000</v>
      </c>
      <c r="E31" s="42"/>
    </row>
  </sheetData>
  <mergeCells count="4">
    <mergeCell ref="B2:E2"/>
    <mergeCell ref="C6:E6"/>
    <mergeCell ref="A17:B17"/>
    <mergeCell ref="A24:B24"/>
  </mergeCells>
  <phoneticPr fontId="2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  <ignoredErrors>
    <ignoredError sqref="D14 D2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showGridLines="0" workbookViewId="0">
      <selection activeCell="B3" sqref="B3"/>
    </sheetView>
  </sheetViews>
  <sheetFormatPr defaultRowHeight="12.75" x14ac:dyDescent="0.2"/>
  <cols>
    <col min="2" max="2" width="27.5703125" customWidth="1"/>
    <col min="3" max="3" width="42.28515625" customWidth="1"/>
    <col min="4" max="4" width="16" customWidth="1"/>
    <col min="5" max="5" width="40.5703125" customWidth="1"/>
  </cols>
  <sheetData>
    <row r="1" spans="2:17" ht="13.5" thickBot="1" x14ac:dyDescent="0.25"/>
    <row r="2" spans="2:17" ht="13.5" thickBot="1" x14ac:dyDescent="0.25">
      <c r="B2" s="76" t="s">
        <v>55</v>
      </c>
      <c r="C2" s="77"/>
      <c r="D2" s="77"/>
      <c r="E2" s="78"/>
    </row>
    <row r="3" spans="2:17" x14ac:dyDescent="0.2">
      <c r="B3" s="70"/>
    </row>
    <row r="4" spans="2:17" x14ac:dyDescent="0.2">
      <c r="B4" s="3" t="s">
        <v>4</v>
      </c>
      <c r="C4" s="1">
        <f>Identificação!C4</f>
        <v>1</v>
      </c>
    </row>
    <row r="6" spans="2:17" x14ac:dyDescent="0.2">
      <c r="B6" s="7" t="s">
        <v>5</v>
      </c>
      <c r="C6" s="80" t="str">
        <f>Identificação!D6</f>
        <v>Sistema de Controle de Estoque</v>
      </c>
      <c r="D6" s="80"/>
      <c r="E6" s="80"/>
    </row>
    <row r="7" spans="2:17" x14ac:dyDescent="0.2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2:17" x14ac:dyDescent="0.2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2:17" ht="12.75" customHeight="1" x14ac:dyDescent="0.2">
      <c r="B9" s="6" t="s">
        <v>54</v>
      </c>
      <c r="C9" s="81"/>
      <c r="D9" s="82"/>
      <c r="E9" s="83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spans="2:17" x14ac:dyDescent="0.2">
      <c r="C10" s="84"/>
      <c r="D10" s="85"/>
      <c r="E10" s="86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2:17" x14ac:dyDescent="0.2">
      <c r="C11" s="84"/>
      <c r="D11" s="85"/>
      <c r="E11" s="86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2:17" x14ac:dyDescent="0.2">
      <c r="C12" s="84"/>
      <c r="D12" s="85"/>
      <c r="E12" s="86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2:17" x14ac:dyDescent="0.2">
      <c r="C13" s="84"/>
      <c r="D13" s="85"/>
      <c r="E13" s="86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2:17" x14ac:dyDescent="0.2">
      <c r="C14" s="84"/>
      <c r="D14" s="85"/>
      <c r="E14" s="86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2:17" x14ac:dyDescent="0.2">
      <c r="C15" s="84"/>
      <c r="D15" s="85"/>
      <c r="E15" s="86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2:17" x14ac:dyDescent="0.2">
      <c r="C16" s="84"/>
      <c r="D16" s="85"/>
      <c r="E16" s="86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3:17" x14ac:dyDescent="0.2">
      <c r="C17" s="84"/>
      <c r="D17" s="85"/>
      <c r="E17" s="86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3:17" x14ac:dyDescent="0.2">
      <c r="C18" s="84"/>
      <c r="D18" s="85"/>
      <c r="E18" s="86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3:17" x14ac:dyDescent="0.2">
      <c r="C19" s="84"/>
      <c r="D19" s="85"/>
      <c r="E19" s="86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3:17" x14ac:dyDescent="0.2">
      <c r="C20" s="84"/>
      <c r="D20" s="85"/>
      <c r="E20" s="86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3:17" x14ac:dyDescent="0.2">
      <c r="C21" s="84"/>
      <c r="D21" s="85"/>
      <c r="E21" s="86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3:17" x14ac:dyDescent="0.2">
      <c r="C22" s="84"/>
      <c r="D22" s="85"/>
      <c r="E22" s="86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3:17" x14ac:dyDescent="0.2">
      <c r="C23" s="84"/>
      <c r="D23" s="85"/>
      <c r="E23" s="86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3:17" x14ac:dyDescent="0.2">
      <c r="C24" s="84"/>
      <c r="D24" s="85"/>
      <c r="E24" s="86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3:17" x14ac:dyDescent="0.2">
      <c r="C25" s="84"/>
      <c r="D25" s="85"/>
      <c r="E25" s="86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3:17" x14ac:dyDescent="0.2">
      <c r="C26" s="84"/>
      <c r="D26" s="85"/>
      <c r="E26" s="86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3:17" x14ac:dyDescent="0.2">
      <c r="C27" s="84"/>
      <c r="D27" s="85"/>
      <c r="E27" s="86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3:17" x14ac:dyDescent="0.2">
      <c r="C28" s="84"/>
      <c r="D28" s="85"/>
      <c r="E28" s="86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3:17" x14ac:dyDescent="0.2">
      <c r="C29" s="84"/>
      <c r="D29" s="85"/>
      <c r="E29" s="86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3:17" x14ac:dyDescent="0.2">
      <c r="C30" s="84"/>
      <c r="D30" s="85"/>
      <c r="E30" s="86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3:17" x14ac:dyDescent="0.2">
      <c r="C31" s="87"/>
      <c r="D31" s="88"/>
      <c r="E31" s="89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3:17" x14ac:dyDescent="0.2"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6:17" x14ac:dyDescent="0.2"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</sheetData>
  <mergeCells count="3">
    <mergeCell ref="B2:E2"/>
    <mergeCell ref="C6:E6"/>
    <mergeCell ref="C9:E31"/>
  </mergeCells>
  <phoneticPr fontId="2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15" zoomScaleNormal="100" workbookViewId="0">
      <selection activeCell="G22" sqref="G22"/>
    </sheetView>
  </sheetViews>
  <sheetFormatPr defaultRowHeight="12.75" x14ac:dyDescent="0.2"/>
  <cols>
    <col min="1" max="1" width="10.42578125" customWidth="1"/>
    <col min="2" max="2" width="7.140625" customWidth="1"/>
    <col min="3" max="3" width="19.5703125" bestFit="1" customWidth="1"/>
    <col min="4" max="4" width="20.28515625" bestFit="1" customWidth="1"/>
    <col min="5" max="5" width="19.85546875" bestFit="1" customWidth="1"/>
    <col min="6" max="6" width="18.140625" bestFit="1" customWidth="1"/>
    <col min="7" max="7" width="18.42578125" bestFit="1" customWidth="1"/>
    <col min="8" max="8" width="18.140625" bestFit="1" customWidth="1"/>
    <col min="9" max="9" width="15.85546875" bestFit="1" customWidth="1"/>
    <col min="10" max="10" width="11.42578125" bestFit="1" customWidth="1"/>
  </cols>
  <sheetData>
    <row r="1" spans="1:10" ht="13.5" thickBot="1" x14ac:dyDescent="0.25"/>
    <row r="2" spans="1:10" ht="13.5" thickBot="1" x14ac:dyDescent="0.25">
      <c r="A2" s="76" t="s">
        <v>55</v>
      </c>
      <c r="B2" s="77"/>
      <c r="C2" s="77"/>
      <c r="D2" s="77"/>
      <c r="E2" s="77"/>
      <c r="F2" s="77"/>
      <c r="G2" s="77"/>
      <c r="H2" s="77"/>
      <c r="I2" s="77"/>
      <c r="J2" s="78"/>
    </row>
    <row r="4" spans="1:10" x14ac:dyDescent="0.2">
      <c r="B4" s="3" t="s">
        <v>4</v>
      </c>
      <c r="C4" s="1">
        <f>Identificação!C4</f>
        <v>1</v>
      </c>
    </row>
    <row r="6" spans="1:10" x14ac:dyDescent="0.2">
      <c r="B6" s="7" t="s">
        <v>5</v>
      </c>
      <c r="C6" s="80" t="str">
        <f>Identificação!D6</f>
        <v>Sistema de Controle de Estoque</v>
      </c>
      <c r="D6" s="80"/>
      <c r="E6" s="80"/>
    </row>
    <row r="8" spans="1:10" x14ac:dyDescent="0.2">
      <c r="A8" s="9"/>
      <c r="B8" s="9"/>
      <c r="G8" s="10"/>
    </row>
    <row r="9" spans="1:10" x14ac:dyDescent="0.2">
      <c r="F9" s="95" t="s">
        <v>9</v>
      </c>
      <c r="G9" s="95"/>
      <c r="H9" s="90" t="s">
        <v>10</v>
      </c>
      <c r="I9" s="90"/>
      <c r="J9" s="90"/>
    </row>
    <row r="10" spans="1:10" x14ac:dyDescent="0.2">
      <c r="A10" s="12" t="s">
        <v>11</v>
      </c>
      <c r="B10" s="12" t="s">
        <v>31</v>
      </c>
      <c r="C10" s="12" t="s">
        <v>12</v>
      </c>
      <c r="D10" s="13" t="s">
        <v>13</v>
      </c>
      <c r="E10" s="13" t="s">
        <v>14</v>
      </c>
      <c r="F10" s="11" t="s">
        <v>15</v>
      </c>
      <c r="G10" s="11" t="s">
        <v>16</v>
      </c>
      <c r="H10" s="4" t="s">
        <v>17</v>
      </c>
      <c r="I10" s="4" t="s">
        <v>15</v>
      </c>
      <c r="J10" s="4" t="s">
        <v>16</v>
      </c>
    </row>
    <row r="11" spans="1:10" x14ac:dyDescent="0.2">
      <c r="A11" s="12">
        <v>0</v>
      </c>
      <c r="B11" s="12">
        <v>2017</v>
      </c>
      <c r="C11" s="14">
        <f>-'Investimentos - Operação'!D16</f>
        <v>-144000</v>
      </c>
      <c r="D11" s="15">
        <f>'Fluxo de Caixa - Simples'!C11</f>
        <v>0</v>
      </c>
      <c r="E11" s="15">
        <f t="shared" ref="E11:E16" si="0">C11+D11</f>
        <v>-144000</v>
      </c>
      <c r="F11" s="16">
        <f>E11</f>
        <v>-144000</v>
      </c>
      <c r="G11" s="17" t="str">
        <f t="shared" ref="G11:G16" si="1">IF(F11&lt;0, "", IF(F10&gt;0, "", A11-1 + ABS(F10/E11)))</f>
        <v/>
      </c>
      <c r="H11" s="18"/>
      <c r="I11" s="19">
        <f>E11</f>
        <v>-144000</v>
      </c>
      <c r="J11" s="20" t="str">
        <f t="shared" ref="J11:J16" si="2">IF(I11&lt;0, "", IF(I10&gt;0, "", A11-1 + ABS(I10/H11)))</f>
        <v/>
      </c>
    </row>
    <row r="12" spans="1:10" x14ac:dyDescent="0.2">
      <c r="A12" s="12">
        <v>1</v>
      </c>
      <c r="B12" s="12">
        <f>B11+1</f>
        <v>2018</v>
      </c>
      <c r="C12" s="14">
        <f>'Investimentos - Operação'!D23*12*-1</f>
        <v>-460800</v>
      </c>
      <c r="D12" s="15">
        <f>'Fluxo de Caixa - Simples'!D11</f>
        <v>280079.09999999998</v>
      </c>
      <c r="E12" s="15">
        <f t="shared" si="0"/>
        <v>-180720.90000000002</v>
      </c>
      <c r="F12" s="16">
        <f>IF(E12&lt;&gt;0,F11+E12, "")</f>
        <v>-324720.90000000002</v>
      </c>
      <c r="G12" s="17" t="str">
        <f t="shared" si="1"/>
        <v/>
      </c>
      <c r="H12" s="21">
        <f>PV($C$19,A12,,-E12)</f>
        <v>-144576.72000000003</v>
      </c>
      <c r="I12" s="19">
        <f>IF(E12&lt;&gt;0,I11+H12, "")</f>
        <v>-288576.72000000003</v>
      </c>
      <c r="J12" s="20" t="str">
        <f t="shared" si="2"/>
        <v/>
      </c>
    </row>
    <row r="13" spans="1:10" x14ac:dyDescent="0.2">
      <c r="A13" s="12">
        <v>2</v>
      </c>
      <c r="B13" s="12">
        <f>B12+1</f>
        <v>2019</v>
      </c>
      <c r="C13" s="14">
        <f>'Investimentos - Operação'!D31*12*-1</f>
        <v>-672000</v>
      </c>
      <c r="D13" s="15">
        <f>'Fluxo de Caixa - Simples'!E11</f>
        <v>1002657.6</v>
      </c>
      <c r="E13" s="15">
        <f t="shared" si="0"/>
        <v>330657.59999999998</v>
      </c>
      <c r="F13" s="16">
        <f>IF(E13&lt;&gt;0,F12+E13, "")</f>
        <v>5936.6999999999534</v>
      </c>
      <c r="G13" s="17">
        <f t="shared" si="1"/>
        <v>1.9820457778681031</v>
      </c>
      <c r="H13" s="21">
        <f>PV($C$19,A13,,-E13)</f>
        <v>211620.86399999997</v>
      </c>
      <c r="I13" s="19">
        <f>IF(E13&lt;&gt;0,I12+H13, "")</f>
        <v>-76955.856000000058</v>
      </c>
      <c r="J13" s="20" t="str">
        <f t="shared" si="2"/>
        <v/>
      </c>
    </row>
    <row r="14" spans="1:10" x14ac:dyDescent="0.2">
      <c r="A14" s="12">
        <v>3</v>
      </c>
      <c r="B14" s="12">
        <f>B13+1</f>
        <v>2020</v>
      </c>
      <c r="C14" s="14">
        <f>C13*1.1</f>
        <v>-739200.00000000012</v>
      </c>
      <c r="D14" s="15">
        <f>'Fluxo de Caixa - Simples'!F11</f>
        <v>1606298.4</v>
      </c>
      <c r="E14" s="15">
        <f t="shared" si="0"/>
        <v>867098.39999999979</v>
      </c>
      <c r="F14" s="16">
        <f>IF(E14&lt;&gt;0,F13+E14, "")</f>
        <v>873035.09999999974</v>
      </c>
      <c r="G14" s="17" t="str">
        <f t="shared" si="1"/>
        <v/>
      </c>
      <c r="H14" s="21">
        <f>PV($C$19,A14,,-E14)</f>
        <v>443954.38079999987</v>
      </c>
      <c r="I14" s="19">
        <f>IF(E14&lt;&gt;0,I13+H14, "")</f>
        <v>366998.52479999978</v>
      </c>
      <c r="J14" s="20">
        <f t="shared" si="2"/>
        <v>2.173341810168258</v>
      </c>
    </row>
    <row r="15" spans="1:10" x14ac:dyDescent="0.2">
      <c r="A15" s="12">
        <v>4</v>
      </c>
      <c r="B15" s="12">
        <f>B14+1</f>
        <v>2021</v>
      </c>
      <c r="C15" s="14">
        <f>C14*1.1</f>
        <v>-813120.00000000023</v>
      </c>
      <c r="D15" s="15">
        <f>'Fluxo de Caixa - Simples'!G11</f>
        <v>2208660.2999999998</v>
      </c>
      <c r="E15" s="15">
        <f t="shared" si="0"/>
        <v>1395540.2999999996</v>
      </c>
      <c r="F15" s="16">
        <f>IF(E15&lt;&gt;0,F14+E15, "")</f>
        <v>2268575.3999999994</v>
      </c>
      <c r="G15" s="17" t="str">
        <f t="shared" si="1"/>
        <v/>
      </c>
      <c r="H15" s="21">
        <f>PV($C$19,A15,,-E15)</f>
        <v>571613.30687999981</v>
      </c>
      <c r="I15" s="19">
        <f>IF(E15&lt;&gt;0,I14+H15, "")</f>
        <v>938611.8316799996</v>
      </c>
      <c r="J15" s="20" t="str">
        <f t="shared" si="2"/>
        <v/>
      </c>
    </row>
    <row r="16" spans="1:10" x14ac:dyDescent="0.2">
      <c r="A16" s="12">
        <v>5</v>
      </c>
      <c r="B16" s="12">
        <f>B15+1</f>
        <v>2022</v>
      </c>
      <c r="C16" s="14">
        <f>C15*1.1</f>
        <v>-894432.00000000035</v>
      </c>
      <c r="D16" s="15">
        <f>'Fluxo de Caixa - Simples'!H11</f>
        <v>2880082.8</v>
      </c>
      <c r="E16" s="15">
        <f t="shared" si="0"/>
        <v>1985650.7999999993</v>
      </c>
      <c r="F16" s="16">
        <f>IF(E16&lt;&gt;0,F15+E16, "")</f>
        <v>4254226.1999999993</v>
      </c>
      <c r="G16" s="17" t="str">
        <f t="shared" si="1"/>
        <v/>
      </c>
      <c r="H16" s="21">
        <f>PV($C$19,A16,,-E16)</f>
        <v>650658.05414399982</v>
      </c>
      <c r="I16" s="19">
        <f>IF(E16&lt;&gt;0,I15+H16, "")</f>
        <v>1589269.8858239995</v>
      </c>
      <c r="J16" s="20" t="str">
        <f t="shared" si="2"/>
        <v/>
      </c>
    </row>
    <row r="17" spans="1:13" x14ac:dyDescent="0.2">
      <c r="A17" s="12" t="s">
        <v>8</v>
      </c>
      <c r="B17" s="12"/>
      <c r="C17" s="22">
        <f>SUM(C11:C16)</f>
        <v>-3723552.0000000005</v>
      </c>
      <c r="D17" s="22">
        <f>SUM(D11:D16)</f>
        <v>7977778.1999999993</v>
      </c>
      <c r="E17" s="22">
        <f>SUM(E11:E16)</f>
        <v>4254226.1999999993</v>
      </c>
      <c r="F17" s="16"/>
      <c r="G17" s="17">
        <f>SUM(G11:G16)</f>
        <v>1.9820457778681031</v>
      </c>
      <c r="H17" s="18"/>
      <c r="I17" s="19"/>
      <c r="J17" s="20">
        <f>SUM(J11:J16)</f>
        <v>2.173341810168258</v>
      </c>
    </row>
    <row r="18" spans="1:13" x14ac:dyDescent="0.2">
      <c r="I18" s="23"/>
    </row>
    <row r="19" spans="1:13" x14ac:dyDescent="0.2">
      <c r="A19" s="24" t="s">
        <v>18</v>
      </c>
      <c r="B19" s="24"/>
      <c r="C19" s="25">
        <v>0.25</v>
      </c>
      <c r="D19" s="25"/>
      <c r="E19" s="29"/>
      <c r="F19" s="26" t="s">
        <v>9</v>
      </c>
      <c r="G19" s="27">
        <f>INT(G17)</f>
        <v>1</v>
      </c>
      <c r="H19" s="28" t="str">
        <f>C20</f>
        <v>Anos</v>
      </c>
      <c r="I19" s="27">
        <f>(G17-INT(G17))*D21</f>
        <v>0</v>
      </c>
      <c r="J19" s="28" t="str">
        <f>C21</f>
        <v>Meses</v>
      </c>
    </row>
    <row r="20" spans="1:13" x14ac:dyDescent="0.2">
      <c r="A20" s="29" t="s">
        <v>53</v>
      </c>
      <c r="B20" s="29">
        <v>0</v>
      </c>
      <c r="C20" s="29" t="s">
        <v>19</v>
      </c>
      <c r="D20" s="68">
        <v>8</v>
      </c>
      <c r="E20" s="29" t="s">
        <v>22</v>
      </c>
      <c r="F20" s="26" t="s">
        <v>20</v>
      </c>
      <c r="G20" s="27">
        <f>INT(J17)</f>
        <v>2</v>
      </c>
      <c r="H20" s="28" t="str">
        <f>C20</f>
        <v>Anos</v>
      </c>
      <c r="I20" s="27">
        <f>(J17-INT(J17))*D21</f>
        <v>0</v>
      </c>
      <c r="J20" s="28" t="str">
        <f>C21</f>
        <v>Meses</v>
      </c>
    </row>
    <row r="21" spans="1:13" x14ac:dyDescent="0.2">
      <c r="A21" s="29" t="s">
        <v>21</v>
      </c>
      <c r="B21" s="29">
        <v>1</v>
      </c>
      <c r="C21" s="29" t="s">
        <v>22</v>
      </c>
      <c r="D21" s="68">
        <v>0</v>
      </c>
      <c r="E21" s="30" t="s">
        <v>22</v>
      </c>
      <c r="F21" s="31" t="s">
        <v>23</v>
      </c>
      <c r="G21" s="32">
        <f>NPV(C19,E12:E16)+E11</f>
        <v>1589269.8858239998</v>
      </c>
      <c r="H21" s="33"/>
      <c r="I21" s="33"/>
      <c r="J21" s="33"/>
    </row>
    <row r="22" spans="1:13" x14ac:dyDescent="0.2">
      <c r="F22" s="31" t="s">
        <v>24</v>
      </c>
      <c r="G22" s="66">
        <f>IRR(E11:E16)</f>
        <v>1.2706601669396793</v>
      </c>
      <c r="H22" s="34">
        <f>G22</f>
        <v>1.2706601669396793</v>
      </c>
      <c r="I22" s="33"/>
      <c r="J22" s="33"/>
      <c r="M22" s="61"/>
    </row>
    <row r="23" spans="1:13" x14ac:dyDescent="0.2">
      <c r="A23" s="45"/>
    </row>
    <row r="24" spans="1:13" x14ac:dyDescent="0.2">
      <c r="G24" s="35"/>
    </row>
  </sheetData>
  <mergeCells count="4">
    <mergeCell ref="A2:J2"/>
    <mergeCell ref="F9:G9"/>
    <mergeCell ref="H9:J9"/>
    <mergeCell ref="C6:E6"/>
  </mergeCells>
  <phoneticPr fontId="0" type="noConversion"/>
  <pageMargins left="0.78740157499999996" right="0.78740157499999996" top="0.984251969" bottom="0.984251969" header="0.49212598499999999" footer="0.49212598499999999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Normal="100" workbookViewId="0">
      <selection activeCell="B16" sqref="B16"/>
    </sheetView>
  </sheetViews>
  <sheetFormatPr defaultColWidth="4" defaultRowHeight="12.75" x14ac:dyDescent="0.2"/>
  <cols>
    <col min="1" max="1" width="24.7109375" bestFit="1" customWidth="1"/>
    <col min="2" max="3" width="32.42578125" customWidth="1"/>
    <col min="4" max="5" width="21.5703125" bestFit="1" customWidth="1"/>
    <col min="6" max="6" width="22.85546875" bestFit="1" customWidth="1"/>
    <col min="7" max="7" width="22.5703125" bestFit="1" customWidth="1"/>
    <col min="8" max="8" width="23.28515625" bestFit="1" customWidth="1"/>
    <col min="9" max="9" width="27.85546875" customWidth="1"/>
  </cols>
  <sheetData>
    <row r="1" spans="1:9" ht="20.25" x14ac:dyDescent="0.3">
      <c r="A1" s="49" t="s">
        <v>35</v>
      </c>
      <c r="B1" s="49" t="s">
        <v>39</v>
      </c>
      <c r="C1" s="52" t="s">
        <v>43</v>
      </c>
      <c r="D1" s="50" t="s">
        <v>26</v>
      </c>
      <c r="E1" s="50" t="s">
        <v>27</v>
      </c>
      <c r="F1" s="50" t="s">
        <v>28</v>
      </c>
      <c r="G1" s="50" t="s">
        <v>29</v>
      </c>
      <c r="H1" s="50" t="s">
        <v>30</v>
      </c>
    </row>
    <row r="2" spans="1:9" ht="15" x14ac:dyDescent="0.2">
      <c r="A2" s="45" t="s">
        <v>36</v>
      </c>
      <c r="B2" s="45" t="s">
        <v>38</v>
      </c>
      <c r="C2" s="53">
        <f t="shared" ref="C2:H2" si="0">$B$14*C14</f>
        <v>0</v>
      </c>
      <c r="D2" s="53">
        <f t="shared" si="0"/>
        <v>15000</v>
      </c>
      <c r="E2" s="53">
        <f t="shared" si="0"/>
        <v>50000</v>
      </c>
      <c r="F2" s="53">
        <f t="shared" si="0"/>
        <v>70000</v>
      </c>
      <c r="G2" s="53">
        <f t="shared" si="0"/>
        <v>85000</v>
      </c>
      <c r="H2" s="53">
        <f t="shared" si="0"/>
        <v>100000</v>
      </c>
    </row>
    <row r="3" spans="1:9" ht="15" x14ac:dyDescent="0.2">
      <c r="A3" s="45" t="s">
        <v>37</v>
      </c>
      <c r="B3" s="45" t="s">
        <v>79</v>
      </c>
      <c r="C3" s="53">
        <f t="shared" ref="C3:H3" si="1">$B$15*C15</f>
        <v>0</v>
      </c>
      <c r="D3" s="53">
        <f t="shared" si="1"/>
        <v>216000</v>
      </c>
      <c r="E3" s="53">
        <f t="shared" si="1"/>
        <v>720000</v>
      </c>
      <c r="F3" s="53">
        <f t="shared" si="1"/>
        <v>1008000</v>
      </c>
      <c r="G3" s="53">
        <f t="shared" si="1"/>
        <v>1224000</v>
      </c>
      <c r="H3" s="53">
        <f t="shared" si="1"/>
        <v>1440000</v>
      </c>
    </row>
    <row r="4" spans="1:9" ht="15" x14ac:dyDescent="0.2">
      <c r="A4" s="45" t="s">
        <v>77</v>
      </c>
      <c r="B4" s="45" t="s">
        <v>78</v>
      </c>
      <c r="C4" s="53">
        <f>C3*C16</f>
        <v>0</v>
      </c>
      <c r="D4" s="53">
        <f>(C3+D3)*D16</f>
        <v>75600</v>
      </c>
      <c r="E4" s="53">
        <f>(C3+D3+E3)*E16</f>
        <v>327600</v>
      </c>
      <c r="F4" s="53">
        <f>(C3+D3+E3+F3)*F16</f>
        <v>680400</v>
      </c>
      <c r="G4" s="53">
        <f>(C3+D3+E3+F3+G3)*G16</f>
        <v>1108800</v>
      </c>
      <c r="H4" s="53">
        <f>(C3+D3+E3+F3+G3+H3)*H16</f>
        <v>1612800</v>
      </c>
    </row>
    <row r="5" spans="1:9" x14ac:dyDescent="0.2">
      <c r="A5" s="54"/>
      <c r="B5" s="54"/>
      <c r="C5" s="62"/>
      <c r="D5" s="62"/>
      <c r="E5" s="62"/>
      <c r="F5" s="62"/>
      <c r="G5" s="62"/>
      <c r="H5" s="62"/>
    </row>
    <row r="6" spans="1:9" x14ac:dyDescent="0.2">
      <c r="A6" s="55" t="s">
        <v>44</v>
      </c>
      <c r="B6" s="55" t="s">
        <v>45</v>
      </c>
      <c r="C6" s="63">
        <f t="shared" ref="C6:H6" si="2">SUM(C2:C4)</f>
        <v>0</v>
      </c>
      <c r="D6" s="63">
        <f t="shared" si="2"/>
        <v>306600</v>
      </c>
      <c r="E6" s="63">
        <f t="shared" si="2"/>
        <v>1097600</v>
      </c>
      <c r="F6" s="63">
        <f t="shared" si="2"/>
        <v>1758400</v>
      </c>
      <c r="G6" s="63">
        <f t="shared" si="2"/>
        <v>2417800</v>
      </c>
      <c r="H6" s="63">
        <f t="shared" si="2"/>
        <v>3152800</v>
      </c>
      <c r="I6" s="37"/>
    </row>
    <row r="7" spans="1:9" x14ac:dyDescent="0.2">
      <c r="A7" s="59" t="s">
        <v>46</v>
      </c>
      <c r="B7" s="64" t="s">
        <v>48</v>
      </c>
      <c r="C7" s="60">
        <f t="shared" ref="C7:H7" si="3">SUM(C8:C10)</f>
        <v>0</v>
      </c>
      <c r="D7" s="60">
        <f t="shared" si="3"/>
        <v>26520.9</v>
      </c>
      <c r="E7" s="60">
        <f t="shared" si="3"/>
        <v>94942.399999999994</v>
      </c>
      <c r="F7" s="60">
        <f t="shared" si="3"/>
        <v>152101.6</v>
      </c>
      <c r="G7" s="60">
        <f t="shared" si="3"/>
        <v>209139.69999999998</v>
      </c>
      <c r="H7" s="60">
        <f t="shared" si="3"/>
        <v>272717.19999999995</v>
      </c>
      <c r="I7" s="37"/>
    </row>
    <row r="8" spans="1:9" x14ac:dyDescent="0.2">
      <c r="A8" s="56" t="s">
        <v>36</v>
      </c>
      <c r="B8" s="57">
        <v>8.6499999999999994E-2</v>
      </c>
      <c r="C8" s="58">
        <f t="shared" ref="C8:H8" si="4">C2*$B$8</f>
        <v>0</v>
      </c>
      <c r="D8" s="58">
        <f t="shared" si="4"/>
        <v>1297.5</v>
      </c>
      <c r="E8" s="58">
        <f t="shared" si="4"/>
        <v>4325</v>
      </c>
      <c r="F8" s="58">
        <f t="shared" si="4"/>
        <v>6055</v>
      </c>
      <c r="G8" s="58">
        <f t="shared" si="4"/>
        <v>7352.4999999999991</v>
      </c>
      <c r="H8" s="58">
        <f t="shared" si="4"/>
        <v>8650</v>
      </c>
      <c r="I8" s="37"/>
    </row>
    <row r="9" spans="1:9" x14ac:dyDescent="0.2">
      <c r="A9" s="56" t="s">
        <v>37</v>
      </c>
      <c r="B9" s="57">
        <v>8.6499999999999994E-2</v>
      </c>
      <c r="C9" s="58">
        <f t="shared" ref="C9:H9" si="5">C3*$B$9</f>
        <v>0</v>
      </c>
      <c r="D9" s="58">
        <f t="shared" si="5"/>
        <v>18684</v>
      </c>
      <c r="E9" s="58">
        <f t="shared" si="5"/>
        <v>62279.999999999993</v>
      </c>
      <c r="F9" s="58">
        <f t="shared" si="5"/>
        <v>87192</v>
      </c>
      <c r="G9" s="58">
        <f t="shared" si="5"/>
        <v>105875.99999999999</v>
      </c>
      <c r="H9" s="58">
        <f t="shared" si="5"/>
        <v>124559.99999999999</v>
      </c>
      <c r="I9" s="37"/>
    </row>
    <row r="10" spans="1:9" ht="13.5" thickBot="1" x14ac:dyDescent="0.25">
      <c r="A10" s="56" t="s">
        <v>49</v>
      </c>
      <c r="B10" s="57">
        <v>8.6499999999999994E-2</v>
      </c>
      <c r="C10" s="58">
        <f t="shared" ref="C10:H10" si="6">C4*$B$10</f>
        <v>0</v>
      </c>
      <c r="D10" s="58">
        <f t="shared" si="6"/>
        <v>6539.4</v>
      </c>
      <c r="E10" s="58">
        <f t="shared" si="6"/>
        <v>28337.399999999998</v>
      </c>
      <c r="F10" s="58">
        <f t="shared" si="6"/>
        <v>58854.6</v>
      </c>
      <c r="G10" s="58">
        <f t="shared" si="6"/>
        <v>95911.2</v>
      </c>
      <c r="H10" s="58">
        <f t="shared" si="6"/>
        <v>139507.19999999998</v>
      </c>
      <c r="I10" s="37"/>
    </row>
    <row r="11" spans="1:9" ht="13.5" thickBot="1" x14ac:dyDescent="0.25">
      <c r="A11" s="96" t="s">
        <v>47</v>
      </c>
      <c r="B11" s="97"/>
      <c r="C11" s="65">
        <f t="shared" ref="C11:H11" si="7">C6-C7</f>
        <v>0</v>
      </c>
      <c r="D11" s="65">
        <f t="shared" si="7"/>
        <v>280079.09999999998</v>
      </c>
      <c r="E11" s="65">
        <f t="shared" si="7"/>
        <v>1002657.6</v>
      </c>
      <c r="F11" s="65">
        <f t="shared" si="7"/>
        <v>1606298.4</v>
      </c>
      <c r="G11" s="65">
        <f t="shared" si="7"/>
        <v>2208660.2999999998</v>
      </c>
      <c r="H11" s="65">
        <f t="shared" si="7"/>
        <v>2880082.8</v>
      </c>
    </row>
    <row r="13" spans="1:9" x14ac:dyDescent="0.2">
      <c r="A13" s="2" t="s">
        <v>40</v>
      </c>
      <c r="D13" s="47"/>
    </row>
    <row r="14" spans="1:9" x14ac:dyDescent="0.2">
      <c r="A14" t="s">
        <v>80</v>
      </c>
      <c r="B14">
        <v>1000</v>
      </c>
      <c r="C14">
        <v>0</v>
      </c>
      <c r="D14">
        <v>15</v>
      </c>
      <c r="E14">
        <v>50</v>
      </c>
      <c r="F14">
        <v>70</v>
      </c>
      <c r="G14">
        <v>85</v>
      </c>
      <c r="H14">
        <v>100</v>
      </c>
    </row>
    <row r="15" spans="1:9" x14ac:dyDescent="0.2">
      <c r="A15" t="s">
        <v>41</v>
      </c>
      <c r="B15" s="45">
        <f>100*12</f>
        <v>1200</v>
      </c>
      <c r="C15">
        <f>C14*12</f>
        <v>0</v>
      </c>
      <c r="D15">
        <f t="shared" ref="D15:H15" si="8">D14*12</f>
        <v>180</v>
      </c>
      <c r="E15">
        <f t="shared" si="8"/>
        <v>600</v>
      </c>
      <c r="F15">
        <f t="shared" si="8"/>
        <v>840</v>
      </c>
      <c r="G15">
        <f t="shared" si="8"/>
        <v>1020</v>
      </c>
      <c r="H15">
        <f t="shared" si="8"/>
        <v>1200</v>
      </c>
    </row>
    <row r="16" spans="1:9" x14ac:dyDescent="0.2">
      <c r="A16" s="45" t="s">
        <v>42</v>
      </c>
      <c r="B16" s="51">
        <v>0.35</v>
      </c>
      <c r="C16" s="51">
        <f>B16</f>
        <v>0.35</v>
      </c>
      <c r="D16" s="51">
        <f>$B$16</f>
        <v>0.35</v>
      </c>
      <c r="E16" s="51">
        <f>$B$16</f>
        <v>0.35</v>
      </c>
      <c r="F16" s="51">
        <f>$B$16</f>
        <v>0.35</v>
      </c>
      <c r="G16" s="51">
        <f>$B$16</f>
        <v>0.35</v>
      </c>
      <c r="H16" s="51">
        <f>$B$16</f>
        <v>0.35</v>
      </c>
    </row>
    <row r="19" spans="5:6" x14ac:dyDescent="0.2">
      <c r="F19" s="45"/>
    </row>
    <row r="20" spans="5:6" x14ac:dyDescent="0.2">
      <c r="F20" s="46"/>
    </row>
    <row r="23" spans="5:6" x14ac:dyDescent="0.2">
      <c r="E23" s="45"/>
    </row>
  </sheetData>
  <mergeCells count="1">
    <mergeCell ref="A11:B11"/>
  </mergeCells>
  <phoneticPr fontId="2" type="noConversion"/>
  <pageMargins left="0.511811024" right="0.511811024" top="0.78740157499999996" bottom="0.78740157499999996" header="0.31496062000000002" footer="0.31496062000000002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Identificação</vt:lpstr>
      <vt:lpstr>Investimentos - Operação</vt:lpstr>
      <vt:lpstr>Mercado</vt:lpstr>
      <vt:lpstr>Análise Investimento</vt:lpstr>
      <vt:lpstr>Fluxo de Caixa - Simples</vt:lpstr>
    </vt:vector>
  </TitlesOfParts>
  <Manager>Ricardo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Lucas Augusto</cp:lastModifiedBy>
  <cp:lastPrinted>2009-07-13T19:51:57Z</cp:lastPrinted>
  <dcterms:created xsi:type="dcterms:W3CDTF">2007-08-03T10:37:19Z</dcterms:created>
  <dcterms:modified xsi:type="dcterms:W3CDTF">2018-09-11T01:48:36Z</dcterms:modified>
</cp:coreProperties>
</file>