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btitle-Editor\subtitle-backend\storage\"/>
    </mc:Choice>
  </mc:AlternateContent>
  <bookViews>
    <workbookView xWindow="0" yWindow="0" windowWidth="19368" windowHeight="8496"/>
  </bookViews>
  <sheets>
    <sheet name="predictionDaily1" sheetId="1" r:id="rId1"/>
  </sheets>
  <calcPr calcId="162913"/>
</workbook>
</file>

<file path=xl/calcChain.xml><?xml version="1.0" encoding="utf-8"?>
<calcChain xmlns="http://schemas.openxmlformats.org/spreadsheetml/2006/main">
  <c r="AQ357" i="1" l="1"/>
  <c r="AM354" i="1"/>
  <c r="AI351" i="1"/>
  <c r="AE348" i="1"/>
  <c r="AW344" i="1"/>
  <c r="AQ341" i="1"/>
  <c r="AM338" i="1"/>
  <c r="AI335" i="1"/>
  <c r="AE332" i="1"/>
  <c r="AW328" i="1"/>
  <c r="AQ325" i="1"/>
  <c r="AM322" i="1"/>
  <c r="AI319" i="1"/>
  <c r="AV356" i="1"/>
  <c r="AP353" i="1"/>
  <c r="AL350" i="1"/>
  <c r="AH347" i="1"/>
  <c r="AD344" i="1"/>
  <c r="AV340" i="1"/>
  <c r="AP337" i="1"/>
  <c r="AL334" i="1"/>
  <c r="AH331" i="1"/>
  <c r="AD328" i="1"/>
  <c r="AV324" i="1"/>
  <c r="AP321" i="1"/>
  <c r="AL318" i="1"/>
  <c r="AH315" i="1"/>
  <c r="AO359" i="1"/>
  <c r="AK356" i="1"/>
  <c r="AG353" i="1"/>
  <c r="AN357" i="1"/>
  <c r="AJ354" i="1"/>
  <c r="AF351" i="1"/>
  <c r="AX347" i="1"/>
  <c r="AR344" i="1"/>
  <c r="AN341" i="1"/>
  <c r="AJ338" i="1"/>
  <c r="AF335" i="1"/>
  <c r="AX331" i="1"/>
  <c r="AR328" i="1"/>
  <c r="AN325" i="1"/>
  <c r="AJ322" i="1"/>
  <c r="AF319" i="1"/>
  <c r="AM359" i="1"/>
  <c r="AI356" i="1"/>
  <c r="AE353" i="1"/>
  <c r="AW349" i="1"/>
  <c r="AQ346" i="1"/>
  <c r="AM343" i="1"/>
  <c r="AI340" i="1"/>
  <c r="AE337" i="1"/>
  <c r="AW333" i="1"/>
  <c r="AQ330" i="1"/>
  <c r="AM327" i="1"/>
  <c r="AI324" i="1"/>
  <c r="AE321" i="1"/>
  <c r="AW317" i="1"/>
  <c r="AV359" i="1"/>
  <c r="AP356" i="1"/>
  <c r="AL353" i="1"/>
  <c r="AH350" i="1"/>
  <c r="AD347" i="1"/>
  <c r="AV343" i="1"/>
  <c r="AP340" i="1"/>
  <c r="AL337" i="1"/>
  <c r="AH334" i="1"/>
  <c r="AD331" i="1"/>
  <c r="AV327" i="1"/>
  <c r="AP324" i="1"/>
  <c r="AL321" i="1"/>
  <c r="AH318" i="1"/>
  <c r="AD315" i="1"/>
  <c r="AC359" i="1"/>
  <c r="AO347" i="1"/>
  <c r="AC339" i="1"/>
  <c r="AN330" i="1"/>
  <c r="AC322" i="1"/>
  <c r="AE315" i="1"/>
  <c r="AL311" i="1"/>
  <c r="AH308" i="1"/>
  <c r="AD305" i="1"/>
  <c r="AV301" i="1"/>
  <c r="AP298" i="1"/>
  <c r="AL295" i="1"/>
  <c r="AH292" i="1"/>
  <c r="AD289" i="1"/>
  <c r="AV285" i="1"/>
  <c r="AP282" i="1"/>
  <c r="AJ357" i="1"/>
  <c r="AK346" i="1"/>
  <c r="AU337" i="1"/>
  <c r="AJ329" i="1"/>
  <c r="AU320" i="1"/>
  <c r="AM314" i="1"/>
  <c r="AC311" i="1"/>
  <c r="AU307" i="1"/>
  <c r="AO304" i="1"/>
  <c r="AK301" i="1"/>
  <c r="AG298" i="1"/>
  <c r="AC295" i="1"/>
  <c r="AU291" i="1"/>
  <c r="AG352" i="1"/>
  <c r="AC343" i="1"/>
  <c r="AN334" i="1"/>
  <c r="AC326" i="1"/>
  <c r="AK317" i="1"/>
  <c r="AX312" i="1"/>
  <c r="AR309" i="1"/>
  <c r="AN306" i="1"/>
  <c r="AJ303" i="1"/>
  <c r="AF300" i="1"/>
  <c r="AX296" i="1"/>
  <c r="AR293" i="1"/>
  <c r="AN290" i="1"/>
  <c r="AJ287" i="1"/>
  <c r="AF284" i="1"/>
  <c r="AN350" i="1"/>
  <c r="AI357" i="1"/>
  <c r="AE354" i="1"/>
  <c r="AW350" i="1"/>
  <c r="AQ347" i="1"/>
  <c r="AM344" i="1"/>
  <c r="AI341" i="1"/>
  <c r="AE338" i="1"/>
  <c r="AW334" i="1"/>
  <c r="AQ331" i="1"/>
  <c r="AM328" i="1"/>
  <c r="AI325" i="1"/>
  <c r="AE322" i="1"/>
  <c r="AW318" i="1"/>
  <c r="AP359" i="1"/>
  <c r="AL356" i="1"/>
  <c r="AH353" i="1"/>
  <c r="AD350" i="1"/>
  <c r="AV346" i="1"/>
  <c r="AP343" i="1"/>
  <c r="AL340" i="1"/>
  <c r="AH337" i="1"/>
  <c r="AD334" i="1"/>
  <c r="AV330" i="1"/>
  <c r="AP327" i="1"/>
  <c r="AL324" i="1"/>
  <c r="AH321" i="1"/>
  <c r="AD318" i="1"/>
  <c r="AV314" i="1"/>
  <c r="AG359" i="1"/>
  <c r="AC356" i="1"/>
  <c r="AU352" i="1"/>
  <c r="AF357" i="1"/>
  <c r="AX353" i="1"/>
  <c r="AR350" i="1"/>
  <c r="AN347" i="1"/>
  <c r="AJ344" i="1"/>
  <c r="AF341" i="1"/>
  <c r="AX337" i="1"/>
  <c r="AR334" i="1"/>
  <c r="AN331" i="1"/>
  <c r="AJ328" i="1"/>
  <c r="AF325" i="1"/>
  <c r="AX321" i="1"/>
  <c r="AR318" i="1"/>
  <c r="AE359" i="1"/>
  <c r="AW355" i="1"/>
  <c r="AQ352" i="1"/>
  <c r="AM349" i="1"/>
  <c r="AI346" i="1"/>
  <c r="AE343" i="1"/>
  <c r="AW339" i="1"/>
  <c r="AQ336" i="1"/>
  <c r="AM333" i="1"/>
  <c r="AI330" i="1"/>
  <c r="AE327" i="1"/>
  <c r="AW323" i="1"/>
  <c r="AQ320" i="1"/>
  <c r="AM317" i="1"/>
  <c r="AL359" i="1"/>
  <c r="AH356" i="1"/>
  <c r="AD353" i="1"/>
  <c r="AV349" i="1"/>
  <c r="AP346" i="1"/>
  <c r="AL343" i="1"/>
  <c r="AH340" i="1"/>
  <c r="AD337" i="1"/>
  <c r="AV333" i="1"/>
  <c r="AP330" i="1"/>
  <c r="AL327" i="1"/>
  <c r="AH324" i="1"/>
  <c r="AD321" i="1"/>
  <c r="AV317" i="1"/>
  <c r="AP314" i="1"/>
  <c r="AK357" i="1"/>
  <c r="AN346" i="1"/>
  <c r="AC338" i="1"/>
  <c r="AK329" i="1"/>
  <c r="AX320" i="1"/>
  <c r="AN314" i="1"/>
  <c r="AD311" i="1"/>
  <c r="AV307" i="1"/>
  <c r="AP304" i="1"/>
  <c r="AL301" i="1"/>
  <c r="AH298" i="1"/>
  <c r="AD295" i="1"/>
  <c r="AV291" i="1"/>
  <c r="AP288" i="1"/>
  <c r="AL285" i="1"/>
  <c r="AH282" i="1"/>
  <c r="AR355" i="1"/>
  <c r="AJ345" i="1"/>
  <c r="AU336" i="1"/>
  <c r="AG328" i="1"/>
  <c r="AR319" i="1"/>
  <c r="AX313" i="1"/>
  <c r="AO310" i="1"/>
  <c r="AK307" i="1"/>
  <c r="AG304" i="1"/>
  <c r="AC301" i="1"/>
  <c r="AU297" i="1"/>
  <c r="AO294" i="1"/>
  <c r="AO350" i="1"/>
  <c r="AC342" i="1"/>
  <c r="AK333" i="1"/>
  <c r="AX324" i="1"/>
  <c r="AR316" i="1"/>
  <c r="AN312" i="1"/>
  <c r="AJ309" i="1"/>
  <c r="AF306" i="1"/>
  <c r="AX302" i="1"/>
  <c r="AR299" i="1"/>
  <c r="AN296" i="1"/>
  <c r="AJ293" i="1"/>
  <c r="AF290" i="1"/>
  <c r="AX286" i="1"/>
  <c r="AR283" i="1"/>
  <c r="AJ349" i="1"/>
  <c r="AW356" i="1"/>
  <c r="AQ353" i="1"/>
  <c r="AM350" i="1"/>
  <c r="AI347" i="1"/>
  <c r="AE344" i="1"/>
  <c r="AW340" i="1"/>
  <c r="AQ337" i="1"/>
  <c r="AM334" i="1"/>
  <c r="AI331" i="1"/>
  <c r="AE328" i="1"/>
  <c r="AW324" i="1"/>
  <c r="AQ321" i="1"/>
  <c r="AM318" i="1"/>
  <c r="AI359" i="1"/>
  <c r="AE356" i="1"/>
  <c r="AW352" i="1"/>
  <c r="AQ349" i="1"/>
  <c r="AM346" i="1"/>
  <c r="AI343" i="1"/>
  <c r="AE340" i="1"/>
  <c r="AW336" i="1"/>
  <c r="AQ333" i="1"/>
  <c r="AM330" i="1"/>
  <c r="AI327" i="1"/>
  <c r="AE324" i="1"/>
  <c r="AW320" i="1"/>
  <c r="AQ317" i="1"/>
  <c r="AL358" i="1"/>
  <c r="AH355" i="1"/>
  <c r="AD352" i="1"/>
  <c r="AV348" i="1"/>
  <c r="AP345" i="1"/>
  <c r="AL342" i="1"/>
  <c r="AH339" i="1"/>
  <c r="AD336" i="1"/>
  <c r="AV332" i="1"/>
  <c r="AP329" i="1"/>
  <c r="AL326" i="1"/>
  <c r="AH323" i="1"/>
  <c r="AD320" i="1"/>
  <c r="AV316" i="1"/>
  <c r="AP313" i="1"/>
  <c r="AC358" i="1"/>
  <c r="AU354" i="1"/>
  <c r="AO351" i="1"/>
  <c r="AF359" i="1"/>
  <c r="AX355" i="1"/>
  <c r="AR352" i="1"/>
  <c r="AN349" i="1"/>
  <c r="AJ346" i="1"/>
  <c r="AF343" i="1"/>
  <c r="AX339" i="1"/>
  <c r="AR336" i="1"/>
  <c r="AN333" i="1"/>
  <c r="AJ330" i="1"/>
  <c r="AF327" i="1"/>
  <c r="AX323" i="1"/>
  <c r="AR320" i="1"/>
  <c r="AN317" i="1"/>
  <c r="AW357" i="1"/>
  <c r="AQ354" i="1"/>
  <c r="AM351" i="1"/>
  <c r="AI348" i="1"/>
  <c r="AE345" i="1"/>
  <c r="AW341" i="1"/>
  <c r="AQ338" i="1"/>
  <c r="AM335" i="1"/>
  <c r="AI332" i="1"/>
  <c r="AE329" i="1"/>
  <c r="AW325" i="1"/>
  <c r="AQ322" i="1"/>
  <c r="AM319" i="1"/>
  <c r="AI316" i="1"/>
  <c r="AH358" i="1"/>
  <c r="AD355" i="1"/>
  <c r="AV351" i="1"/>
  <c r="AP348" i="1"/>
  <c r="AL345" i="1"/>
  <c r="AH342" i="1"/>
  <c r="AD339" i="1"/>
  <c r="AV335" i="1"/>
  <c r="AP332" i="1"/>
  <c r="AL329" i="1"/>
  <c r="AH326" i="1"/>
  <c r="AD323" i="1"/>
  <c r="AV319" i="1"/>
  <c r="AP316" i="1"/>
  <c r="AL313" i="1"/>
  <c r="AO352" i="1"/>
  <c r="AJ343" i="1"/>
  <c r="AU334" i="1"/>
  <c r="AG326" i="1"/>
  <c r="AR317" i="1"/>
  <c r="AD313" i="1"/>
  <c r="AV309" i="1"/>
  <c r="AP306" i="1"/>
  <c r="AL303" i="1"/>
  <c r="AH300" i="1"/>
  <c r="AD297" i="1"/>
  <c r="AV293" i="1"/>
  <c r="AP290" i="1"/>
  <c r="AL287" i="1"/>
  <c r="AH284" i="1"/>
  <c r="AX350" i="1"/>
  <c r="AF342" i="1"/>
  <c r="AO333" i="1"/>
  <c r="AC325" i="1"/>
  <c r="AU316" i="1"/>
  <c r="AO312" i="1"/>
  <c r="AK309" i="1"/>
  <c r="AG306" i="1"/>
  <c r="AC303" i="1"/>
  <c r="AU299" i="1"/>
  <c r="AO296" i="1"/>
  <c r="AK293" i="1"/>
  <c r="AO358" i="1"/>
  <c r="AJ347" i="1"/>
  <c r="AU338" i="1"/>
  <c r="AG330" i="1"/>
  <c r="AR321" i="1"/>
  <c r="AX314" i="1"/>
  <c r="AJ311" i="1"/>
  <c r="AF308" i="1"/>
  <c r="AX304" i="1"/>
  <c r="AR301" i="1"/>
  <c r="AN298" i="1"/>
  <c r="AJ295" i="1"/>
  <c r="AF292" i="1"/>
  <c r="AX288" i="1"/>
  <c r="AR285" i="1"/>
  <c r="AN282" i="1"/>
  <c r="AX356" i="1"/>
  <c r="AF346" i="1"/>
  <c r="AW358" i="1"/>
  <c r="AQ355" i="1"/>
  <c r="AM352" i="1"/>
  <c r="AI349" i="1"/>
  <c r="AE346" i="1"/>
  <c r="AW342" i="1"/>
  <c r="AQ339" i="1"/>
  <c r="AM336" i="1"/>
  <c r="AI333" i="1"/>
  <c r="AE330" i="1"/>
  <c r="AW326" i="1"/>
  <c r="AQ323" i="1"/>
  <c r="AM320" i="1"/>
  <c r="AI317" i="1"/>
  <c r="AD358" i="1"/>
  <c r="AV354" i="1"/>
  <c r="AP351" i="1"/>
  <c r="AL348" i="1"/>
  <c r="AH345" i="1"/>
  <c r="AD342" i="1"/>
  <c r="AV338" i="1"/>
  <c r="AP335" i="1"/>
  <c r="AL332" i="1"/>
  <c r="AH329" i="1"/>
  <c r="AD326" i="1"/>
  <c r="AV322" i="1"/>
  <c r="AP319" i="1"/>
  <c r="AL316" i="1"/>
  <c r="AO357" i="1"/>
  <c r="AK354" i="1"/>
  <c r="AG351" i="1"/>
  <c r="AR358" i="1"/>
  <c r="AN355" i="1"/>
  <c r="AJ352" i="1"/>
  <c r="AF349" i="1"/>
  <c r="AX345" i="1"/>
  <c r="AR342" i="1"/>
  <c r="AM358" i="1"/>
  <c r="AI355" i="1"/>
  <c r="AE352" i="1"/>
  <c r="AW348" i="1"/>
  <c r="AQ345" i="1"/>
  <c r="AM342" i="1"/>
  <c r="AI339" i="1"/>
  <c r="AE336" i="1"/>
  <c r="AW332" i="1"/>
  <c r="AQ329" i="1"/>
  <c r="AM326" i="1"/>
  <c r="AI323" i="1"/>
  <c r="AE320" i="1"/>
  <c r="AP357" i="1"/>
  <c r="AL354" i="1"/>
  <c r="AH351" i="1"/>
  <c r="AD348" i="1"/>
  <c r="AV344" i="1"/>
  <c r="AP341" i="1"/>
  <c r="AL338" i="1"/>
  <c r="AH335" i="1"/>
  <c r="AD332" i="1"/>
  <c r="AV328" i="1"/>
  <c r="AP325" i="1"/>
  <c r="AL322" i="1"/>
  <c r="AH319" i="1"/>
  <c r="AD316" i="1"/>
  <c r="AG357" i="1"/>
  <c r="AC354" i="1"/>
  <c r="AU350" i="1"/>
  <c r="AJ358" i="1"/>
  <c r="AF355" i="1"/>
  <c r="AX351" i="1"/>
  <c r="AR348" i="1"/>
  <c r="AN345" i="1"/>
  <c r="AJ342" i="1"/>
  <c r="AF339" i="1"/>
  <c r="AX335" i="1"/>
  <c r="AR332" i="1"/>
  <c r="AN329" i="1"/>
  <c r="AJ326" i="1"/>
  <c r="AF323" i="1"/>
  <c r="AX319" i="1"/>
  <c r="AE357" i="1"/>
  <c r="AW353" i="1"/>
  <c r="AQ350" i="1"/>
  <c r="AM347" i="1"/>
  <c r="AI344" i="1"/>
  <c r="AE341" i="1"/>
  <c r="AW337" i="1"/>
  <c r="AQ334" i="1"/>
  <c r="AM331" i="1"/>
  <c r="AI328" i="1"/>
  <c r="AE325" i="1"/>
  <c r="AW321" i="1"/>
  <c r="AQ318" i="1"/>
  <c r="AL357" i="1"/>
  <c r="AH354" i="1"/>
  <c r="AD351" i="1"/>
  <c r="AV347" i="1"/>
  <c r="AP344" i="1"/>
  <c r="AL341" i="1"/>
  <c r="AH338" i="1"/>
  <c r="AD335" i="1"/>
  <c r="AV331" i="1"/>
  <c r="AP328" i="1"/>
  <c r="AL325" i="1"/>
  <c r="AH322" i="1"/>
  <c r="AD319" i="1"/>
  <c r="AV315" i="1"/>
  <c r="AR349" i="1"/>
  <c r="AG341" i="1"/>
  <c r="AO332" i="1"/>
  <c r="AF324" i="1"/>
  <c r="AG316" i="1"/>
  <c r="AH312" i="1"/>
  <c r="AD309" i="1"/>
  <c r="AV305" i="1"/>
  <c r="AP302" i="1"/>
  <c r="AL299" i="1"/>
  <c r="AH296" i="1"/>
  <c r="AD293" i="1"/>
  <c r="AV289" i="1"/>
  <c r="AP286" i="1"/>
  <c r="AL283" i="1"/>
  <c r="AN348" i="1"/>
  <c r="AC340" i="1"/>
  <c r="AK331" i="1"/>
  <c r="AX322" i="1"/>
  <c r="AN315" i="1"/>
  <c r="AU311" i="1"/>
  <c r="AO308" i="1"/>
  <c r="AK305" i="1"/>
  <c r="AG302" i="1"/>
  <c r="AC299" i="1"/>
  <c r="AU295" i="1"/>
  <c r="AO292" i="1"/>
  <c r="AK355" i="1"/>
  <c r="AG345" i="1"/>
  <c r="AO336" i="1"/>
  <c r="AF328" i="1"/>
  <c r="AO319" i="1"/>
  <c r="AW313" i="1"/>
  <c r="AN310" i="1"/>
  <c r="AJ307" i="1"/>
  <c r="AF304" i="1"/>
  <c r="AX300" i="1"/>
  <c r="AR297" i="1"/>
  <c r="AN294" i="1"/>
  <c r="AJ291" i="1"/>
  <c r="AF288" i="1"/>
  <c r="AX284" i="1"/>
  <c r="AR281" i="1"/>
  <c r="AR353" i="1"/>
  <c r="AE358" i="1"/>
  <c r="AW354" i="1"/>
  <c r="AQ351" i="1"/>
  <c r="AM348" i="1"/>
  <c r="AI345" i="1"/>
  <c r="AE342" i="1"/>
  <c r="AW338" i="1"/>
  <c r="AQ335" i="1"/>
  <c r="AM332" i="1"/>
  <c r="AI329" i="1"/>
  <c r="AE326" i="1"/>
  <c r="AW322" i="1"/>
  <c r="AQ319" i="1"/>
  <c r="AH357" i="1"/>
  <c r="AD354" i="1"/>
  <c r="AV350" i="1"/>
  <c r="AP347" i="1"/>
  <c r="AL344" i="1"/>
  <c r="AH341" i="1"/>
  <c r="AD338" i="1"/>
  <c r="AV334" i="1"/>
  <c r="AP331" i="1"/>
  <c r="AL328" i="1"/>
  <c r="AH325" i="1"/>
  <c r="AD322" i="1"/>
  <c r="AV318" i="1"/>
  <c r="AP315" i="1"/>
  <c r="AU356" i="1"/>
  <c r="AO353" i="1"/>
  <c r="AK350" i="1"/>
  <c r="AX357" i="1"/>
  <c r="AR354" i="1"/>
  <c r="AN351" i="1"/>
  <c r="AJ348" i="1"/>
  <c r="AF345" i="1"/>
  <c r="AX341" i="1"/>
  <c r="AR338" i="1"/>
  <c r="AN335" i="1"/>
  <c r="AJ332" i="1"/>
  <c r="AF329" i="1"/>
  <c r="AX325" i="1"/>
  <c r="AR322" i="1"/>
  <c r="AN319" i="1"/>
  <c r="AW359" i="1"/>
  <c r="AQ356" i="1"/>
  <c r="AM353" i="1"/>
  <c r="AI350" i="1"/>
  <c r="AE347" i="1"/>
  <c r="AW343" i="1"/>
  <c r="AQ340" i="1"/>
  <c r="AM337" i="1"/>
  <c r="AI334" i="1"/>
  <c r="AE331" i="1"/>
  <c r="AW327" i="1"/>
  <c r="AQ324" i="1"/>
  <c r="AM321" i="1"/>
  <c r="AI318" i="1"/>
  <c r="AD357" i="1"/>
  <c r="AV353" i="1"/>
  <c r="AP350" i="1"/>
  <c r="AL347" i="1"/>
  <c r="AH344" i="1"/>
  <c r="AD341" i="1"/>
  <c r="AV337" i="1"/>
  <c r="AP334" i="1"/>
  <c r="AL331" i="1"/>
  <c r="AH328" i="1"/>
  <c r="AD325" i="1"/>
  <c r="AV321" i="1"/>
  <c r="AP318" i="1"/>
  <c r="AL315" i="1"/>
  <c r="AO348" i="1"/>
  <c r="AF340" i="1"/>
  <c r="AO331" i="1"/>
  <c r="AC323" i="1"/>
  <c r="AO315" i="1"/>
  <c r="AV311" i="1"/>
  <c r="AP308" i="1"/>
  <c r="AL305" i="1"/>
  <c r="AH302" i="1"/>
  <c r="AD299" i="1"/>
  <c r="AV295" i="1"/>
  <c r="AP292" i="1"/>
  <c r="AL289" i="1"/>
  <c r="AH286" i="1"/>
  <c r="AD283" i="1"/>
  <c r="AX358" i="1"/>
  <c r="AK347" i="1"/>
  <c r="AX338" i="1"/>
  <c r="AK330" i="1"/>
  <c r="AU321" i="1"/>
  <c r="AC315" i="1"/>
  <c r="AK311" i="1"/>
  <c r="AG308" i="1"/>
  <c r="AC305" i="1"/>
  <c r="AU301" i="1"/>
  <c r="AO298" i="1"/>
  <c r="AK295" i="1"/>
  <c r="AG292" i="1"/>
  <c r="AU353" i="1"/>
  <c r="AF344" i="1"/>
  <c r="AO335" i="1"/>
  <c r="AC327" i="1"/>
  <c r="AN318" i="1"/>
  <c r="AJ313" i="1"/>
  <c r="AF310" i="1"/>
  <c r="AX306" i="1"/>
  <c r="AR303" i="1"/>
  <c r="AN300" i="1"/>
  <c r="AJ297" i="1"/>
  <c r="AF294" i="1"/>
  <c r="AX290" i="1"/>
  <c r="AR287" i="1"/>
  <c r="AN284" i="1"/>
  <c r="AJ281" i="1"/>
  <c r="AF352" i="1"/>
  <c r="AQ359" i="1"/>
  <c r="AE334" i="1"/>
  <c r="AH359" i="1"/>
  <c r="AL346" i="1"/>
  <c r="AP333" i="1"/>
  <c r="AV320" i="1"/>
  <c r="AU358" i="1"/>
  <c r="AX359" i="1"/>
  <c r="AF347" i="1"/>
  <c r="AF337" i="1"/>
  <c r="AX327" i="1"/>
  <c r="AJ320" i="1"/>
  <c r="AI358" i="1"/>
  <c r="AE349" i="1"/>
  <c r="AM341" i="1"/>
  <c r="AQ332" i="1"/>
  <c r="AM323" i="1"/>
  <c r="AW315" i="1"/>
  <c r="AL355" i="1"/>
  <c r="AH346" i="1"/>
  <c r="AP338" i="1"/>
  <c r="AV329" i="1"/>
  <c r="AP320" i="1"/>
  <c r="AU335" i="1"/>
  <c r="AC314" i="1"/>
  <c r="AH306" i="1"/>
  <c r="AL297" i="1"/>
  <c r="AH288" i="1"/>
  <c r="AO334" i="1"/>
  <c r="AK313" i="1"/>
  <c r="AU305" i="1"/>
  <c r="AC297" i="1"/>
  <c r="AK349" i="1"/>
  <c r="AG329" i="1"/>
  <c r="AR311" i="1"/>
  <c r="AN302" i="1"/>
  <c r="AX294" i="1"/>
  <c r="AF286" i="1"/>
  <c r="AG348" i="1"/>
  <c r="AO338" i="1"/>
  <c r="AF330" i="1"/>
  <c r="AO321" i="1"/>
  <c r="AW314" i="1"/>
  <c r="AI311" i="1"/>
  <c r="AE308" i="1"/>
  <c r="AW304" i="1"/>
  <c r="AQ301" i="1"/>
  <c r="AM298" i="1"/>
  <c r="AI295" i="1"/>
  <c r="AE292" i="1"/>
  <c r="AW288" i="1"/>
  <c r="AQ285" i="1"/>
  <c r="AM282" i="1"/>
  <c r="AO356" i="1"/>
  <c r="AC346" i="1"/>
  <c r="AK337" i="1"/>
  <c r="AX328" i="1"/>
  <c r="AK320" i="1"/>
  <c r="AI314" i="1"/>
  <c r="AV310" i="1"/>
  <c r="AP307" i="1"/>
  <c r="AL304" i="1"/>
  <c r="AH301" i="1"/>
  <c r="AD298" i="1"/>
  <c r="AF350" i="1"/>
  <c r="AO341" i="1"/>
  <c r="AC333" i="1"/>
  <c r="AN324" i="1"/>
  <c r="AM316" i="1"/>
  <c r="AK312" i="1"/>
  <c r="AG309" i="1"/>
  <c r="AC306" i="1"/>
  <c r="AU302" i="1"/>
  <c r="AO299" i="1"/>
  <c r="AK296" i="1"/>
  <c r="AG293" i="1"/>
  <c r="AC353" i="1"/>
  <c r="AO343" i="1"/>
  <c r="AC335" i="1"/>
  <c r="AN326" i="1"/>
  <c r="AC318" i="1"/>
  <c r="AF313" i="1"/>
  <c r="AX309" i="1"/>
  <c r="AR306" i="1"/>
  <c r="AN303" i="1"/>
  <c r="AJ300" i="1"/>
  <c r="AF297" i="1"/>
  <c r="AX293" i="1"/>
  <c r="AR290" i="1"/>
  <c r="AN287" i="1"/>
  <c r="AE309" i="1"/>
  <c r="AQ290" i="1"/>
  <c r="AV284" i="1"/>
  <c r="AI280" i="1"/>
  <c r="AE277" i="1"/>
  <c r="AW273" i="1"/>
  <c r="AQ270" i="1"/>
  <c r="AM267" i="1"/>
  <c r="AI264" i="1"/>
  <c r="AE261" i="1"/>
  <c r="AW257" i="1"/>
  <c r="AG340" i="1"/>
  <c r="AE299" i="1"/>
  <c r="AG288" i="1"/>
  <c r="AV282" i="1"/>
  <c r="AD279" i="1"/>
  <c r="AV275" i="1"/>
  <c r="AP272" i="1"/>
  <c r="AL269" i="1"/>
  <c r="AH266" i="1"/>
  <c r="AD263" i="1"/>
  <c r="AV259" i="1"/>
  <c r="AP256" i="1"/>
  <c r="AL253" i="1"/>
  <c r="AH250" i="1"/>
  <c r="AD247" i="1"/>
  <c r="AV243" i="1"/>
  <c r="AJ359" i="1"/>
  <c r="AE305" i="1"/>
  <c r="AP289" i="1"/>
  <c r="AD284" i="1"/>
  <c r="AU279" i="1"/>
  <c r="AO276" i="1"/>
  <c r="AK273" i="1"/>
  <c r="AM356" i="1"/>
  <c r="AW330" i="1"/>
  <c r="AV358" i="1"/>
  <c r="AD346" i="1"/>
  <c r="AH333" i="1"/>
  <c r="AL320" i="1"/>
  <c r="AK358" i="1"/>
  <c r="AN359" i="1"/>
  <c r="AR346" i="1"/>
  <c r="AJ336" i="1"/>
  <c r="AN327" i="1"/>
  <c r="AJ318" i="1"/>
  <c r="AM357" i="1"/>
  <c r="AQ348" i="1"/>
  <c r="AM339" i="1"/>
  <c r="AW331" i="1"/>
  <c r="AE323" i="1"/>
  <c r="AP354" i="1"/>
  <c r="AV345" i="1"/>
  <c r="AP336" i="1"/>
  <c r="AD329" i="1"/>
  <c r="AH320" i="1"/>
  <c r="AU355" i="1"/>
  <c r="AR333" i="1"/>
  <c r="AM313" i="1"/>
  <c r="AH304" i="1"/>
  <c r="AP296" i="1"/>
  <c r="AV287" i="1"/>
  <c r="AF354" i="1"/>
  <c r="AN332" i="1"/>
  <c r="AC313" i="1"/>
  <c r="AU303" i="1"/>
  <c r="AG296" i="1"/>
  <c r="AK348" i="1"/>
  <c r="AU323" i="1"/>
  <c r="AX310" i="1"/>
  <c r="AF302" i="1"/>
  <c r="AX292" i="1"/>
  <c r="AJ285" i="1"/>
  <c r="AG347" i="1"/>
  <c r="AO337" i="1"/>
  <c r="AC329" i="1"/>
  <c r="AN320" i="1"/>
  <c r="AJ314" i="1"/>
  <c r="AW310" i="1"/>
  <c r="AQ307" i="1"/>
  <c r="AM304" i="1"/>
  <c r="AI301" i="1"/>
  <c r="AE298" i="1"/>
  <c r="AW294" i="1"/>
  <c r="AQ291" i="1"/>
  <c r="AM288" i="1"/>
  <c r="AI285" i="1"/>
  <c r="AE282" i="1"/>
  <c r="AC355" i="1"/>
  <c r="AX344" i="1"/>
  <c r="AK336" i="1"/>
  <c r="AU327" i="1"/>
  <c r="AJ319" i="1"/>
  <c r="AR313" i="1"/>
  <c r="AL310" i="1"/>
  <c r="AH307" i="1"/>
  <c r="AD304" i="1"/>
  <c r="AV300" i="1"/>
  <c r="AP297" i="1"/>
  <c r="AC349" i="1"/>
  <c r="AN340" i="1"/>
  <c r="AC332" i="1"/>
  <c r="AK323" i="1"/>
  <c r="AU315" i="1"/>
  <c r="AI353" i="1"/>
  <c r="AQ327" i="1"/>
  <c r="AD356" i="1"/>
  <c r="AH343" i="1"/>
  <c r="AL330" i="1"/>
  <c r="AP317" i="1"/>
  <c r="AO355" i="1"/>
  <c r="AR356" i="1"/>
  <c r="AX343" i="1"/>
  <c r="AJ334" i="1"/>
  <c r="AR326" i="1"/>
  <c r="AX317" i="1"/>
  <c r="AM355" i="1"/>
  <c r="AW347" i="1"/>
  <c r="AE339" i="1"/>
  <c r="AW329" i="1"/>
  <c r="AI322" i="1"/>
  <c r="AP352" i="1"/>
  <c r="AD345" i="1"/>
  <c r="AH336" i="1"/>
  <c r="AD327" i="1"/>
  <c r="AL319" i="1"/>
  <c r="AG354" i="1"/>
  <c r="AK328" i="1"/>
  <c r="AP312" i="1"/>
  <c r="AV303" i="1"/>
  <c r="AP294" i="1"/>
  <c r="AD287" i="1"/>
  <c r="AN352" i="1"/>
  <c r="AG327" i="1"/>
  <c r="AG312" i="1"/>
  <c r="AK303" i="1"/>
  <c r="AG294" i="1"/>
  <c r="AG346" i="1"/>
  <c r="AU322" i="1"/>
  <c r="AX308" i="1"/>
  <c r="AJ301" i="1"/>
  <c r="AN292" i="1"/>
  <c r="AJ283" i="1"/>
  <c r="AC345" i="1"/>
  <c r="AN336" i="1"/>
  <c r="AC328" i="1"/>
  <c r="AK319" i="1"/>
  <c r="AU313" i="1"/>
  <c r="AM310" i="1"/>
  <c r="AI307" i="1"/>
  <c r="AE304" i="1"/>
  <c r="AW300" i="1"/>
  <c r="AQ297" i="1"/>
  <c r="AM294" i="1"/>
  <c r="AI291" i="1"/>
  <c r="AE288" i="1"/>
  <c r="AW284" i="1"/>
  <c r="AQ281" i="1"/>
  <c r="AK353" i="1"/>
  <c r="AU343" i="1"/>
  <c r="AJ335" i="1"/>
  <c r="AU326" i="1"/>
  <c r="AG318" i="1"/>
  <c r="AH313" i="1"/>
  <c r="AD310" i="1"/>
  <c r="AV306" i="1"/>
  <c r="AP303" i="1"/>
  <c r="AL300" i="1"/>
  <c r="AH297" i="1"/>
  <c r="AR359" i="1"/>
  <c r="AC348" i="1"/>
  <c r="AK339" i="1"/>
  <c r="AX330" i="1"/>
  <c r="AK322" i="1"/>
  <c r="AI315" i="1"/>
  <c r="AO311" i="1"/>
  <c r="AK308" i="1"/>
  <c r="AG305" i="1"/>
  <c r="AC302" i="1"/>
  <c r="AU298" i="1"/>
  <c r="AO295" i="1"/>
  <c r="AC350" i="1"/>
  <c r="AK341" i="1"/>
  <c r="AX332" i="1"/>
  <c r="AK324" i="1"/>
  <c r="AK316" i="1"/>
  <c r="AJ312" i="1"/>
  <c r="AF309" i="1"/>
  <c r="AX305" i="1"/>
  <c r="AR302" i="1"/>
  <c r="AN299" i="1"/>
  <c r="AJ296" i="1"/>
  <c r="AF293" i="1"/>
  <c r="AX289" i="1"/>
  <c r="AU349" i="1"/>
  <c r="AQ302" i="1"/>
  <c r="AE289" i="1"/>
  <c r="AO283" i="1"/>
  <c r="AM279" i="1"/>
  <c r="AI276" i="1"/>
  <c r="AE273" i="1"/>
  <c r="AW269" i="1"/>
  <c r="AQ266" i="1"/>
  <c r="AM263" i="1"/>
  <c r="AI260" i="1"/>
  <c r="AE257" i="1"/>
  <c r="AG323" i="1"/>
  <c r="AW293" i="1"/>
  <c r="AR286" i="1"/>
  <c r="AO281" i="1"/>
  <c r="AH278" i="1"/>
  <c r="AD275" i="1"/>
  <c r="AV271" i="1"/>
  <c r="AP268" i="1"/>
  <c r="AL265" i="1"/>
  <c r="AH262" i="1"/>
  <c r="AD259" i="1"/>
  <c r="AV255" i="1"/>
  <c r="AP252" i="1"/>
  <c r="AL249" i="1"/>
  <c r="AH246" i="1"/>
  <c r="AD243" i="1"/>
  <c r="AG339" i="1"/>
  <c r="AQ298" i="1"/>
  <c r="AD288" i="1"/>
  <c r="AU282" i="1"/>
  <c r="AC279" i="1"/>
  <c r="AU275" i="1"/>
  <c r="AO272" i="1"/>
  <c r="AE350" i="1"/>
  <c r="AM324" i="1"/>
  <c r="AP355" i="1"/>
  <c r="AV342" i="1"/>
  <c r="AD330" i="1"/>
  <c r="AH317" i="1"/>
  <c r="AG355" i="1"/>
  <c r="AJ356" i="1"/>
  <c r="AN343" i="1"/>
  <c r="AX333" i="1"/>
  <c r="AR324" i="1"/>
  <c r="AE355" i="1"/>
  <c r="AW345" i="1"/>
  <c r="AI338" i="1"/>
  <c r="AM329" i="1"/>
  <c r="AI320" i="1"/>
  <c r="AH352" i="1"/>
  <c r="AD343" i="1"/>
  <c r="AL335" i="1"/>
  <c r="AP326" i="1"/>
  <c r="AL317" i="1"/>
  <c r="AC351" i="1"/>
  <c r="AJ327" i="1"/>
  <c r="AP310" i="1"/>
  <c r="AD303" i="1"/>
  <c r="AH294" i="1"/>
  <c r="AD285" i="1"/>
  <c r="AO349" i="1"/>
  <c r="AF326" i="1"/>
  <c r="AG310" i="1"/>
  <c r="AO302" i="1"/>
  <c r="AU293" i="1"/>
  <c r="AX340" i="1"/>
  <c r="AO320" i="1"/>
  <c r="AN308" i="1"/>
  <c r="AJ299" i="1"/>
  <c r="AR291" i="1"/>
  <c r="AX282" i="1"/>
  <c r="AC344" i="1"/>
  <c r="AK335" i="1"/>
  <c r="AX326" i="1"/>
  <c r="AK318" i="1"/>
  <c r="AI313" i="1"/>
  <c r="AE310" i="1"/>
  <c r="AW306" i="1"/>
  <c r="AQ303" i="1"/>
  <c r="AM300" i="1"/>
  <c r="AI297" i="1"/>
  <c r="AE294" i="1"/>
  <c r="AW290" i="1"/>
  <c r="AQ287" i="1"/>
  <c r="AM284" i="1"/>
  <c r="AI281" i="1"/>
  <c r="AU351" i="1"/>
  <c r="AU342" i="1"/>
  <c r="AG334" i="1"/>
  <c r="AR325" i="1"/>
  <c r="AG317" i="1"/>
  <c r="AV312" i="1"/>
  <c r="AP309" i="1"/>
  <c r="AL306" i="1"/>
  <c r="AH303" i="1"/>
  <c r="AD300" i="1"/>
  <c r="AV296" i="1"/>
  <c r="AF358" i="1"/>
  <c r="AX346" i="1"/>
  <c r="AK338" i="1"/>
  <c r="AU329" i="1"/>
  <c r="AJ321" i="1"/>
  <c r="AR314" i="1"/>
  <c r="AG311" i="1"/>
  <c r="AC308" i="1"/>
  <c r="AU304" i="1"/>
  <c r="AO301" i="1"/>
  <c r="AK298" i="1"/>
  <c r="AG295" i="1"/>
  <c r="AX348" i="1"/>
  <c r="AW346" i="1"/>
  <c r="AI321" i="1"/>
  <c r="AV352" i="1"/>
  <c r="AD340" i="1"/>
  <c r="AH327" i="1"/>
  <c r="AL314" i="1"/>
  <c r="AK352" i="1"/>
  <c r="AN353" i="1"/>
  <c r="AR340" i="1"/>
  <c r="AF333" i="1"/>
  <c r="AJ324" i="1"/>
  <c r="AI354" i="1"/>
  <c r="AM345" i="1"/>
  <c r="AI336" i="1"/>
  <c r="AQ328" i="1"/>
  <c r="AW319" i="1"/>
  <c r="AD359" i="1"/>
  <c r="AL351" i="1"/>
  <c r="AP342" i="1"/>
  <c r="AL333" i="1"/>
  <c r="AV325" i="1"/>
  <c r="AD317" i="1"/>
  <c r="AK345" i="1"/>
  <c r="AG325" i="1"/>
  <c r="AH310" i="1"/>
  <c r="AD301" i="1"/>
  <c r="AL293" i="1"/>
  <c r="AP284" i="1"/>
  <c r="AG344" i="1"/>
  <c r="AC324" i="1"/>
  <c r="AU309" i="1"/>
  <c r="AO300" i="1"/>
  <c r="AC293" i="1"/>
  <c r="AU339" i="1"/>
  <c r="AE316" i="1"/>
  <c r="AR307" i="1"/>
  <c r="AX298" i="1"/>
  <c r="AR289" i="1"/>
  <c r="AF282" i="1"/>
  <c r="AX342" i="1"/>
  <c r="AK334" i="1"/>
  <c r="AU325" i="1"/>
  <c r="AJ317" i="1"/>
  <c r="AW312" i="1"/>
  <c r="AQ309" i="1"/>
  <c r="AM306" i="1"/>
  <c r="AI303" i="1"/>
  <c r="AE300" i="1"/>
  <c r="AW296" i="1"/>
  <c r="AQ293" i="1"/>
  <c r="AM290" i="1"/>
  <c r="AI287" i="1"/>
  <c r="AE284" i="1"/>
  <c r="AG350" i="1"/>
  <c r="AR341" i="1"/>
  <c r="AG333" i="1"/>
  <c r="AO324" i="1"/>
  <c r="AN316" i="1"/>
  <c r="AL312" i="1"/>
  <c r="AH309" i="1"/>
  <c r="AD306" i="1"/>
  <c r="AV302" i="1"/>
  <c r="AP299" i="1"/>
  <c r="AL296" i="1"/>
  <c r="AN356" i="1"/>
  <c r="AU345" i="1"/>
  <c r="AJ337" i="1"/>
  <c r="AU328" i="1"/>
  <c r="AG320" i="1"/>
  <c r="AG314" i="1"/>
  <c r="AU310" i="1"/>
  <c r="AO307" i="1"/>
  <c r="AK304" i="1"/>
  <c r="AG301" i="1"/>
  <c r="AC298" i="1"/>
  <c r="AU294" i="1"/>
  <c r="AK359" i="1"/>
  <c r="AU347" i="1"/>
  <c r="AJ339" i="1"/>
  <c r="AU330" i="1"/>
  <c r="AG322" i="1"/>
  <c r="AG315" i="1"/>
  <c r="AN311" i="1"/>
  <c r="AJ308" i="1"/>
  <c r="AF305" i="1"/>
  <c r="AX301" i="1"/>
  <c r="AR298" i="1"/>
  <c r="AN295" i="1"/>
  <c r="AJ292" i="1"/>
  <c r="AF289" i="1"/>
  <c r="AU332" i="1"/>
  <c r="AI296" i="1"/>
  <c r="AM287" i="1"/>
  <c r="AJ282" i="1"/>
  <c r="AQ278" i="1"/>
  <c r="AM275" i="1"/>
  <c r="AI272" i="1"/>
  <c r="AQ343" i="1"/>
  <c r="AE318" i="1"/>
  <c r="AL352" i="1"/>
  <c r="AP339" i="1"/>
  <c r="AV326" i="1"/>
  <c r="AD314" i="1"/>
  <c r="AC352" i="1"/>
  <c r="AF353" i="1"/>
  <c r="AJ340" i="1"/>
  <c r="AF331" i="1"/>
  <c r="AN323" i="1"/>
  <c r="AI352" i="1"/>
  <c r="AQ344" i="1"/>
  <c r="AW335" i="1"/>
  <c r="AQ326" i="1"/>
  <c r="AE319" i="1"/>
  <c r="AP358" i="1"/>
  <c r="AL349" i="1"/>
  <c r="AV341" i="1"/>
  <c r="AD333" i="1"/>
  <c r="AV323" i="1"/>
  <c r="AH316" i="1"/>
  <c r="AK344" i="1"/>
  <c r="AU319" i="1"/>
  <c r="AL309" i="1"/>
  <c r="AP300" i="1"/>
  <c r="AL291" i="1"/>
  <c r="AV283" i="1"/>
  <c r="AG343" i="1"/>
  <c r="AO318" i="1"/>
  <c r="AC309" i="1"/>
  <c r="AG300" i="1"/>
  <c r="AR337" i="1"/>
  <c r="AM315" i="1"/>
  <c r="AR305" i="1"/>
  <c r="AF298" i="1"/>
  <c r="AJ289" i="1"/>
  <c r="AU341" i="1"/>
  <c r="AJ333" i="1"/>
  <c r="AU324" i="1"/>
  <c r="AO316" i="1"/>
  <c r="AM312" i="1"/>
  <c r="AI309" i="1"/>
  <c r="AE306" i="1"/>
  <c r="AW302" i="1"/>
  <c r="AQ299" i="1"/>
  <c r="AM296" i="1"/>
  <c r="AI293" i="1"/>
  <c r="AE290" i="1"/>
  <c r="AW286" i="1"/>
  <c r="AQ283" i="1"/>
  <c r="AG349" i="1"/>
  <c r="AO340" i="1"/>
  <c r="AF332" i="1"/>
  <c r="AO323" i="1"/>
  <c r="AX315" i="1"/>
  <c r="AD312" i="1"/>
  <c r="AV308" i="1"/>
  <c r="AP305" i="1"/>
  <c r="AL302" i="1"/>
  <c r="AH299" i="1"/>
  <c r="AD296" i="1"/>
  <c r="AX354" i="1"/>
  <c r="AU344" i="1"/>
  <c r="AG336" i="1"/>
  <c r="AR327" i="1"/>
  <c r="AG319" i="1"/>
  <c r="AM340" i="1"/>
  <c r="AP349" i="1"/>
  <c r="AV336" i="1"/>
  <c r="AD324" i="1"/>
  <c r="AJ350" i="1"/>
  <c r="AN339" i="1"/>
  <c r="AR330" i="1"/>
  <c r="AN321" i="1"/>
  <c r="AW351" i="1"/>
  <c r="AQ342" i="1"/>
  <c r="AE335" i="1"/>
  <c r="AI326" i="1"/>
  <c r="AE317" i="1"/>
  <c r="AV357" i="1"/>
  <c r="AD349" i="1"/>
  <c r="AV339" i="1"/>
  <c r="AH332" i="1"/>
  <c r="AL323" i="1"/>
  <c r="AH314" i="1"/>
  <c r="AG342" i="1"/>
  <c r="AU318" i="1"/>
  <c r="AL307" i="1"/>
  <c r="AV299" i="1"/>
  <c r="AD291" i="1"/>
  <c r="AV281" i="1"/>
  <c r="AC341" i="1"/>
  <c r="AO317" i="1"/>
  <c r="AC307" i="1"/>
  <c r="AK299" i="1"/>
  <c r="AK332" i="1"/>
  <c r="AK314" i="1"/>
  <c r="AJ305" i="1"/>
  <c r="AF296" i="1"/>
  <c r="AN288" i="1"/>
  <c r="AN358" i="1"/>
  <c r="AU340" i="1"/>
  <c r="AG332" i="1"/>
  <c r="AR323" i="1"/>
  <c r="AC316" i="1"/>
  <c r="AE312" i="1"/>
  <c r="AW308" i="1"/>
  <c r="AQ305" i="1"/>
  <c r="AM302" i="1"/>
  <c r="AI299" i="1"/>
  <c r="AE296" i="1"/>
  <c r="AW292" i="1"/>
  <c r="AQ289" i="1"/>
  <c r="AM286" i="1"/>
  <c r="AI283" i="1"/>
  <c r="AU359" i="1"/>
  <c r="AF348" i="1"/>
  <c r="AO339" i="1"/>
  <c r="AC331" i="1"/>
  <c r="AN322" i="1"/>
  <c r="AJ315" i="1"/>
  <c r="AP311" i="1"/>
  <c r="AL308" i="1"/>
  <c r="AH305" i="1"/>
  <c r="AD302" i="1"/>
  <c r="AV298" i="1"/>
  <c r="AP295" i="1"/>
  <c r="AJ353" i="1"/>
  <c r="AR343" i="1"/>
  <c r="AG335" i="1"/>
  <c r="AO326" i="1"/>
  <c r="AF318" i="1"/>
  <c r="AG313" i="1"/>
  <c r="AC310" i="1"/>
  <c r="AU306" i="1"/>
  <c r="AO303" i="1"/>
  <c r="AK300" i="1"/>
  <c r="AG297" i="1"/>
  <c r="AC294" i="1"/>
  <c r="AG356" i="1"/>
  <c r="AR345" i="1"/>
  <c r="AG337" i="1"/>
  <c r="AO328" i="1"/>
  <c r="AF320" i="1"/>
  <c r="AF314" i="1"/>
  <c r="AR310" i="1"/>
  <c r="AN307" i="1"/>
  <c r="AJ304" i="1"/>
  <c r="AF301" i="1"/>
  <c r="AX297" i="1"/>
  <c r="AR294" i="1"/>
  <c r="AN291" i="1"/>
  <c r="AJ288" i="1"/>
  <c r="AJ316" i="1"/>
  <c r="AL292" i="1"/>
  <c r="AG286" i="1"/>
  <c r="AE281" i="1"/>
  <c r="AW277" i="1"/>
  <c r="AQ274" i="1"/>
  <c r="AM271" i="1"/>
  <c r="AI337" i="1"/>
  <c r="AN337" i="1"/>
  <c r="AQ316" i="1"/>
  <c r="AW316" i="1"/>
  <c r="AK297" i="1"/>
  <c r="AR339" i="1"/>
  <c r="AW298" i="1"/>
  <c r="AN338" i="1"/>
  <c r="AL298" i="1"/>
  <c r="AU312" i="1"/>
  <c r="AC304" i="1"/>
  <c r="AC296" i="1"/>
  <c r="AO344" i="1"/>
  <c r="AO327" i="1"/>
  <c r="AO313" i="1"/>
  <c r="AF307" i="1"/>
  <c r="AR300" i="1"/>
  <c r="AJ294" i="1"/>
  <c r="AX287" i="1"/>
  <c r="AM291" i="1"/>
  <c r="AQ280" i="1"/>
  <c r="AI274" i="1"/>
  <c r="AQ268" i="1"/>
  <c r="AQ264" i="1"/>
  <c r="AW259" i="1"/>
  <c r="AW255" i="1"/>
  <c r="AI302" i="1"/>
  <c r="AD286" i="1"/>
  <c r="AH280" i="1"/>
  <c r="AH276" i="1"/>
  <c r="AL271" i="1"/>
  <c r="AL267" i="1"/>
  <c r="AL263" i="1"/>
  <c r="AP258" i="1"/>
  <c r="AP254" i="1"/>
  <c r="AP250" i="1"/>
  <c r="AV245" i="1"/>
  <c r="AV241" i="1"/>
  <c r="AI308" i="1"/>
  <c r="AH287" i="1"/>
  <c r="AC281" i="1"/>
  <c r="AC277" i="1"/>
  <c r="AG272" i="1"/>
  <c r="AC269" i="1"/>
  <c r="AU265" i="1"/>
  <c r="AO262" i="1"/>
  <c r="AK259" i="1"/>
  <c r="AG256" i="1"/>
  <c r="AC253" i="1"/>
  <c r="AU249" i="1"/>
  <c r="AO246" i="1"/>
  <c r="AE311" i="1"/>
  <c r="AG291" i="1"/>
  <c r="AH285" i="1"/>
  <c r="AN280" i="1"/>
  <c r="AJ277" i="1"/>
  <c r="AF274" i="1"/>
  <c r="AX270" i="1"/>
  <c r="AR267" i="1"/>
  <c r="AN264" i="1"/>
  <c r="AJ261" i="1"/>
  <c r="AF258" i="1"/>
  <c r="AX254" i="1"/>
  <c r="AR251" i="1"/>
  <c r="AN248" i="1"/>
  <c r="AJ245" i="1"/>
  <c r="AF242" i="1"/>
  <c r="AM307" i="1"/>
  <c r="AI290" i="1"/>
  <c r="AO284" i="1"/>
  <c r="AE280" i="1"/>
  <c r="AW276" i="1"/>
  <c r="AQ273" i="1"/>
  <c r="AM270" i="1"/>
  <c r="AI267" i="1"/>
  <c r="AE264" i="1"/>
  <c r="AW260" i="1"/>
  <c r="AE307" i="1"/>
  <c r="AG290" i="1"/>
  <c r="AL284" i="1"/>
  <c r="AD280" i="1"/>
  <c r="AV276" i="1"/>
  <c r="AP273" i="1"/>
  <c r="AL270" i="1"/>
  <c r="AH267" i="1"/>
  <c r="AD264" i="1"/>
  <c r="AV260" i="1"/>
  <c r="AQ306" i="1"/>
  <c r="AX329" i="1"/>
  <c r="AV355" i="1"/>
  <c r="AD307" i="1"/>
  <c r="AC357" i="1"/>
  <c r="AG331" i="1"/>
  <c r="AQ295" i="1"/>
  <c r="AC330" i="1"/>
  <c r="AH295" i="1"/>
  <c r="AC312" i="1"/>
  <c r="AG303" i="1"/>
  <c r="AK294" i="1"/>
  <c r="AN342" i="1"/>
  <c r="AK325" i="1"/>
  <c r="AR312" i="1"/>
  <c r="AJ306" i="1"/>
  <c r="AX299" i="1"/>
  <c r="AN293" i="1"/>
  <c r="AW289" i="1"/>
  <c r="AW279" i="1"/>
  <c r="AM273" i="1"/>
  <c r="AI268" i="1"/>
  <c r="AW263" i="1"/>
  <c r="AM259" i="1"/>
  <c r="AW295" i="1"/>
  <c r="AM285" i="1"/>
  <c r="AV279" i="1"/>
  <c r="AL275" i="1"/>
  <c r="AD271" i="1"/>
  <c r="AD267" i="1"/>
  <c r="AP262" i="1"/>
  <c r="AH258" i="1"/>
  <c r="AH254" i="1"/>
  <c r="AV249" i="1"/>
  <c r="AL245" i="1"/>
  <c r="AL241" i="1"/>
  <c r="AW301" i="1"/>
  <c r="AQ286" i="1"/>
  <c r="AO280" i="1"/>
  <c r="AG276" i="1"/>
  <c r="AU271" i="1"/>
  <c r="AO268" i="1"/>
  <c r="AK265" i="1"/>
  <c r="AG262" i="1"/>
  <c r="AC259" i="1"/>
  <c r="AU255" i="1"/>
  <c r="AO252" i="1"/>
  <c r="AK249" i="1"/>
  <c r="AG246" i="1"/>
  <c r="AW307" i="1"/>
  <c r="AK290" i="1"/>
  <c r="AQ284" i="1"/>
  <c r="AF280" i="1"/>
  <c r="AX276" i="1"/>
  <c r="AR273" i="1"/>
  <c r="AN270" i="1"/>
  <c r="AJ267" i="1"/>
  <c r="AF264" i="1"/>
  <c r="AX260" i="1"/>
  <c r="AR257" i="1"/>
  <c r="AN254" i="1"/>
  <c r="AJ251" i="1"/>
  <c r="AF248" i="1"/>
  <c r="AX244" i="1"/>
  <c r="AF356" i="1"/>
  <c r="AI304" i="1"/>
  <c r="AM289" i="1"/>
  <c r="AX283" i="1"/>
  <c r="AQ279" i="1"/>
  <c r="AM276" i="1"/>
  <c r="AI273" i="1"/>
  <c r="AE270" i="1"/>
  <c r="AW266" i="1"/>
  <c r="AQ263" i="1"/>
  <c r="AN354" i="1"/>
  <c r="AW303" i="1"/>
  <c r="AK289" i="1"/>
  <c r="AW283" i="1"/>
  <c r="AP279" i="1"/>
  <c r="AL276" i="1"/>
  <c r="AH273" i="1"/>
  <c r="AD270" i="1"/>
  <c r="AV266" i="1"/>
  <c r="AP263" i="1"/>
  <c r="AX352" i="1"/>
  <c r="AM303" i="1"/>
  <c r="AH289" i="1"/>
  <c r="AU283" i="1"/>
  <c r="AO279" i="1"/>
  <c r="AK276" i="1"/>
  <c r="AG273" i="1"/>
  <c r="AC270" i="1"/>
  <c r="AU266" i="1"/>
  <c r="AO263" i="1"/>
  <c r="AK260" i="1"/>
  <c r="AG257" i="1"/>
  <c r="AC254" i="1"/>
  <c r="AU250" i="1"/>
  <c r="AP283" i="1"/>
  <c r="AN259" i="1"/>
  <c r="AE252" i="1"/>
  <c r="AK246" i="1"/>
  <c r="AD242" i="1"/>
  <c r="AQ238" i="1"/>
  <c r="AM235" i="1"/>
  <c r="AI232" i="1"/>
  <c r="AX275" i="1"/>
  <c r="AH257" i="1"/>
  <c r="AL250" i="1"/>
  <c r="AG245" i="1"/>
  <c r="AE241" i="1"/>
  <c r="AV237" i="1"/>
  <c r="AP234" i="1"/>
  <c r="AL231" i="1"/>
  <c r="AH228" i="1"/>
  <c r="AD225" i="1"/>
  <c r="AV221" i="1"/>
  <c r="AP218" i="1"/>
  <c r="AL215" i="1"/>
  <c r="AH212" i="1"/>
  <c r="AD209" i="1"/>
  <c r="AN275" i="1"/>
  <c r="AF257" i="1"/>
  <c r="AJ250" i="1"/>
  <c r="AF245" i="1"/>
  <c r="AC241" i="1"/>
  <c r="AH349" i="1"/>
  <c r="AF321" i="1"/>
  <c r="AH348" i="1"/>
  <c r="AV297" i="1"/>
  <c r="AJ331" i="1"/>
  <c r="AO322" i="1"/>
  <c r="AM292" i="1"/>
  <c r="AK321" i="1"/>
  <c r="AR351" i="1"/>
  <c r="AK310" i="1"/>
  <c r="AK302" i="1"/>
  <c r="AO293" i="1"/>
  <c r="AK340" i="1"/>
  <c r="AJ323" i="1"/>
  <c r="AX311" i="1"/>
  <c r="AN305" i="1"/>
  <c r="AF299" i="1"/>
  <c r="AR292" i="1"/>
  <c r="AJ341" i="1"/>
  <c r="AI288" i="1"/>
  <c r="AE279" i="1"/>
  <c r="AQ272" i="1"/>
  <c r="AW267" i="1"/>
  <c r="AE263" i="1"/>
  <c r="AE259" i="1"/>
  <c r="AU348" i="1"/>
  <c r="AK292" i="1"/>
  <c r="AU284" i="1"/>
  <c r="AL279" i="1"/>
  <c r="AP274" i="1"/>
  <c r="AP270" i="1"/>
  <c r="AP266" i="1"/>
  <c r="AV261" i="1"/>
  <c r="AV257" i="1"/>
  <c r="AV253" i="1"/>
  <c r="AD249" i="1"/>
  <c r="AD245" i="1"/>
  <c r="AD241" i="1"/>
  <c r="AM295" i="1"/>
  <c r="AC286" i="1"/>
  <c r="AG280" i="1"/>
  <c r="AK275" i="1"/>
  <c r="AK271" i="1"/>
  <c r="AG268" i="1"/>
  <c r="AC265" i="1"/>
  <c r="AU261" i="1"/>
  <c r="AO258" i="1"/>
  <c r="AK255" i="1"/>
  <c r="AG252" i="1"/>
  <c r="AC249" i="1"/>
  <c r="AR357" i="1"/>
  <c r="AQ304" i="1"/>
  <c r="AO289" i="1"/>
  <c r="AC284" i="1"/>
  <c r="AR279" i="1"/>
  <c r="AN276" i="1"/>
  <c r="AJ273" i="1"/>
  <c r="AF270" i="1"/>
  <c r="AX266" i="1"/>
  <c r="AR263" i="1"/>
  <c r="AN260" i="1"/>
  <c r="AJ257" i="1"/>
  <c r="AF254" i="1"/>
  <c r="AX250" i="1"/>
  <c r="AR247" i="1"/>
  <c r="AN244" i="1"/>
  <c r="AO345" i="1"/>
  <c r="AE301" i="1"/>
  <c r="AQ288" i="1"/>
  <c r="AH283" i="1"/>
  <c r="AI279" i="1"/>
  <c r="AE276" i="1"/>
  <c r="AW272" i="1"/>
  <c r="AQ269" i="1"/>
  <c r="AM266" i="1"/>
  <c r="AI263" i="1"/>
  <c r="AN344" i="1"/>
  <c r="AQ300" i="1"/>
  <c r="AO288" i="1"/>
  <c r="AG283" i="1"/>
  <c r="AH279" i="1"/>
  <c r="AD276" i="1"/>
  <c r="AV272" i="1"/>
  <c r="AP269" i="1"/>
  <c r="AL266" i="1"/>
  <c r="AH263" i="1"/>
  <c r="AK343" i="1"/>
  <c r="AI300" i="1"/>
  <c r="AL336" i="1"/>
  <c r="AQ358" i="1"/>
  <c r="AL339" i="1"/>
  <c r="AH290" i="1"/>
  <c r="AF312" i="1"/>
  <c r="AK315" i="1"/>
  <c r="AI289" i="1"/>
  <c r="AU314" i="1"/>
  <c r="AO342" i="1"/>
  <c r="AO309" i="1"/>
  <c r="AU300" i="1"/>
  <c r="AU292" i="1"/>
  <c r="AG338" i="1"/>
  <c r="AG321" i="1"/>
  <c r="AF311" i="1"/>
  <c r="AR304" i="1"/>
  <c r="AJ298" i="1"/>
  <c r="AX291" i="1"/>
  <c r="AG324" i="1"/>
  <c r="AU286" i="1"/>
  <c r="AI278" i="1"/>
  <c r="AW271" i="1"/>
  <c r="AE267" i="1"/>
  <c r="AQ262" i="1"/>
  <c r="AQ258" i="1"/>
  <c r="AR331" i="1"/>
  <c r="AK291" i="1"/>
  <c r="AG284" i="1"/>
  <c r="AP278" i="1"/>
  <c r="AH274" i="1"/>
  <c r="AH270" i="1"/>
  <c r="AV265" i="1"/>
  <c r="AL261" i="1"/>
  <c r="AL257" i="1"/>
  <c r="AD253" i="1"/>
  <c r="AP248" i="1"/>
  <c r="AP244" i="1"/>
  <c r="AR347" i="1"/>
  <c r="AP293" i="1"/>
  <c r="AK285" i="1"/>
  <c r="AK279" i="1"/>
  <c r="AC275" i="1"/>
  <c r="AC271" i="1"/>
  <c r="AU267" i="1"/>
  <c r="AO264" i="1"/>
  <c r="AK261" i="1"/>
  <c r="AG258" i="1"/>
  <c r="AC255" i="1"/>
  <c r="AU251" i="1"/>
  <c r="AO248" i="1"/>
  <c r="AO346" i="1"/>
  <c r="AM301" i="1"/>
  <c r="AU288" i="1"/>
  <c r="AK283" i="1"/>
  <c r="AJ279" i="1"/>
  <c r="AF276" i="1"/>
  <c r="AX272" i="1"/>
  <c r="AR269" i="1"/>
  <c r="AN266" i="1"/>
  <c r="AJ263" i="1"/>
  <c r="AF260" i="1"/>
  <c r="AX256" i="1"/>
  <c r="AR253" i="1"/>
  <c r="AN250" i="1"/>
  <c r="AJ247" i="1"/>
  <c r="AF244" i="1"/>
  <c r="AC337" i="1"/>
  <c r="AW297" i="1"/>
  <c r="AW287" i="1"/>
  <c r="AQ282" i="1"/>
  <c r="AW278" i="1"/>
  <c r="AQ275" i="1"/>
  <c r="AM272" i="1"/>
  <c r="AI269" i="1"/>
  <c r="AE266" i="1"/>
  <c r="AW262" i="1"/>
  <c r="AC336" i="1"/>
  <c r="AM297" i="1"/>
  <c r="AP323" i="1"/>
  <c r="AE351" i="1"/>
  <c r="AH330" i="1"/>
  <c r="AL281" i="1"/>
  <c r="AN304" i="1"/>
  <c r="AQ311" i="1"/>
  <c r="AE286" i="1"/>
  <c r="AH311" i="1"/>
  <c r="AF334" i="1"/>
  <c r="AU308" i="1"/>
  <c r="AC300" i="1"/>
  <c r="AU357" i="1"/>
  <c r="AF336" i="1"/>
  <c r="AC319" i="1"/>
  <c r="AJ310" i="1"/>
  <c r="AX303" i="1"/>
  <c r="AN297" i="1"/>
  <c r="AF291" i="1"/>
  <c r="AI312" i="1"/>
  <c r="AN285" i="1"/>
  <c r="AM277" i="1"/>
  <c r="AE271" i="1"/>
  <c r="AI266" i="1"/>
  <c r="AI262" i="1"/>
  <c r="AI258" i="1"/>
  <c r="AQ315" i="1"/>
  <c r="AO290" i="1"/>
  <c r="AN283" i="1"/>
  <c r="AV277" i="1"/>
  <c r="AV273" i="1"/>
  <c r="AV269" i="1"/>
  <c r="AD265" i="1"/>
  <c r="AD261" i="1"/>
  <c r="AD257" i="1"/>
  <c r="AH252" i="1"/>
  <c r="AH248" i="1"/>
  <c r="AH244" i="1"/>
  <c r="AO330" i="1"/>
  <c r="AI292" i="1"/>
  <c r="AR284" i="1"/>
  <c r="AO278" i="1"/>
  <c r="AO274" i="1"/>
  <c r="AO270" i="1"/>
  <c r="AK267" i="1"/>
  <c r="AG264" i="1"/>
  <c r="AC261" i="1"/>
  <c r="AU257" i="1"/>
  <c r="AO254" i="1"/>
  <c r="AK251" i="1"/>
  <c r="AG248" i="1"/>
  <c r="AF338" i="1"/>
  <c r="AI298" i="1"/>
  <c r="AC288" i="1"/>
  <c r="AR282" i="1"/>
  <c r="AX278" i="1"/>
  <c r="AR275" i="1"/>
  <c r="AN272" i="1"/>
  <c r="AJ269" i="1"/>
  <c r="AF266" i="1"/>
  <c r="AX262" i="1"/>
  <c r="AR259" i="1"/>
  <c r="AN256" i="1"/>
  <c r="AJ253" i="1"/>
  <c r="AF250" i="1"/>
  <c r="AX246" i="1"/>
  <c r="AR243" i="1"/>
  <c r="AN328" i="1"/>
  <c r="AV294" i="1"/>
  <c r="AF287" i="1"/>
  <c r="AC282" i="1"/>
  <c r="AM278" i="1"/>
  <c r="AI275" i="1"/>
  <c r="AE272" i="1"/>
  <c r="AW268" i="1"/>
  <c r="AQ265" i="1"/>
  <c r="AM262" i="1"/>
  <c r="AK327" i="1"/>
  <c r="AQ294" i="1"/>
  <c r="AE287" i="1"/>
  <c r="AX281" i="1"/>
  <c r="AL278" i="1"/>
  <c r="AH275" i="1"/>
  <c r="AD272" i="1"/>
  <c r="AV268" i="1"/>
  <c r="AP265" i="1"/>
  <c r="AL262" i="1"/>
  <c r="AK326" i="1"/>
  <c r="AL294" i="1"/>
  <c r="AC287" i="1"/>
  <c r="AW281" i="1"/>
  <c r="AK278" i="1"/>
  <c r="AG275" i="1"/>
  <c r="AC272" i="1"/>
  <c r="AU268" i="1"/>
  <c r="AO265" i="1"/>
  <c r="AK262" i="1"/>
  <c r="AG259" i="1"/>
  <c r="AC256" i="1"/>
  <c r="AU252" i="1"/>
  <c r="AO249" i="1"/>
  <c r="AF273" i="1"/>
  <c r="AJ256" i="1"/>
  <c r="AQ249" i="1"/>
  <c r="AR244" i="1"/>
  <c r="AQ240" i="1"/>
  <c r="AM237" i="1"/>
  <c r="AI234" i="1"/>
  <c r="AK342" i="1"/>
  <c r="AJ266" i="1"/>
  <c r="AL254" i="1"/>
  <c r="AI248" i="1"/>
  <c r="AO243" i="1"/>
  <c r="AV239" i="1"/>
  <c r="AP236" i="1"/>
  <c r="AI342" i="1"/>
  <c r="AP322" i="1"/>
  <c r="AR335" i="1"/>
  <c r="AR295" i="1"/>
  <c r="AM308" i="1"/>
  <c r="AW282" i="1"/>
  <c r="AD308" i="1"/>
  <c r="AO325" i="1"/>
  <c r="AG307" i="1"/>
  <c r="AG299" i="1"/>
  <c r="AO354" i="1"/>
  <c r="AC334" i="1"/>
  <c r="AC317" i="1"/>
  <c r="AN309" i="1"/>
  <c r="AF303" i="1"/>
  <c r="AR296" i="1"/>
  <c r="AJ290" i="1"/>
  <c r="AW305" i="1"/>
  <c r="AI284" i="1"/>
  <c r="AQ276" i="1"/>
  <c r="AI270" i="1"/>
  <c r="AW265" i="1"/>
  <c r="AW261" i="1"/>
  <c r="AM257" i="1"/>
  <c r="AW311" i="1"/>
  <c r="AU289" i="1"/>
  <c r="AI282" i="1"/>
  <c r="AL277" i="1"/>
  <c r="AL273" i="1"/>
  <c r="AD269" i="1"/>
  <c r="AP264" i="1"/>
  <c r="AP260" i="1"/>
  <c r="AH256" i="1"/>
  <c r="AV251" i="1"/>
  <c r="AV247" i="1"/>
  <c r="AL243" i="1"/>
  <c r="AF322" i="1"/>
  <c r="AH291" i="1"/>
  <c r="AM283" i="1"/>
  <c r="AG278" i="1"/>
  <c r="AG274" i="1"/>
  <c r="AG270" i="1"/>
  <c r="AC267" i="1"/>
  <c r="AU263" i="1"/>
  <c r="AO260" i="1"/>
  <c r="AK257" i="1"/>
  <c r="AG254" i="1"/>
  <c r="AC251" i="1"/>
  <c r="AU247" i="1"/>
  <c r="AO329" i="1"/>
  <c r="AE295" i="1"/>
  <c r="AG287" i="1"/>
  <c r="AD282" i="1"/>
  <c r="AN278" i="1"/>
  <c r="AJ275" i="1"/>
  <c r="AF272" i="1"/>
  <c r="AX268" i="1"/>
  <c r="AR265" i="1"/>
  <c r="AN262" i="1"/>
  <c r="AJ259" i="1"/>
  <c r="AF256" i="1"/>
  <c r="AX252" i="1"/>
  <c r="AR249" i="1"/>
  <c r="AN246" i="1"/>
  <c r="AJ243" i="1"/>
  <c r="AC320" i="1"/>
  <c r="AH293" i="1"/>
  <c r="AL286" i="1"/>
  <c r="AK281" i="1"/>
  <c r="AE278" i="1"/>
  <c r="AW274" i="1"/>
  <c r="AQ271" i="1"/>
  <c r="AM268" i="1"/>
  <c r="AI265" i="1"/>
  <c r="AE262" i="1"/>
  <c r="AX318" i="1"/>
  <c r="AE293" i="1"/>
  <c r="AK286" i="1"/>
  <c r="AH281" i="1"/>
  <c r="AD278" i="1"/>
  <c r="AV274" i="1"/>
  <c r="AP271" i="1"/>
  <c r="AL268" i="1"/>
  <c r="AH265" i="1"/>
  <c r="AD262" i="1"/>
  <c r="AU317" i="1"/>
  <c r="AV292" i="1"/>
  <c r="AJ286" i="1"/>
  <c r="AG281" i="1"/>
  <c r="AC278" i="1"/>
  <c r="AU274" i="1"/>
  <c r="AO271" i="1"/>
  <c r="AK268" i="1"/>
  <c r="AG265" i="1"/>
  <c r="AC262" i="1"/>
  <c r="AU258" i="1"/>
  <c r="AO255" i="1"/>
  <c r="AK252" i="1"/>
  <c r="AG249" i="1"/>
  <c r="AX269" i="1"/>
  <c r="AI255" i="1"/>
  <c r="AW248" i="1"/>
  <c r="AG244" i="1"/>
  <c r="AI240" i="1"/>
  <c r="AE237" i="1"/>
  <c r="AW233" i="1"/>
  <c r="AW299" i="1"/>
  <c r="AF263" i="1"/>
  <c r="AP253" i="1"/>
  <c r="AO247" i="1"/>
  <c r="AE243" i="1"/>
  <c r="AL239" i="1"/>
  <c r="AH236" i="1"/>
  <c r="AD233" i="1"/>
  <c r="AV229" i="1"/>
  <c r="AP226" i="1"/>
  <c r="AL223" i="1"/>
  <c r="AH220" i="1"/>
  <c r="AD217" i="1"/>
  <c r="AV213" i="1"/>
  <c r="AP210" i="1"/>
  <c r="AQ296" i="1"/>
  <c r="AR262" i="1"/>
  <c r="AN253" i="1"/>
  <c r="AN247" i="1"/>
  <c r="AC243" i="1"/>
  <c r="AE333" i="1"/>
  <c r="AV313" i="1"/>
  <c r="AF316" i="1"/>
  <c r="AN286" i="1"/>
  <c r="AI305" i="1"/>
  <c r="AG358" i="1"/>
  <c r="AV304" i="1"/>
  <c r="AF317" i="1"/>
  <c r="AK306" i="1"/>
  <c r="AO297" i="1"/>
  <c r="AK351" i="1"/>
  <c r="AU331" i="1"/>
  <c r="AR315" i="1"/>
  <c r="AR308" i="1"/>
  <c r="AJ302" i="1"/>
  <c r="AX295" i="1"/>
  <c r="AN289" i="1"/>
  <c r="AM299" i="1"/>
  <c r="AC283" i="1"/>
  <c r="AW275" i="1"/>
  <c r="AM269" i="1"/>
  <c r="AM265" i="1"/>
  <c r="AM261" i="1"/>
  <c r="AQ256" i="1"/>
  <c r="AQ308" i="1"/>
  <c r="AC289" i="1"/>
  <c r="AD281" i="1"/>
  <c r="AD277" i="1"/>
  <c r="AD273" i="1"/>
  <c r="AH268" i="1"/>
  <c r="AH264" i="1"/>
  <c r="AH260" i="1"/>
  <c r="AL255" i="1"/>
  <c r="AL251" i="1"/>
  <c r="AL247" i="1"/>
  <c r="AP242" i="1"/>
  <c r="AF315" i="1"/>
  <c r="AL290" i="1"/>
  <c r="AG282" i="1"/>
  <c r="AU277" i="1"/>
  <c r="AU273" i="1"/>
  <c r="AU269" i="1"/>
  <c r="AO266" i="1"/>
  <c r="AK263" i="1"/>
  <c r="AG260" i="1"/>
  <c r="AC257" i="1"/>
  <c r="AU253" i="1"/>
  <c r="AO250" i="1"/>
  <c r="AK247" i="1"/>
  <c r="AC321" i="1"/>
  <c r="AM293" i="1"/>
  <c r="AO286" i="1"/>
  <c r="AM281" i="1"/>
  <c r="AF278" i="1"/>
  <c r="AX274" i="1"/>
  <c r="AR271" i="1"/>
  <c r="AN268" i="1"/>
  <c r="AJ265" i="1"/>
  <c r="AF262" i="1"/>
  <c r="AX258" i="1"/>
  <c r="AR255" i="1"/>
  <c r="AN252" i="1"/>
  <c r="AJ249" i="1"/>
  <c r="AF246" i="1"/>
  <c r="AX242" i="1"/>
  <c r="AE314" i="1"/>
  <c r="AC292" i="1"/>
  <c r="AW285" i="1"/>
  <c r="AW280" i="1"/>
  <c r="AQ277" i="1"/>
  <c r="AM274" i="1"/>
  <c r="AI271" i="1"/>
  <c r="AE268" i="1"/>
  <c r="AW264" i="1"/>
  <c r="AQ261" i="1"/>
  <c r="AN313" i="1"/>
  <c r="AW291" i="1"/>
  <c r="AU285" i="1"/>
  <c r="AV280" i="1"/>
  <c r="AP277" i="1"/>
  <c r="AL274" i="1"/>
  <c r="AH271" i="1"/>
  <c r="AD268" i="1"/>
  <c r="AV264" i="1"/>
  <c r="AP261" i="1"/>
  <c r="AE313" i="1"/>
  <c r="AP291" i="1"/>
  <c r="AP285" i="1"/>
  <c r="AU280" i="1"/>
  <c r="AO277" i="1"/>
  <c r="AK274" i="1"/>
  <c r="AG271" i="1"/>
  <c r="AC268" i="1"/>
  <c r="AU264" i="1"/>
  <c r="AO261" i="1"/>
  <c r="AK258" i="1"/>
  <c r="AG255" i="1"/>
  <c r="AC252" i="1"/>
  <c r="AJ351" i="1"/>
  <c r="AR266" i="1"/>
  <c r="AM254" i="1"/>
  <c r="AJ248" i="1"/>
  <c r="AP243" i="1"/>
  <c r="AW239" i="1"/>
  <c r="AQ236" i="1"/>
  <c r="AM233" i="1"/>
  <c r="AK288" i="1"/>
  <c r="AL260" i="1"/>
  <c r="AV252" i="1"/>
  <c r="AW246" i="1"/>
  <c r="AM242" i="1"/>
  <c r="AD239" i="1"/>
  <c r="AV235" i="1"/>
  <c r="AX349" i="1"/>
  <c r="AQ313" i="1"/>
  <c r="AF295" i="1"/>
  <c r="AI256" i="1"/>
  <c r="AL259" i="1"/>
  <c r="AK277" i="1"/>
  <c r="AG250" i="1"/>
  <c r="AJ271" i="1"/>
  <c r="AR245" i="1"/>
  <c r="AW270" i="1"/>
  <c r="AO282" i="1"/>
  <c r="AH269" i="1"/>
  <c r="AE297" i="1"/>
  <c r="AL282" i="1"/>
  <c r="AO275" i="1"/>
  <c r="AG269" i="1"/>
  <c r="AU262" i="1"/>
  <c r="AK256" i="1"/>
  <c r="AC250" i="1"/>
  <c r="AI257" i="1"/>
  <c r="AH245" i="1"/>
  <c r="AW237" i="1"/>
  <c r="AM231" i="1"/>
  <c r="AH255" i="1"/>
  <c r="AE244" i="1"/>
  <c r="AD237" i="1"/>
  <c r="AV231" i="1"/>
  <c r="AL227" i="1"/>
  <c r="AD223" i="1"/>
  <c r="AD219" i="1"/>
  <c r="AP214" i="1"/>
  <c r="AH210" i="1"/>
  <c r="AR278" i="1"/>
  <c r="AF255" i="1"/>
  <c r="AV246" i="1"/>
  <c r="AM241" i="1"/>
  <c r="AU237" i="1"/>
  <c r="AO234" i="1"/>
  <c r="AJ325" i="1"/>
  <c r="AN265" i="1"/>
  <c r="AI254" i="1"/>
  <c r="AD248" i="1"/>
  <c r="AM243" i="1"/>
  <c r="AR239" i="1"/>
  <c r="AN236" i="1"/>
  <c r="AJ233" i="1"/>
  <c r="AF230" i="1"/>
  <c r="AX226" i="1"/>
  <c r="AR223" i="1"/>
  <c r="AN220" i="1"/>
  <c r="AJ217" i="1"/>
  <c r="AF214" i="1"/>
  <c r="AX210" i="1"/>
  <c r="AR207" i="1"/>
  <c r="AN204" i="1"/>
  <c r="AJ201" i="1"/>
  <c r="AF281" i="1"/>
  <c r="AW258" i="1"/>
  <c r="AQ251" i="1"/>
  <c r="AD246" i="1"/>
  <c r="AU241" i="1"/>
  <c r="AM238" i="1"/>
  <c r="AI235" i="1"/>
  <c r="AE232" i="1"/>
  <c r="AW228" i="1"/>
  <c r="AQ225" i="1"/>
  <c r="AM222" i="1"/>
  <c r="AI219" i="1"/>
  <c r="AO285" i="1"/>
  <c r="AX259" i="1"/>
  <c r="AL252" i="1"/>
  <c r="AQ246" i="1"/>
  <c r="AI242" i="1"/>
  <c r="AV238" i="1"/>
  <c r="AP235" i="1"/>
  <c r="AL232" i="1"/>
  <c r="AH229" i="1"/>
  <c r="AD226" i="1"/>
  <c r="AV222" i="1"/>
  <c r="AP219" i="1"/>
  <c r="AC285" i="1"/>
  <c r="AQ259" i="1"/>
  <c r="AM325" i="1"/>
  <c r="AO305" i="1"/>
  <c r="AR288" i="1"/>
  <c r="AM305" i="1"/>
  <c r="AD255" i="1"/>
  <c r="AC273" i="1"/>
  <c r="AC247" i="1"/>
  <c r="AF268" i="1"/>
  <c r="AN242" i="1"/>
  <c r="AQ267" i="1"/>
  <c r="AL280" i="1"/>
  <c r="AP267" i="1"/>
  <c r="AV290" i="1"/>
  <c r="AK280" i="1"/>
  <c r="AC274" i="1"/>
  <c r="AO267" i="1"/>
  <c r="AG261" i="1"/>
  <c r="AU254" i="1"/>
  <c r="AE303" i="1"/>
  <c r="AQ253" i="1"/>
  <c r="AF243" i="1"/>
  <c r="AI236" i="1"/>
  <c r="AE283" i="1"/>
  <c r="AD252" i="1"/>
  <c r="AC242" i="1"/>
  <c r="AL235" i="1"/>
  <c r="AD231" i="1"/>
  <c r="AD227" i="1"/>
  <c r="AP222" i="1"/>
  <c r="AH218" i="1"/>
  <c r="AH214" i="1"/>
  <c r="AV209" i="1"/>
  <c r="AJ272" i="1"/>
  <c r="AJ254" i="1"/>
  <c r="AI246" i="1"/>
  <c r="AO240" i="1"/>
  <c r="AK237" i="1"/>
  <c r="AG234" i="1"/>
  <c r="AI294" i="1"/>
  <c r="AJ262" i="1"/>
  <c r="AM253" i="1"/>
  <c r="AM247" i="1"/>
  <c r="AW242" i="1"/>
  <c r="AJ239" i="1"/>
  <c r="AF236" i="1"/>
  <c r="AX232" i="1"/>
  <c r="AR229" i="1"/>
  <c r="AN226" i="1"/>
  <c r="AJ223" i="1"/>
  <c r="AF220" i="1"/>
  <c r="AX216" i="1"/>
  <c r="AR213" i="1"/>
  <c r="AN210" i="1"/>
  <c r="AJ207" i="1"/>
  <c r="AF204" i="1"/>
  <c r="AX200" i="1"/>
  <c r="AX277" i="1"/>
  <c r="AX257" i="1"/>
  <c r="AW250" i="1"/>
  <c r="AN245" i="1"/>
  <c r="AJ241" i="1"/>
  <c r="AE238" i="1"/>
  <c r="AW234" i="1"/>
  <c r="AQ231" i="1"/>
  <c r="AM228" i="1"/>
  <c r="AI225" i="1"/>
  <c r="AE222" i="1"/>
  <c r="AW218" i="1"/>
  <c r="AR280" i="1"/>
  <c r="AV258" i="1"/>
  <c r="AP251" i="1"/>
  <c r="AC246" i="1"/>
  <c r="AR241" i="1"/>
  <c r="AL238" i="1"/>
  <c r="AH235" i="1"/>
  <c r="AD232" i="1"/>
  <c r="AV228" i="1"/>
  <c r="AP225" i="1"/>
  <c r="AL222" i="1"/>
  <c r="AH219" i="1"/>
  <c r="AJ280" i="1"/>
  <c r="AR258" i="1"/>
  <c r="AN251" i="1"/>
  <c r="AX245" i="1"/>
  <c r="AQ241" i="1"/>
  <c r="AK238" i="1"/>
  <c r="AG235" i="1"/>
  <c r="AC232" i="1"/>
  <c r="AU228" i="1"/>
  <c r="AO225" i="1"/>
  <c r="AK222" i="1"/>
  <c r="AG219" i="1"/>
  <c r="AC216" i="1"/>
  <c r="AU212" i="1"/>
  <c r="AO209" i="1"/>
  <c r="AK206" i="1"/>
  <c r="AG243" i="1"/>
  <c r="AQ226" i="1"/>
  <c r="AG218" i="1"/>
  <c r="AQ212" i="1"/>
  <c r="AP207" i="1"/>
  <c r="AO203" i="1"/>
  <c r="AX199" i="1"/>
  <c r="AQ196" i="1"/>
  <c r="AM193" i="1"/>
  <c r="AI190" i="1"/>
  <c r="AE187" i="1"/>
  <c r="AW183" i="1"/>
  <c r="AQ180" i="1"/>
  <c r="AM177" i="1"/>
  <c r="AI174" i="1"/>
  <c r="AX336" i="1"/>
  <c r="AU296" i="1"/>
  <c r="AD294" i="1"/>
  <c r="AK287" i="1"/>
  <c r="AD251" i="1"/>
  <c r="AK269" i="1"/>
  <c r="AO314" i="1"/>
  <c r="AX264" i="1"/>
  <c r="AQ310" i="1"/>
  <c r="AM264" i="1"/>
  <c r="AV278" i="1"/>
  <c r="AD266" i="1"/>
  <c r="AD290" i="1"/>
  <c r="AC280" i="1"/>
  <c r="AO273" i="1"/>
  <c r="AG267" i="1"/>
  <c r="AU260" i="1"/>
  <c r="AK254" i="1"/>
  <c r="AG289" i="1"/>
  <c r="AW252" i="1"/>
  <c r="AO242" i="1"/>
  <c r="AW235" i="1"/>
  <c r="AF279" i="1"/>
  <c r="AH251" i="1"/>
  <c r="AN241" i="1"/>
  <c r="AD235" i="1"/>
  <c r="AP230" i="1"/>
  <c r="AH226" i="1"/>
  <c r="AH222" i="1"/>
  <c r="AV217" i="1"/>
  <c r="AL213" i="1"/>
  <c r="AL209" i="1"/>
  <c r="AF269" i="1"/>
  <c r="AR252" i="1"/>
  <c r="AP245" i="1"/>
  <c r="AG240" i="1"/>
  <c r="AC237" i="1"/>
  <c r="AU233" i="1"/>
  <c r="AV286" i="1"/>
  <c r="AE260" i="1"/>
  <c r="AQ252" i="1"/>
  <c r="AU246" i="1"/>
  <c r="AK242" i="1"/>
  <c r="AX238" i="1"/>
  <c r="AR235" i="1"/>
  <c r="AN232" i="1"/>
  <c r="AJ229" i="1"/>
  <c r="AF226" i="1"/>
  <c r="AX222" i="1"/>
  <c r="AR219" i="1"/>
  <c r="AN216" i="1"/>
  <c r="AJ213" i="1"/>
  <c r="AF210" i="1"/>
  <c r="AX206" i="1"/>
  <c r="AR203" i="1"/>
  <c r="AN200" i="1"/>
  <c r="AR274" i="1"/>
  <c r="AV256" i="1"/>
  <c r="AE250" i="1"/>
  <c r="AC245" i="1"/>
  <c r="AW240" i="1"/>
  <c r="AQ237" i="1"/>
  <c r="AM234" i="1"/>
  <c r="AI231" i="1"/>
  <c r="AE228" i="1"/>
  <c r="AW224" i="1"/>
  <c r="AQ221" i="1"/>
  <c r="AM218" i="1"/>
  <c r="AN277" i="1"/>
  <c r="AQ257" i="1"/>
  <c r="AV250" i="1"/>
  <c r="AM245" i="1"/>
  <c r="AI241" i="1"/>
  <c r="AD238" i="1"/>
  <c r="AV234" i="1"/>
  <c r="AP231" i="1"/>
  <c r="AL228" i="1"/>
  <c r="AH225" i="1"/>
  <c r="AD222" i="1"/>
  <c r="AV218" i="1"/>
  <c r="AF277" i="1"/>
  <c r="AP257" i="1"/>
  <c r="AR250" i="1"/>
  <c r="AK245" i="1"/>
  <c r="AH241" i="1"/>
  <c r="AC238" i="1"/>
  <c r="AU234" i="1"/>
  <c r="AO231" i="1"/>
  <c r="AK228" i="1"/>
  <c r="AG225" i="1"/>
  <c r="AC222" i="1"/>
  <c r="AU218" i="1"/>
  <c r="AO215" i="1"/>
  <c r="AK212" i="1"/>
  <c r="AG209" i="1"/>
  <c r="AC206" i="1"/>
  <c r="AN239" i="1"/>
  <c r="AN225" i="1"/>
  <c r="AF217" i="1"/>
  <c r="AD212" i="1"/>
  <c r="AE207" i="1"/>
  <c r="AF203" i="1"/>
  <c r="AM199" i="1"/>
  <c r="AI196" i="1"/>
  <c r="AE193" i="1"/>
  <c r="AW189" i="1"/>
  <c r="AQ186" i="1"/>
  <c r="AM183" i="1"/>
  <c r="AI180" i="1"/>
  <c r="AE177" i="1"/>
  <c r="AW173" i="1"/>
  <c r="AO306" i="1"/>
  <c r="AU346" i="1"/>
  <c r="AP281" i="1"/>
  <c r="AP280" i="1"/>
  <c r="AP246" i="1"/>
  <c r="AG266" i="1"/>
  <c r="AD292" i="1"/>
  <c r="AR261" i="1"/>
  <c r="AE291" i="1"/>
  <c r="AI261" i="1"/>
  <c r="AH277" i="1"/>
  <c r="AL264" i="1"/>
  <c r="AL288" i="1"/>
  <c r="AG279" i="1"/>
  <c r="AU272" i="1"/>
  <c r="AK266" i="1"/>
  <c r="AC260" i="1"/>
  <c r="AO253" i="1"/>
  <c r="AN279" i="1"/>
  <c r="AI251" i="1"/>
  <c r="AO241" i="1"/>
  <c r="AE235" i="1"/>
  <c r="AR272" i="1"/>
  <c r="AP249" i="1"/>
  <c r="AP240" i="1"/>
  <c r="AH234" i="1"/>
  <c r="AH230" i="1"/>
  <c r="AV225" i="1"/>
  <c r="AL221" i="1"/>
  <c r="AL217" i="1"/>
  <c r="AD213" i="1"/>
  <c r="AP208" i="1"/>
  <c r="AX265" i="1"/>
  <c r="AX251" i="1"/>
  <c r="AO244" i="1"/>
  <c r="AU239" i="1"/>
  <c r="AO236" i="1"/>
  <c r="AK233" i="1"/>
  <c r="AU281" i="1"/>
  <c r="AF259" i="1"/>
  <c r="AW251" i="1"/>
  <c r="AE246" i="1"/>
  <c r="AW241" i="1"/>
  <c r="AN238" i="1"/>
  <c r="AJ235" i="1"/>
  <c r="AF232" i="1"/>
  <c r="AX228" i="1"/>
  <c r="AR225" i="1"/>
  <c r="AN222" i="1"/>
  <c r="AJ219" i="1"/>
  <c r="AF216" i="1"/>
  <c r="AX212" i="1"/>
  <c r="AR209" i="1"/>
  <c r="AN206" i="1"/>
  <c r="AJ203" i="1"/>
  <c r="AF200" i="1"/>
  <c r="AN271" i="1"/>
  <c r="AQ255" i="1"/>
  <c r="AI249" i="1"/>
  <c r="AL244" i="1"/>
  <c r="AM240" i="1"/>
  <c r="AI237" i="1"/>
  <c r="AE234" i="1"/>
  <c r="AW230" i="1"/>
  <c r="AQ227" i="1"/>
  <c r="AM224" i="1"/>
  <c r="AI221" i="1"/>
  <c r="AE218" i="1"/>
  <c r="AJ274" i="1"/>
  <c r="AR256" i="1"/>
  <c r="AD250" i="1"/>
  <c r="AW244" i="1"/>
  <c r="AV240" i="1"/>
  <c r="AP237" i="1"/>
  <c r="AL234" i="1"/>
  <c r="AH231" i="1"/>
  <c r="AD228" i="1"/>
  <c r="AV224" i="1"/>
  <c r="AP221" i="1"/>
  <c r="AL218" i="1"/>
  <c r="AX273" i="1"/>
  <c r="AM256" i="1"/>
  <c r="AX249" i="1"/>
  <c r="AV244" i="1"/>
  <c r="AU240" i="1"/>
  <c r="AO237" i="1"/>
  <c r="AK234" i="1"/>
  <c r="AG231" i="1"/>
  <c r="AC228" i="1"/>
  <c r="AU224" i="1"/>
  <c r="AO221" i="1"/>
  <c r="AK218" i="1"/>
  <c r="AG215" i="1"/>
  <c r="AC212" i="1"/>
  <c r="AU208" i="1"/>
  <c r="AJ355" i="1"/>
  <c r="AR329" i="1"/>
  <c r="AE275" i="1"/>
  <c r="AP276" i="1"/>
  <c r="AH242" i="1"/>
  <c r="AC263" i="1"/>
  <c r="AX285" i="1"/>
  <c r="AN258" i="1"/>
  <c r="AG285" i="1"/>
  <c r="AI310" i="1"/>
  <c r="AP275" i="1"/>
  <c r="AV262" i="1"/>
  <c r="AP287" i="1"/>
  <c r="AU278" i="1"/>
  <c r="AK272" i="1"/>
  <c r="AC266" i="1"/>
  <c r="AO259" i="1"/>
  <c r="AG253" i="1"/>
  <c r="AJ276" i="1"/>
  <c r="AM250" i="1"/>
  <c r="AF241" i="1"/>
  <c r="AQ234" i="1"/>
  <c r="AN269" i="1"/>
  <c r="AV248" i="1"/>
  <c r="AH240" i="1"/>
  <c r="AV233" i="1"/>
  <c r="AL229" i="1"/>
  <c r="AL225" i="1"/>
  <c r="AD221" i="1"/>
  <c r="AP216" i="1"/>
  <c r="AP212" i="1"/>
  <c r="AH208" i="1"/>
  <c r="AJ260" i="1"/>
  <c r="AF251" i="1"/>
  <c r="AD244" i="1"/>
  <c r="AK239" i="1"/>
  <c r="AG236" i="1"/>
  <c r="AC233" i="1"/>
  <c r="AJ278" i="1"/>
  <c r="AD258" i="1"/>
  <c r="AE251" i="1"/>
  <c r="AO245" i="1"/>
  <c r="AK241" i="1"/>
  <c r="AF238" i="1"/>
  <c r="AX234" i="1"/>
  <c r="AR231" i="1"/>
  <c r="AN228" i="1"/>
  <c r="AJ225" i="1"/>
  <c r="AF222" i="1"/>
  <c r="AX218" i="1"/>
  <c r="AR215" i="1"/>
  <c r="AN212" i="1"/>
  <c r="AJ209" i="1"/>
  <c r="AF206" i="1"/>
  <c r="AX202" i="1"/>
  <c r="AR199" i="1"/>
  <c r="AJ268" i="1"/>
  <c r="AW254" i="1"/>
  <c r="AQ248" i="1"/>
  <c r="AX243" i="1"/>
  <c r="AE240" i="1"/>
  <c r="AW236" i="1"/>
  <c r="AQ233" i="1"/>
  <c r="AM230" i="1"/>
  <c r="AI227" i="1"/>
  <c r="AE224" i="1"/>
  <c r="AW220" i="1"/>
  <c r="AQ217" i="1"/>
  <c r="AF271" i="1"/>
  <c r="AP255" i="1"/>
  <c r="AH249" i="1"/>
  <c r="AK244" i="1"/>
  <c r="AL240" i="1"/>
  <c r="AH237" i="1"/>
  <c r="AD234" i="1"/>
  <c r="AV230" i="1"/>
  <c r="AP227" i="1"/>
  <c r="AL224" i="1"/>
  <c r="AH221" i="1"/>
  <c r="AD218" i="1"/>
  <c r="AR270" i="1"/>
  <c r="AN255" i="1"/>
  <c r="AF249" i="1"/>
  <c r="AJ244" i="1"/>
  <c r="AK240" i="1"/>
  <c r="AG237" i="1"/>
  <c r="AC234" i="1"/>
  <c r="AU230" i="1"/>
  <c r="AO227" i="1"/>
  <c r="AK224" i="1"/>
  <c r="AG221" i="1"/>
  <c r="AC218" i="1"/>
  <c r="AU214" i="1"/>
  <c r="AO211" i="1"/>
  <c r="AK208" i="1"/>
  <c r="AG205" i="1"/>
  <c r="AF233" i="1"/>
  <c r="AM223" i="1"/>
  <c r="AW215" i="1"/>
  <c r="AR210" i="1"/>
  <c r="AD206" i="1"/>
  <c r="AH202" i="1"/>
  <c r="AQ198" i="1"/>
  <c r="AM195" i="1"/>
  <c r="AI192" i="1"/>
  <c r="AE189" i="1"/>
  <c r="AW185" i="1"/>
  <c r="AQ182" i="1"/>
  <c r="AM179" i="1"/>
  <c r="AI176" i="1"/>
  <c r="AE173" i="1"/>
  <c r="AC290" i="1"/>
  <c r="AR230" i="1"/>
  <c r="AI222" i="1"/>
  <c r="AF215" i="1"/>
  <c r="AD210" i="1"/>
  <c r="AL205" i="1"/>
  <c r="AQ201" i="1"/>
  <c r="AH198" i="1"/>
  <c r="AD195" i="1"/>
  <c r="AV191" i="1"/>
  <c r="AP188" i="1"/>
  <c r="AL185" i="1"/>
  <c r="AH182" i="1"/>
  <c r="AD179" i="1"/>
  <c r="AV175" i="1"/>
  <c r="AP172" i="1"/>
  <c r="AE302" i="1"/>
  <c r="AQ314" i="1"/>
  <c r="AE269" i="1"/>
  <c r="AH272" i="1"/>
  <c r="AM311" i="1"/>
  <c r="AU259" i="1"/>
  <c r="AX280" i="1"/>
  <c r="AJ255" i="1"/>
  <c r="AM280" i="1"/>
  <c r="AC291" i="1"/>
  <c r="AD274" i="1"/>
  <c r="AH261" i="1"/>
  <c r="AE285" i="1"/>
  <c r="AG277" i="1"/>
  <c r="AU270" i="1"/>
  <c r="AK264" i="1"/>
  <c r="AC258" i="1"/>
  <c r="AO251" i="1"/>
  <c r="AN263" i="1"/>
  <c r="AP247" i="1"/>
  <c r="AM239" i="1"/>
  <c r="AE233" i="1"/>
  <c r="AI259" i="1"/>
  <c r="AJ246" i="1"/>
  <c r="AP238" i="1"/>
  <c r="AL233" i="1"/>
  <c r="AD229" i="1"/>
  <c r="AP224" i="1"/>
  <c r="AP220" i="1"/>
  <c r="AH216" i="1"/>
  <c r="AV211" i="1"/>
  <c r="AU333" i="1"/>
  <c r="AH259" i="1"/>
  <c r="AN249" i="1"/>
  <c r="AN243" i="1"/>
  <c r="AC239" i="1"/>
  <c r="AU235" i="1"/>
  <c r="AO232" i="1"/>
  <c r="AF275" i="1"/>
  <c r="AW256" i="1"/>
  <c r="AI250" i="1"/>
  <c r="AE245" i="1"/>
  <c r="AX240" i="1"/>
  <c r="AR237" i="1"/>
  <c r="AN234" i="1"/>
  <c r="AJ231" i="1"/>
  <c r="AF228" i="1"/>
  <c r="AX224" i="1"/>
  <c r="AR221" i="1"/>
  <c r="AN218" i="1"/>
  <c r="AJ215" i="1"/>
  <c r="AF212" i="1"/>
  <c r="AX208" i="1"/>
  <c r="AR205" i="1"/>
  <c r="AN202" i="1"/>
  <c r="AX316" i="1"/>
  <c r="AF265" i="1"/>
  <c r="AE254" i="1"/>
  <c r="AC248" i="1"/>
  <c r="AK243" i="1"/>
  <c r="AQ239" i="1"/>
  <c r="AM236" i="1"/>
  <c r="AI233" i="1"/>
  <c r="AE230" i="1"/>
  <c r="AW226" i="1"/>
  <c r="AQ223" i="1"/>
  <c r="AM220" i="1"/>
  <c r="AI217" i="1"/>
  <c r="AX267" i="1"/>
  <c r="AV254" i="1"/>
  <c r="AM248" i="1"/>
  <c r="AW243" i="1"/>
  <c r="AD240" i="1"/>
  <c r="AV236" i="1"/>
  <c r="AP233" i="1"/>
  <c r="AL230" i="1"/>
  <c r="AH227" i="1"/>
  <c r="AD224" i="1"/>
  <c r="AV220" i="1"/>
  <c r="AP217" i="1"/>
  <c r="AN267" i="1"/>
  <c r="AR254" i="1"/>
  <c r="AC347" i="1"/>
  <c r="AX307" i="1"/>
  <c r="AE265" i="1"/>
  <c r="AV267" i="1"/>
  <c r="AV288" i="1"/>
  <c r="AO256" i="1"/>
  <c r="AR277" i="1"/>
  <c r="AF252" i="1"/>
  <c r="AI277" i="1"/>
  <c r="AU287" i="1"/>
  <c r="AL272" i="1"/>
  <c r="AX334" i="1"/>
  <c r="AK284" i="1"/>
  <c r="AU276" i="1"/>
  <c r="AK270" i="1"/>
  <c r="AC264" i="1"/>
  <c r="AO257" i="1"/>
  <c r="AG251" i="1"/>
  <c r="AM260" i="1"/>
  <c r="AE247" i="1"/>
  <c r="AE239" i="1"/>
  <c r="AQ232" i="1"/>
  <c r="AJ258" i="1"/>
  <c r="AQ245" i="1"/>
  <c r="AH238" i="1"/>
  <c r="AP232" i="1"/>
  <c r="AP228" i="1"/>
  <c r="AH224" i="1"/>
  <c r="AV219" i="1"/>
  <c r="AV215" i="1"/>
  <c r="AL211" i="1"/>
  <c r="AO287" i="1"/>
  <c r="AE258" i="1"/>
  <c r="AU248" i="1"/>
  <c r="AL242" i="1"/>
  <c r="AO238" i="1"/>
  <c r="AK235" i="1"/>
  <c r="AG232" i="1"/>
  <c r="AX271" i="1"/>
  <c r="AX255" i="1"/>
  <c r="AM249" i="1"/>
  <c r="AM244" i="1"/>
  <c r="AN240" i="1"/>
  <c r="AJ237" i="1"/>
  <c r="AF234" i="1"/>
  <c r="AX230" i="1"/>
  <c r="AR227" i="1"/>
  <c r="AN224" i="1"/>
  <c r="AJ221" i="1"/>
  <c r="AF218" i="1"/>
  <c r="AX214" i="1"/>
  <c r="AR211" i="1"/>
  <c r="AN208" i="1"/>
  <c r="AJ205" i="1"/>
  <c r="AF202" i="1"/>
  <c r="AQ292" i="1"/>
  <c r="AX261" i="1"/>
  <c r="AI253" i="1"/>
  <c r="AI247" i="1"/>
  <c r="AV242" i="1"/>
  <c r="AI239" i="1"/>
  <c r="AE236" i="1"/>
  <c r="AW232" i="1"/>
  <c r="AQ229" i="1"/>
  <c r="AM226" i="1"/>
  <c r="AI223" i="1"/>
  <c r="AE220" i="1"/>
  <c r="AQ312" i="1"/>
  <c r="AR264" i="1"/>
  <c r="AD254" i="1"/>
  <c r="AX247" i="1"/>
  <c r="AI243" i="1"/>
  <c r="AP239" i="1"/>
  <c r="AL236" i="1"/>
  <c r="AH233" i="1"/>
  <c r="AD230" i="1"/>
  <c r="AV226" i="1"/>
  <c r="AP223" i="1"/>
  <c r="AL220" i="1"/>
  <c r="AM309" i="1"/>
  <c r="AJ264" i="1"/>
  <c r="AX253" i="1"/>
  <c r="AW247" i="1"/>
  <c r="AH243" i="1"/>
  <c r="AO239" i="1"/>
  <c r="AK236" i="1"/>
  <c r="AG233" i="1"/>
  <c r="AC230" i="1"/>
  <c r="AU226" i="1"/>
  <c r="AO223" i="1"/>
  <c r="AK220" i="1"/>
  <c r="AG217" i="1"/>
  <c r="AC214" i="1"/>
  <c r="AU210" i="1"/>
  <c r="AO207" i="1"/>
  <c r="AX263" i="1"/>
  <c r="AW229" i="1"/>
  <c r="AK221" i="1"/>
  <c r="AO214" i="1"/>
  <c r="AM209" i="1"/>
  <c r="AC205" i="1"/>
  <c r="AI201" i="1"/>
  <c r="AW197" i="1"/>
  <c r="AQ194" i="1"/>
  <c r="AM191" i="1"/>
  <c r="AI188" i="1"/>
  <c r="AE185" i="1"/>
  <c r="AW181" i="1"/>
  <c r="AQ178" i="1"/>
  <c r="AM175" i="1"/>
  <c r="AI172" i="1"/>
  <c r="AE253" i="1"/>
  <c r="AQ228" i="1"/>
  <c r="AG220" i="1"/>
  <c r="AW213" i="1"/>
  <c r="AR208" i="1"/>
  <c r="AL204" i="1"/>
  <c r="AU200" i="1"/>
  <c r="AL197" i="1"/>
  <c r="AH194" i="1"/>
  <c r="AD191" i="1"/>
  <c r="AV187" i="1"/>
  <c r="AP184" i="1"/>
  <c r="AL181" i="1"/>
  <c r="AH178" i="1"/>
  <c r="AD175" i="1"/>
  <c r="AV171" i="1"/>
  <c r="AP301" i="1"/>
  <c r="AE274" i="1"/>
  <c r="AU256" i="1"/>
  <c r="AL237" i="1"/>
  <c r="AD256" i="1"/>
  <c r="AR248" i="1"/>
  <c r="AX220" i="1"/>
  <c r="AD260" i="1"/>
  <c r="AE226" i="1"/>
  <c r="AH239" i="1"/>
  <c r="AF261" i="1"/>
  <c r="AG242" i="1"/>
  <c r="AU232" i="1"/>
  <c r="AC224" i="1"/>
  <c r="AK216" i="1"/>
  <c r="AG207" i="1"/>
  <c r="AR228" i="1"/>
  <c r="AX213" i="1"/>
  <c r="AM204" i="1"/>
  <c r="AM197" i="1"/>
  <c r="AE191" i="1"/>
  <c r="AQ184" i="1"/>
  <c r="AI178" i="1"/>
  <c r="AW171" i="1"/>
  <c r="AF239" i="1"/>
  <c r="AK223" i="1"/>
  <c r="AH213" i="1"/>
  <c r="AD207" i="1"/>
  <c r="AG202" i="1"/>
  <c r="AD197" i="1"/>
  <c r="AD193" i="1"/>
  <c r="AD189" i="1"/>
  <c r="AH184" i="1"/>
  <c r="AH180" i="1"/>
  <c r="AH176" i="1"/>
  <c r="AL171" i="1"/>
  <c r="AJ284" i="1"/>
  <c r="AQ230" i="1"/>
  <c r="AG222" i="1"/>
  <c r="AE215" i="1"/>
  <c r="AX209" i="1"/>
  <c r="AK205" i="1"/>
  <c r="AP201" i="1"/>
  <c r="AG198" i="1"/>
  <c r="AC195" i="1"/>
  <c r="AU191" i="1"/>
  <c r="AO188" i="1"/>
  <c r="AK185" i="1"/>
  <c r="AG182" i="1"/>
  <c r="AC179" i="1"/>
  <c r="AU175" i="1"/>
  <c r="AO172" i="1"/>
  <c r="AW245" i="1"/>
  <c r="AK227" i="1"/>
  <c r="AR218" i="1"/>
  <c r="AE213" i="1"/>
  <c r="AX207" i="1"/>
  <c r="AW203" i="1"/>
  <c r="AH200" i="1"/>
  <c r="AX196" i="1"/>
  <c r="AR193" i="1"/>
  <c r="AN190" i="1"/>
  <c r="AJ187" i="1"/>
  <c r="AF184" i="1"/>
  <c r="AX180" i="1"/>
  <c r="AR177" i="1"/>
  <c r="AN174" i="1"/>
  <c r="AJ171" i="1"/>
  <c r="AF168" i="1"/>
  <c r="AX164" i="1"/>
  <c r="AN231" i="1"/>
  <c r="AC223" i="1"/>
  <c r="AN215" i="1"/>
  <c r="AL210" i="1"/>
  <c r="AU205" i="1"/>
  <c r="AC202" i="1"/>
  <c r="AM198" i="1"/>
  <c r="AI195" i="1"/>
  <c r="AE192" i="1"/>
  <c r="AW188" i="1"/>
  <c r="AQ185" i="1"/>
  <c r="AM182" i="1"/>
  <c r="AI179" i="1"/>
  <c r="AE176" i="1"/>
  <c r="AR240" i="1"/>
  <c r="AX225" i="1"/>
  <c r="AM217" i="1"/>
  <c r="AI212" i="1"/>
  <c r="AN301" i="1"/>
  <c r="AF285" i="1"/>
  <c r="AK250" i="1"/>
  <c r="AH232" i="1"/>
  <c r="AE248" i="1"/>
  <c r="AC244" i="1"/>
  <c r="AR217" i="1"/>
  <c r="AM252" i="1"/>
  <c r="AW222" i="1"/>
  <c r="AD236" i="1"/>
  <c r="AF253" i="1"/>
  <c r="AC240" i="1"/>
  <c r="AK232" i="1"/>
  <c r="AG223" i="1"/>
  <c r="AK214" i="1"/>
  <c r="AU206" i="1"/>
  <c r="AU227" i="1"/>
  <c r="AI213" i="1"/>
  <c r="AD204" i="1"/>
  <c r="AE197" i="1"/>
  <c r="AQ190" i="1"/>
  <c r="AI184" i="1"/>
  <c r="AW177" i="1"/>
  <c r="AM171" i="1"/>
  <c r="AX235" i="1"/>
  <c r="AF221" i="1"/>
  <c r="AO212" i="1"/>
  <c r="AM206" i="1"/>
  <c r="AH201" i="1"/>
  <c r="AP196" i="1"/>
  <c r="AP192" i="1"/>
  <c r="AH188" i="1"/>
  <c r="AV183" i="1"/>
  <c r="AV179" i="1"/>
  <c r="AL175" i="1"/>
  <c r="AD171" i="1"/>
  <c r="AP259" i="1"/>
  <c r="AN229" i="1"/>
  <c r="AE221" i="1"/>
  <c r="AL214" i="1"/>
  <c r="AI209" i="1"/>
  <c r="AV204" i="1"/>
  <c r="AG201" i="1"/>
  <c r="AU197" i="1"/>
  <c r="AO194" i="1"/>
  <c r="AK191" i="1"/>
  <c r="AG188" i="1"/>
  <c r="AC185" i="1"/>
  <c r="AU181" i="1"/>
  <c r="AO178" i="1"/>
  <c r="AK175" i="1"/>
  <c r="AG172" i="1"/>
  <c r="AP241" i="1"/>
  <c r="AI226" i="1"/>
  <c r="AU217" i="1"/>
  <c r="AL212" i="1"/>
  <c r="AL207" i="1"/>
  <c r="AL203" i="1"/>
  <c r="AU199" i="1"/>
  <c r="AN196" i="1"/>
  <c r="AJ193" i="1"/>
  <c r="AF190" i="1"/>
  <c r="AX186" i="1"/>
  <c r="AR183" i="1"/>
  <c r="AN180" i="1"/>
  <c r="AJ177" i="1"/>
  <c r="AF174" i="1"/>
  <c r="AX170" i="1"/>
  <c r="AR167" i="1"/>
  <c r="AR276" i="1"/>
  <c r="AJ230" i="1"/>
  <c r="AW221" i="1"/>
  <c r="AW214" i="1"/>
  <c r="AU209" i="1"/>
  <c r="AH205" i="1"/>
  <c r="AN201" i="1"/>
  <c r="AE198" i="1"/>
  <c r="AW194" i="1"/>
  <c r="AQ191" i="1"/>
  <c r="AM188" i="1"/>
  <c r="AI185" i="1"/>
  <c r="AE182" i="1"/>
  <c r="AW178" i="1"/>
  <c r="AQ175" i="1"/>
  <c r="AN237" i="1"/>
  <c r="AC225" i="1"/>
  <c r="AR216" i="1"/>
  <c r="AP211" i="1"/>
  <c r="AR206" i="1"/>
  <c r="AV202" i="1"/>
  <c r="AH199" i="1"/>
  <c r="AD196" i="1"/>
  <c r="AV192" i="1"/>
  <c r="AP189" i="1"/>
  <c r="AL186" i="1"/>
  <c r="AH183" i="1"/>
  <c r="AD180" i="1"/>
  <c r="AV176" i="1"/>
  <c r="AP173" i="1"/>
  <c r="AL170" i="1"/>
  <c r="AH167" i="1"/>
  <c r="AD164" i="1"/>
  <c r="AV160" i="1"/>
  <c r="AP157" i="1"/>
  <c r="AE249" i="1"/>
  <c r="AX227" i="1"/>
  <c r="AM219" i="1"/>
  <c r="AM213" i="1"/>
  <c r="AJ208" i="1"/>
  <c r="AG204" i="1"/>
  <c r="AM200" i="1"/>
  <c r="AQ260" i="1"/>
  <c r="AV270" i="1"/>
  <c r="AL258" i="1"/>
  <c r="AV227" i="1"/>
  <c r="AX241" i="1"/>
  <c r="AF240" i="1"/>
  <c r="AN214" i="1"/>
  <c r="AR246" i="1"/>
  <c r="AQ219" i="1"/>
  <c r="AV232" i="1"/>
  <c r="AJ252" i="1"/>
  <c r="AG239" i="1"/>
  <c r="AK230" i="1"/>
  <c r="AU222" i="1"/>
  <c r="AO213" i="1"/>
  <c r="AO205" i="1"/>
  <c r="AO224" i="1"/>
  <c r="AK211" i="1"/>
  <c r="AQ202" i="1"/>
  <c r="AW195" i="1"/>
  <c r="AM189" i="1"/>
  <c r="AE183" i="1"/>
  <c r="AQ176" i="1"/>
  <c r="AE171" i="1"/>
  <c r="AR232" i="1"/>
  <c r="AE219" i="1"/>
  <c r="AX211" i="1"/>
  <c r="AX205" i="1"/>
  <c r="AJ200" i="1"/>
  <c r="AH196" i="1"/>
  <c r="AH192" i="1"/>
  <c r="AL187" i="1"/>
  <c r="AL183" i="1"/>
  <c r="AL179" i="1"/>
  <c r="AP174" i="1"/>
  <c r="AP170" i="1"/>
  <c r="AI252" i="1"/>
  <c r="AO228" i="1"/>
  <c r="AX219" i="1"/>
  <c r="AU213" i="1"/>
  <c r="AQ208" i="1"/>
  <c r="AK204" i="1"/>
  <c r="AR200" i="1"/>
  <c r="AK197" i="1"/>
  <c r="AG194" i="1"/>
  <c r="AC191" i="1"/>
  <c r="AU187" i="1"/>
  <c r="AO184" i="1"/>
  <c r="AK181" i="1"/>
  <c r="AG178" i="1"/>
  <c r="AC175" i="1"/>
  <c r="AU171" i="1"/>
  <c r="AJ238" i="1"/>
  <c r="AF225" i="1"/>
  <c r="AW216" i="1"/>
  <c r="AU211" i="1"/>
  <c r="AW206" i="1"/>
  <c r="AC203" i="1"/>
  <c r="AJ199" i="1"/>
  <c r="AF196" i="1"/>
  <c r="AX192" i="1"/>
  <c r="AR189" i="1"/>
  <c r="AN186" i="1"/>
  <c r="AJ183" i="1"/>
  <c r="AF180" i="1"/>
  <c r="AX176" i="1"/>
  <c r="AR173" i="1"/>
  <c r="AN170" i="1"/>
  <c r="AJ167" i="1"/>
  <c r="AN257" i="1"/>
  <c r="AK229" i="1"/>
  <c r="AR220" i="1"/>
  <c r="AI214" i="1"/>
  <c r="AF209" i="1"/>
  <c r="AR204" i="1"/>
  <c r="AE201" i="1"/>
  <c r="AQ197" i="1"/>
  <c r="AM194" i="1"/>
  <c r="AI191" i="1"/>
  <c r="AE188" i="1"/>
  <c r="AW184" i="1"/>
  <c r="AQ181" i="1"/>
  <c r="AM178" i="1"/>
  <c r="AI175" i="1"/>
  <c r="AJ234" i="1"/>
  <c r="AW223" i="1"/>
  <c r="AE216" i="1"/>
  <c r="AC211" i="1"/>
  <c r="AH206" i="1"/>
  <c r="AK202" i="1"/>
  <c r="AV198" i="1"/>
  <c r="AP195" i="1"/>
  <c r="AL192" i="1"/>
  <c r="AH189" i="1"/>
  <c r="AD186" i="1"/>
  <c r="AV182" i="1"/>
  <c r="AP179" i="1"/>
  <c r="AL176" i="1"/>
  <c r="AH173" i="1"/>
  <c r="AD170" i="1"/>
  <c r="AV166" i="1"/>
  <c r="AP163" i="1"/>
  <c r="AL160" i="1"/>
  <c r="AH157" i="1"/>
  <c r="AI244" i="1"/>
  <c r="AC227" i="1"/>
  <c r="AJ218" i="1"/>
  <c r="AV212" i="1"/>
  <c r="AU207" i="1"/>
  <c r="AQ203" i="1"/>
  <c r="AD200" i="1"/>
  <c r="AV263" i="1"/>
  <c r="AW309" i="1"/>
  <c r="AU245" i="1"/>
  <c r="AV223" i="1"/>
  <c r="AG238" i="1"/>
  <c r="AX236" i="1"/>
  <c r="AJ211" i="1"/>
  <c r="AJ242" i="1"/>
  <c r="AO291" i="1"/>
  <c r="AP229" i="1"/>
  <c r="AL248" i="1"/>
  <c r="AU238" i="1"/>
  <c r="AO229" i="1"/>
  <c r="AU220" i="1"/>
  <c r="AG213" i="1"/>
  <c r="AI306" i="1"/>
  <c r="AJ222" i="1"/>
  <c r="AE210" i="1"/>
  <c r="AU201" i="1"/>
  <c r="AE195" i="1"/>
  <c r="AQ188" i="1"/>
  <c r="AI182" i="1"/>
  <c r="AW175" i="1"/>
  <c r="AQ170" i="1"/>
  <c r="AU229" i="1"/>
  <c r="AX217" i="1"/>
  <c r="AI211" i="1"/>
  <c r="AW204" i="1"/>
  <c r="AW199" i="1"/>
  <c r="AV195" i="1"/>
  <c r="AL191" i="1"/>
  <c r="AD187" i="1"/>
  <c r="AD183" i="1"/>
  <c r="AP178" i="1"/>
  <c r="AH174" i="1"/>
  <c r="AH170" i="1"/>
  <c r="AL246" i="1"/>
  <c r="AM227" i="1"/>
  <c r="AC219" i="1"/>
  <c r="AF213" i="1"/>
  <c r="AD208" i="1"/>
  <c r="AX203" i="1"/>
  <c r="AI200" i="1"/>
  <c r="AC197" i="1"/>
  <c r="AU193" i="1"/>
  <c r="AO190" i="1"/>
  <c r="AK187" i="1"/>
  <c r="AG184" i="1"/>
  <c r="AC181" i="1"/>
  <c r="AU177" i="1"/>
  <c r="AO174" i="1"/>
  <c r="AK171" i="1"/>
  <c r="AF235" i="1"/>
  <c r="AG224" i="1"/>
  <c r="AI216" i="1"/>
  <c r="AF211" i="1"/>
  <c r="AJ206" i="1"/>
  <c r="AM202" i="1"/>
  <c r="AX198" i="1"/>
  <c r="AR195" i="1"/>
  <c r="AN192" i="1"/>
  <c r="AJ189" i="1"/>
  <c r="AF186" i="1"/>
  <c r="AX182" i="1"/>
  <c r="AR179" i="1"/>
  <c r="AN176" i="1"/>
  <c r="AJ173" i="1"/>
  <c r="AF170" i="1"/>
  <c r="AX166" i="1"/>
  <c r="AQ250" i="1"/>
  <c r="AI228" i="1"/>
  <c r="AU219" i="1"/>
  <c r="AP213" i="1"/>
  <c r="AM208" i="1"/>
  <c r="AI204" i="1"/>
  <c r="AP200" i="1"/>
  <c r="AI197" i="1"/>
  <c r="AE194" i="1"/>
  <c r="AW190" i="1"/>
  <c r="AQ187" i="1"/>
  <c r="AM184" i="1"/>
  <c r="AI181" i="1"/>
  <c r="AE178" i="1"/>
  <c r="AW174" i="1"/>
  <c r="AK231" i="1"/>
  <c r="AR222" i="1"/>
  <c r="AM215" i="1"/>
  <c r="AJ210" i="1"/>
  <c r="AQ205" i="1"/>
  <c r="AX201" i="1"/>
  <c r="AL198" i="1"/>
  <c r="AH195" i="1"/>
  <c r="AD192" i="1"/>
  <c r="AV188" i="1"/>
  <c r="AP185" i="1"/>
  <c r="AL182" i="1"/>
  <c r="AH179" i="1"/>
  <c r="AD176" i="1"/>
  <c r="AV172" i="1"/>
  <c r="AP169" i="1"/>
  <c r="AL166" i="1"/>
  <c r="AH163" i="1"/>
  <c r="AD160" i="1"/>
  <c r="AV156" i="1"/>
  <c r="AJ240" i="1"/>
  <c r="AW225" i="1"/>
  <c r="AK217" i="1"/>
  <c r="AG212" i="1"/>
  <c r="AH207" i="1"/>
  <c r="AH203" i="1"/>
  <c r="AO199" i="1"/>
  <c r="AK196" i="1"/>
  <c r="AN281" i="1"/>
  <c r="AF283" i="1"/>
  <c r="AI238" i="1"/>
  <c r="AL219" i="1"/>
  <c r="AC235" i="1"/>
  <c r="AR233" i="1"/>
  <c r="AF208" i="1"/>
  <c r="AW238" i="1"/>
  <c r="AN261" i="1"/>
  <c r="AL226" i="1"/>
  <c r="AG247" i="1"/>
  <c r="AU236" i="1"/>
  <c r="AG229" i="1"/>
  <c r="AC220" i="1"/>
  <c r="AG211" i="1"/>
  <c r="AW253" i="1"/>
  <c r="AI220" i="1"/>
  <c r="AV208" i="1"/>
  <c r="AV200" i="1"/>
  <c r="AI194" i="1"/>
  <c r="AW187" i="1"/>
  <c r="AM181" i="1"/>
  <c r="AE175" i="1"/>
  <c r="AI170" i="1"/>
  <c r="AN227" i="1"/>
  <c r="AE217" i="1"/>
  <c r="AQ210" i="1"/>
  <c r="AC204" i="1"/>
  <c r="AL199" i="1"/>
  <c r="AL195" i="1"/>
  <c r="AP190" i="1"/>
  <c r="AP186" i="1"/>
  <c r="AP182" i="1"/>
  <c r="AV177" i="1"/>
  <c r="AV173" i="1"/>
  <c r="AV169" i="1"/>
  <c r="AE242" i="1"/>
  <c r="AJ226" i="1"/>
  <c r="AW217" i="1"/>
  <c r="AM212" i="1"/>
  <c r="AM207" i="1"/>
  <c r="AM203" i="1"/>
  <c r="AV199" i="1"/>
  <c r="AO196" i="1"/>
  <c r="AK193" i="1"/>
  <c r="AG190" i="1"/>
  <c r="AC187" i="1"/>
  <c r="AU183" i="1"/>
  <c r="AO180" i="1"/>
  <c r="AK177" i="1"/>
  <c r="AG174" i="1"/>
  <c r="AC171" i="1"/>
  <c r="AX231" i="1"/>
  <c r="AE223" i="1"/>
  <c r="AP215" i="1"/>
  <c r="AM210" i="1"/>
  <c r="AV205" i="1"/>
  <c r="AD202" i="1"/>
  <c r="AN198" i="1"/>
  <c r="AJ195" i="1"/>
  <c r="AF192" i="1"/>
  <c r="AX188" i="1"/>
  <c r="AR185" i="1"/>
  <c r="AN182" i="1"/>
  <c r="AJ179" i="1"/>
  <c r="AF176" i="1"/>
  <c r="AX172" i="1"/>
  <c r="AR169" i="1"/>
  <c r="AN166" i="1"/>
  <c r="AI245" i="1"/>
  <c r="AF227" i="1"/>
  <c r="AQ218" i="1"/>
  <c r="AC213" i="1"/>
  <c r="AW207" i="1"/>
  <c r="AV203" i="1"/>
  <c r="AG200" i="1"/>
  <c r="AW196" i="1"/>
  <c r="AQ193" i="1"/>
  <c r="AM190" i="1"/>
  <c r="AI187" i="1"/>
  <c r="AE184" i="1"/>
  <c r="AW180" i="1"/>
  <c r="AQ177" i="1"/>
  <c r="AN273" i="1"/>
  <c r="AI230" i="1"/>
  <c r="AU221" i="1"/>
  <c r="AV214" i="1"/>
  <c r="AQ209" i="1"/>
  <c r="AK253" i="1"/>
  <c r="AC276" i="1"/>
  <c r="AW231" i="1"/>
  <c r="AD215" i="1"/>
  <c r="AU231" i="1"/>
  <c r="AN230" i="1"/>
  <c r="AX204" i="1"/>
  <c r="AQ235" i="1"/>
  <c r="AH253" i="1"/>
  <c r="AH223" i="1"/>
  <c r="AM246" i="1"/>
  <c r="AC236" i="1"/>
  <c r="AG227" i="1"/>
  <c r="AO219" i="1"/>
  <c r="AK210" i="1"/>
  <c r="AQ247" i="1"/>
  <c r="AF219" i="1"/>
  <c r="AG208" i="1"/>
  <c r="AK200" i="1"/>
  <c r="AW193" i="1"/>
  <c r="AM187" i="1"/>
  <c r="AE181" i="1"/>
  <c r="AQ174" i="1"/>
  <c r="AR260" i="1"/>
  <c r="AO226" i="1"/>
  <c r="AL216" i="1"/>
  <c r="AK209" i="1"/>
  <c r="AN203" i="1"/>
  <c r="AD199" i="1"/>
  <c r="AP194" i="1"/>
  <c r="AH190" i="1"/>
  <c r="AH186" i="1"/>
  <c r="AV181" i="1"/>
  <c r="AL177" i="1"/>
  <c r="AL173" i="1"/>
  <c r="AL169" i="1"/>
  <c r="AR238" i="1"/>
  <c r="AK225" i="1"/>
  <c r="AC217" i="1"/>
  <c r="AW211" i="1"/>
  <c r="AC207" i="1"/>
  <c r="AD203" i="1"/>
  <c r="AK199" i="1"/>
  <c r="AG196" i="1"/>
  <c r="AC193" i="1"/>
  <c r="AU189" i="1"/>
  <c r="AO186" i="1"/>
  <c r="AK183" i="1"/>
  <c r="AG180" i="1"/>
  <c r="AC177" i="1"/>
  <c r="AU173" i="1"/>
  <c r="AX279" i="1"/>
  <c r="AO230" i="1"/>
  <c r="AX221" i="1"/>
  <c r="AC215" i="1"/>
  <c r="AW209" i="1"/>
  <c r="AI205" i="1"/>
  <c r="AO201" i="1"/>
  <c r="AF198" i="1"/>
  <c r="AX194" i="1"/>
  <c r="AR191" i="1"/>
  <c r="AN188" i="1"/>
  <c r="AJ185" i="1"/>
  <c r="AF182" i="1"/>
  <c r="AX178" i="1"/>
  <c r="AR175" i="1"/>
  <c r="AN172" i="1"/>
  <c r="AJ169" i="1"/>
  <c r="AF166" i="1"/>
  <c r="AG241" i="1"/>
  <c r="AG226" i="1"/>
  <c r="AN217" i="1"/>
  <c r="AJ212" i="1"/>
  <c r="AK207" i="1"/>
  <c r="AK203" i="1"/>
  <c r="AQ199" i="1"/>
  <c r="AM196" i="1"/>
  <c r="AI193" i="1"/>
  <c r="AE190" i="1"/>
  <c r="AW186" i="1"/>
  <c r="AQ183" i="1"/>
  <c r="AM180" i="1"/>
  <c r="AI177" i="1"/>
  <c r="AL256" i="1"/>
  <c r="AF229" i="1"/>
  <c r="AQ220" i="1"/>
  <c r="AG214" i="1"/>
  <c r="AE209" i="1"/>
  <c r="AQ204" i="1"/>
  <c r="AD201" i="1"/>
  <c r="AP197" i="1"/>
  <c r="AL194" i="1"/>
  <c r="AH191" i="1"/>
  <c r="AD188" i="1"/>
  <c r="AV184" i="1"/>
  <c r="AP181" i="1"/>
  <c r="AL178" i="1"/>
  <c r="AH175" i="1"/>
  <c r="AD172" i="1"/>
  <c r="AV168" i="1"/>
  <c r="AP165" i="1"/>
  <c r="AL162" i="1"/>
  <c r="AH159" i="1"/>
  <c r="AD156" i="1"/>
  <c r="AX233" i="1"/>
  <c r="AU223" i="1"/>
  <c r="AD216" i="1"/>
  <c r="AW210" i="1"/>
  <c r="AG206" i="1"/>
  <c r="AJ202" i="1"/>
  <c r="AU198" i="1"/>
  <c r="AO195" i="1"/>
  <c r="AK192" i="1"/>
  <c r="AG189" i="1"/>
  <c r="AC186" i="1"/>
  <c r="AU182" i="1"/>
  <c r="AO179" i="1"/>
  <c r="AK176" i="1"/>
  <c r="AG173" i="1"/>
  <c r="AC170" i="1"/>
  <c r="AU166" i="1"/>
  <c r="AO163" i="1"/>
  <c r="AK160" i="1"/>
  <c r="AG157" i="1"/>
  <c r="AQ214" i="1"/>
  <c r="AF185" i="1"/>
  <c r="AR168" i="1"/>
  <c r="AU163" i="1"/>
  <c r="AN274" i="1"/>
  <c r="AO269" i="1"/>
  <c r="AE256" i="1"/>
  <c r="AD211" i="1"/>
  <c r="AR268" i="1"/>
  <c r="AJ227" i="1"/>
  <c r="AR201" i="1"/>
  <c r="AM232" i="1"/>
  <c r="AH247" i="1"/>
  <c r="AD220" i="1"/>
  <c r="AU243" i="1"/>
  <c r="AO235" i="1"/>
  <c r="AK226" i="1"/>
  <c r="AO217" i="1"/>
  <c r="AC210" i="1"/>
  <c r="AJ236" i="1"/>
  <c r="AM216" i="1"/>
  <c r="AO206" i="1"/>
  <c r="AE199" i="1"/>
  <c r="AQ192" i="1"/>
  <c r="AI186" i="1"/>
  <c r="AW179" i="1"/>
  <c r="AM173" i="1"/>
  <c r="AF247" i="1"/>
  <c r="AM225" i="1"/>
  <c r="AU215" i="1"/>
  <c r="AE208" i="1"/>
  <c r="AE203" i="1"/>
  <c r="AP198" i="1"/>
  <c r="AV193" i="1"/>
  <c r="AV189" i="1"/>
  <c r="AV185" i="1"/>
  <c r="AD181" i="1"/>
  <c r="AD177" i="1"/>
  <c r="AD173" i="1"/>
  <c r="AD169" i="1"/>
  <c r="AN235" i="1"/>
  <c r="AI224" i="1"/>
  <c r="AJ216" i="1"/>
  <c r="AH211" i="1"/>
  <c r="AL206" i="1"/>
  <c r="AO202" i="1"/>
  <c r="AC199" i="1"/>
  <c r="AU195" i="1"/>
  <c r="AO192" i="1"/>
  <c r="AK189" i="1"/>
  <c r="AG186" i="1"/>
  <c r="AC183" i="1"/>
  <c r="AU179" i="1"/>
  <c r="AO176" i="1"/>
  <c r="AK173" i="1"/>
  <c r="AM258" i="1"/>
  <c r="AM229" i="1"/>
  <c r="AC221" i="1"/>
  <c r="AJ214" i="1"/>
  <c r="AH209" i="1"/>
  <c r="AU204" i="1"/>
  <c r="AF201" i="1"/>
  <c r="AR197" i="1"/>
  <c r="AN194" i="1"/>
  <c r="AJ191" i="1"/>
  <c r="AF188" i="1"/>
  <c r="AX184" i="1"/>
  <c r="AR181" i="1"/>
  <c r="AN178" i="1"/>
  <c r="AJ175" i="1"/>
  <c r="AF172" i="1"/>
  <c r="AX168" i="1"/>
  <c r="AR165" i="1"/>
  <c r="AX237" i="1"/>
  <c r="AE225" i="1"/>
  <c r="AV216" i="1"/>
  <c r="AQ211" i="1"/>
  <c r="AV206" i="1"/>
  <c r="AW202" i="1"/>
  <c r="AI199" i="1"/>
  <c r="AE196" i="1"/>
  <c r="AW192" i="1"/>
  <c r="AQ189" i="1"/>
  <c r="AM186" i="1"/>
  <c r="AI183" i="1"/>
  <c r="AE180" i="1"/>
  <c r="AW176" i="1"/>
  <c r="AW249" i="1"/>
  <c r="AG228" i="1"/>
  <c r="AN219" i="1"/>
  <c r="AN213" i="1"/>
  <c r="AL208" i="1"/>
  <c r="AH204" i="1"/>
  <c r="AO200" i="1"/>
  <c r="AH197" i="1"/>
  <c r="AD194" i="1"/>
  <c r="AV190" i="1"/>
  <c r="AP187" i="1"/>
  <c r="AL184" i="1"/>
  <c r="AH181" i="1"/>
  <c r="AD178" i="1"/>
  <c r="AV174" i="1"/>
  <c r="AP171" i="1"/>
  <c r="AL168" i="1"/>
  <c r="AH165" i="1"/>
  <c r="AD162" i="1"/>
  <c r="AV158" i="1"/>
  <c r="AP155" i="1"/>
  <c r="AF231" i="1"/>
  <c r="AQ222" i="1"/>
  <c r="AK215" i="1"/>
  <c r="AI210" i="1"/>
  <c r="AP205" i="1"/>
  <c r="AW201" i="1"/>
  <c r="AK198" i="1"/>
  <c r="AG195" i="1"/>
  <c r="AC192" i="1"/>
  <c r="AU188" i="1"/>
  <c r="AO185" i="1"/>
  <c r="AK182" i="1"/>
  <c r="AG179" i="1"/>
  <c r="AC176" i="1"/>
  <c r="AU172" i="1"/>
  <c r="AO169" i="1"/>
  <c r="AK166" i="1"/>
  <c r="AG163" i="1"/>
  <c r="AC160" i="1"/>
  <c r="AU156" i="1"/>
  <c r="AN209" i="1"/>
  <c r="AX181" i="1"/>
  <c r="AE168" i="1"/>
  <c r="AX248" i="1"/>
  <c r="AG263" i="1"/>
  <c r="AQ244" i="1"/>
  <c r="AK282" i="1"/>
  <c r="AE255" i="1"/>
  <c r="AF224" i="1"/>
  <c r="AI286" i="1"/>
  <c r="AI229" i="1"/>
  <c r="AU242" i="1"/>
  <c r="AU290" i="1"/>
  <c r="AR242" i="1"/>
  <c r="AO233" i="1"/>
  <c r="AC226" i="1"/>
  <c r="AU216" i="1"/>
  <c r="AC208" i="1"/>
  <c r="AC231" i="1"/>
  <c r="AH215" i="1"/>
  <c r="AM205" i="1"/>
  <c r="AI198" i="1"/>
  <c r="AW191" i="1"/>
  <c r="AM185" i="1"/>
  <c r="AE179" i="1"/>
  <c r="AQ172" i="1"/>
  <c r="AQ242" i="1"/>
  <c r="AJ224" i="1"/>
  <c r="AM214" i="1"/>
  <c r="AN207" i="1"/>
  <c r="AP202" i="1"/>
  <c r="AV197" i="1"/>
  <c r="AL193" i="1"/>
  <c r="AL189" i="1"/>
  <c r="AD185" i="1"/>
  <c r="AP180" i="1"/>
  <c r="AP176" i="1"/>
  <c r="AH172" i="1"/>
  <c r="AP168" i="1"/>
  <c r="AJ232" i="1"/>
  <c r="AF223" i="1"/>
  <c r="AC189" i="1"/>
  <c r="AW219" i="1"/>
  <c r="AR187" i="1"/>
  <c r="AR234" i="1"/>
  <c r="AM192" i="1"/>
  <c r="AO218" i="1"/>
  <c r="AE200" i="1"/>
  <c r="AP191" i="1"/>
  <c r="AP183" i="1"/>
  <c r="AL174" i="1"/>
  <c r="AD166" i="1"/>
  <c r="AD158" i="1"/>
  <c r="AN221" i="1"/>
  <c r="AQ206" i="1"/>
  <c r="AO197" i="1"/>
  <c r="AG193" i="1"/>
  <c r="AK188" i="1"/>
  <c r="AK184" i="1"/>
  <c r="AK180" i="1"/>
  <c r="AO175" i="1"/>
  <c r="AO171" i="1"/>
  <c r="AO167" i="1"/>
  <c r="AU162" i="1"/>
  <c r="AU158" i="1"/>
  <c r="AX229" i="1"/>
  <c r="AR178" i="1"/>
  <c r="AG166" i="1"/>
  <c r="AE161" i="1"/>
  <c r="AW156" i="1"/>
  <c r="AI153" i="1"/>
  <c r="AE150" i="1"/>
  <c r="AW146" i="1"/>
  <c r="AQ143" i="1"/>
  <c r="AM140" i="1"/>
  <c r="AI137" i="1"/>
  <c r="AE134" i="1"/>
  <c r="AW130" i="1"/>
  <c r="AQ127" i="1"/>
  <c r="AM124" i="1"/>
  <c r="AI121" i="1"/>
  <c r="AE118" i="1"/>
  <c r="AW114" i="1"/>
  <c r="AD214" i="1"/>
  <c r="AR184" i="1"/>
  <c r="AQ168" i="1"/>
  <c r="AR163" i="1"/>
  <c r="AL159" i="1"/>
  <c r="AH155" i="1"/>
  <c r="AD152" i="1"/>
  <c r="AV148" i="1"/>
  <c r="AP145" i="1"/>
  <c r="AL142" i="1"/>
  <c r="AH139" i="1"/>
  <c r="AD136" i="1"/>
  <c r="AV132" i="1"/>
  <c r="AP129" i="1"/>
  <c r="AL126" i="1"/>
  <c r="AH123" i="1"/>
  <c r="AK248" i="1"/>
  <c r="AX193" i="1"/>
  <c r="AN171" i="1"/>
  <c r="AK165" i="1"/>
  <c r="AC161" i="1"/>
  <c r="AQ156" i="1"/>
  <c r="AG153" i="1"/>
  <c r="AC150" i="1"/>
  <c r="AU146" i="1"/>
  <c r="AO143" i="1"/>
  <c r="AK140" i="1"/>
  <c r="AG137" i="1"/>
  <c r="AC134" i="1"/>
  <c r="AU130" i="1"/>
  <c r="AO127" i="1"/>
  <c r="AK124" i="1"/>
  <c r="AG121" i="1"/>
  <c r="AC118" i="1"/>
  <c r="AU114" i="1"/>
  <c r="AQ207" i="1"/>
  <c r="AR180" i="1"/>
  <c r="AV167" i="1"/>
  <c r="AD163" i="1"/>
  <c r="AR158" i="1"/>
  <c r="AR154" i="1"/>
  <c r="AN151" i="1"/>
  <c r="AJ148" i="1"/>
  <c r="AF145" i="1"/>
  <c r="AX141" i="1"/>
  <c r="AR138" i="1"/>
  <c r="AN135" i="1"/>
  <c r="AJ132" i="1"/>
  <c r="AF129" i="1"/>
  <c r="AX125" i="1"/>
  <c r="AR122" i="1"/>
  <c r="AF207" i="1"/>
  <c r="AJ180" i="1"/>
  <c r="AU167" i="1"/>
  <c r="AC163" i="1"/>
  <c r="AQ158" i="1"/>
  <c r="AQ154" i="1"/>
  <c r="AM151" i="1"/>
  <c r="AI148" i="1"/>
  <c r="AE145" i="1"/>
  <c r="AW141" i="1"/>
  <c r="AQ138" i="1"/>
  <c r="AM135" i="1"/>
  <c r="AI132" i="1"/>
  <c r="AE129" i="1"/>
  <c r="AW125" i="1"/>
  <c r="AQ122" i="1"/>
  <c r="AR202" i="1"/>
  <c r="AR176" i="1"/>
  <c r="AD167" i="1"/>
  <c r="AJ162" i="1"/>
  <c r="AF158" i="1"/>
  <c r="AH154" i="1"/>
  <c r="AD151" i="1"/>
  <c r="AV147" i="1"/>
  <c r="AP144" i="1"/>
  <c r="AL141" i="1"/>
  <c r="AH138" i="1"/>
  <c r="AD135" i="1"/>
  <c r="AV131" i="1"/>
  <c r="AP128" i="1"/>
  <c r="AL125" i="1"/>
  <c r="AH122" i="1"/>
  <c r="AD119" i="1"/>
  <c r="AV115" i="1"/>
  <c r="AQ215" i="1"/>
  <c r="AU185" i="1"/>
  <c r="AQ213" i="1"/>
  <c r="AN184" i="1"/>
  <c r="AX223" i="1"/>
  <c r="AI189" i="1"/>
  <c r="AW212" i="1"/>
  <c r="AP199" i="1"/>
  <c r="AL190" i="1"/>
  <c r="AD182" i="1"/>
  <c r="AO210" i="1"/>
  <c r="AO182" i="1"/>
  <c r="AO208" i="1"/>
  <c r="AJ181" i="1"/>
  <c r="AG216" i="1"/>
  <c r="AE186" i="1"/>
  <c r="AV207" i="1"/>
  <c r="AD198" i="1"/>
  <c r="AD190" i="1"/>
  <c r="AV180" i="1"/>
  <c r="AL172" i="1"/>
  <c r="AL164" i="1"/>
  <c r="AJ270" i="1"/>
  <c r="AQ216" i="1"/>
  <c r="AP204" i="1"/>
  <c r="AU196" i="1"/>
  <c r="AO191" i="1"/>
  <c r="AO187" i="1"/>
  <c r="AO183" i="1"/>
  <c r="AU178" i="1"/>
  <c r="AU174" i="1"/>
  <c r="AU170" i="1"/>
  <c r="AC166" i="1"/>
  <c r="AC162" i="1"/>
  <c r="AC158" i="1"/>
  <c r="AD205" i="1"/>
  <c r="AN173" i="1"/>
  <c r="AW164" i="1"/>
  <c r="AE160" i="1"/>
  <c r="AU155" i="1"/>
  <c r="AM152" i="1"/>
  <c r="AI149" i="1"/>
  <c r="AE146" i="1"/>
  <c r="AW142" i="1"/>
  <c r="AQ139" i="1"/>
  <c r="AM136" i="1"/>
  <c r="AI133" i="1"/>
  <c r="AE130" i="1"/>
  <c r="AW126" i="1"/>
  <c r="AQ123" i="1"/>
  <c r="AM120" i="1"/>
  <c r="AI117" i="1"/>
  <c r="AE114" i="1"/>
  <c r="AO204" i="1"/>
  <c r="AJ178" i="1"/>
  <c r="AK167" i="1"/>
  <c r="AP162" i="1"/>
  <c r="AJ158" i="1"/>
  <c r="AL154" i="1"/>
  <c r="AH151" i="1"/>
  <c r="AD148" i="1"/>
  <c r="AV144" i="1"/>
  <c r="AP141" i="1"/>
  <c r="AL138" i="1"/>
  <c r="AH135" i="1"/>
  <c r="AD132" i="1"/>
  <c r="AV128" i="1"/>
  <c r="AP125" i="1"/>
  <c r="AL122" i="1"/>
  <c r="AK219" i="1"/>
  <c r="AN187" i="1"/>
  <c r="AK169" i="1"/>
  <c r="AG164" i="1"/>
  <c r="AW159" i="1"/>
  <c r="AQ155" i="1"/>
  <c r="AK152" i="1"/>
  <c r="AG149" i="1"/>
  <c r="AC146" i="1"/>
  <c r="AU142" i="1"/>
  <c r="AO139" i="1"/>
  <c r="AK136" i="1"/>
  <c r="AG133" i="1"/>
  <c r="AC130" i="1"/>
  <c r="AU126" i="1"/>
  <c r="AO123" i="1"/>
  <c r="AK120" i="1"/>
  <c r="AG117" i="1"/>
  <c r="AC114" i="1"/>
  <c r="AC200" i="1"/>
  <c r="AM174" i="1"/>
  <c r="AO166" i="1"/>
  <c r="AX161" i="1"/>
  <c r="AR157" i="1"/>
  <c r="AX153" i="1"/>
  <c r="AR150" i="1"/>
  <c r="AN147" i="1"/>
  <c r="AJ144" i="1"/>
  <c r="AF141" i="1"/>
  <c r="AX137" i="1"/>
  <c r="AR134" i="1"/>
  <c r="AN131" i="1"/>
  <c r="AJ128" i="1"/>
  <c r="AF125" i="1"/>
  <c r="AX121" i="1"/>
  <c r="AN199" i="1"/>
  <c r="AJ174" i="1"/>
  <c r="AM166" i="1"/>
  <c r="AW161" i="1"/>
  <c r="AQ157" i="1"/>
  <c r="AW153" i="1"/>
  <c r="AQ150" i="1"/>
  <c r="AM147" i="1"/>
  <c r="AI144" i="1"/>
  <c r="AE141" i="1"/>
  <c r="AW137" i="1"/>
  <c r="AQ134" i="1"/>
  <c r="AM131" i="1"/>
  <c r="AI128" i="1"/>
  <c r="AE125" i="1"/>
  <c r="AW121" i="1"/>
  <c r="AX195" i="1"/>
  <c r="AM172" i="1"/>
  <c r="AU165" i="1"/>
  <c r="AJ161" i="1"/>
  <c r="AD157" i="1"/>
  <c r="AL153" i="1"/>
  <c r="AH150" i="1"/>
  <c r="AD147" i="1"/>
  <c r="AV143" i="1"/>
  <c r="AP140" i="1"/>
  <c r="AL137" i="1"/>
  <c r="AH134" i="1"/>
  <c r="AD131" i="1"/>
  <c r="AV127" i="1"/>
  <c r="AP124" i="1"/>
  <c r="AL121" i="1"/>
  <c r="AH118" i="1"/>
  <c r="AW205" i="1"/>
  <c r="AK179" i="1"/>
  <c r="AJ204" i="1"/>
  <c r="AF178" i="1"/>
  <c r="AE211" i="1"/>
  <c r="AW182" i="1"/>
  <c r="AI207" i="1"/>
  <c r="AV196" i="1"/>
  <c r="AL188" i="1"/>
  <c r="AL180" i="1"/>
  <c r="AH171" i="1"/>
  <c r="AV162" i="1"/>
  <c r="AM255" i="1"/>
  <c r="AR214" i="1"/>
  <c r="AU202" i="1"/>
  <c r="AC196" i="1"/>
  <c r="AG191" i="1"/>
  <c r="AG187" i="1"/>
  <c r="AG183" i="1"/>
  <c r="AK178" i="1"/>
  <c r="AK174" i="1"/>
  <c r="AK170" i="1"/>
  <c r="AO165" i="1"/>
  <c r="AO161" i="1"/>
  <c r="AO157" i="1"/>
  <c r="AK201" i="1"/>
  <c r="AX171" i="1"/>
  <c r="AI164" i="1"/>
  <c r="AM159" i="1"/>
  <c r="AI155" i="1"/>
  <c r="AE152" i="1"/>
  <c r="AW148" i="1"/>
  <c r="AQ145" i="1"/>
  <c r="AM142" i="1"/>
  <c r="AI139" i="1"/>
  <c r="AE136" i="1"/>
  <c r="AW132" i="1"/>
  <c r="AQ129" i="1"/>
  <c r="AM126" i="1"/>
  <c r="AI123" i="1"/>
  <c r="AE120" i="1"/>
  <c r="AW116" i="1"/>
  <c r="AQ113" i="1"/>
  <c r="AW200" i="1"/>
  <c r="AF175" i="1"/>
  <c r="AQ166" i="1"/>
  <c r="AF162" i="1"/>
  <c r="AV157" i="1"/>
  <c r="AD154" i="1"/>
  <c r="AV150" i="1"/>
  <c r="AP147" i="1"/>
  <c r="AL144" i="1"/>
  <c r="AH141" i="1"/>
  <c r="AD138" i="1"/>
  <c r="AV134" i="1"/>
  <c r="AP131" i="1"/>
  <c r="AL128" i="1"/>
  <c r="AH125" i="1"/>
  <c r="AD122" i="1"/>
  <c r="AK213" i="1"/>
  <c r="AJ184" i="1"/>
  <c r="AO168" i="1"/>
  <c r="AQ163" i="1"/>
  <c r="AK159" i="1"/>
  <c r="AG155" i="1"/>
  <c r="AC152" i="1"/>
  <c r="AU148" i="1"/>
  <c r="AO145" i="1"/>
  <c r="AK142" i="1"/>
  <c r="AG139" i="1"/>
  <c r="AC136" i="1"/>
  <c r="AU132" i="1"/>
  <c r="AO129" i="1"/>
  <c r="AK126" i="1"/>
  <c r="AG123" i="1"/>
  <c r="AC120" i="1"/>
  <c r="AU116" i="1"/>
  <c r="AO113" i="1"/>
  <c r="AR196" i="1"/>
  <c r="AW172" i="1"/>
  <c r="AW165" i="1"/>
  <c r="AL161" i="1"/>
  <c r="AF157" i="1"/>
  <c r="AN153" i="1"/>
  <c r="AJ150" i="1"/>
  <c r="AF147" i="1"/>
  <c r="AX143" i="1"/>
  <c r="AR140" i="1"/>
  <c r="AN137" i="1"/>
  <c r="AJ134" i="1"/>
  <c r="AF131" i="1"/>
  <c r="AX127" i="1"/>
  <c r="AR124" i="1"/>
  <c r="AN121" i="1"/>
  <c r="AJ196" i="1"/>
  <c r="AR172" i="1"/>
  <c r="AV165" i="1"/>
  <c r="AK161" i="1"/>
  <c r="AE157" i="1"/>
  <c r="AM153" i="1"/>
  <c r="AI150" i="1"/>
  <c r="AE147" i="1"/>
  <c r="AW143" i="1"/>
  <c r="AQ140" i="1"/>
  <c r="AM137" i="1"/>
  <c r="AI134" i="1"/>
  <c r="AE131" i="1"/>
  <c r="AW127" i="1"/>
  <c r="AE202" i="1"/>
  <c r="AG176" i="1"/>
  <c r="AQ200" i="1"/>
  <c r="AX174" i="1"/>
  <c r="AI206" i="1"/>
  <c r="AQ179" i="1"/>
  <c r="AF205" i="1"/>
  <c r="AL196" i="1"/>
  <c r="AH187" i="1"/>
  <c r="AV178" i="1"/>
  <c r="AV170" i="1"/>
  <c r="AP161" i="1"/>
  <c r="AF237" i="1"/>
  <c r="AE214" i="1"/>
  <c r="AL201" i="1"/>
  <c r="AU194" i="1"/>
  <c r="AU190" i="1"/>
  <c r="AU186" i="1"/>
  <c r="AC182" i="1"/>
  <c r="AC178" i="1"/>
  <c r="AC174" i="1"/>
  <c r="AG169" i="1"/>
  <c r="AG165" i="1"/>
  <c r="AG161" i="1"/>
  <c r="AK156" i="1"/>
  <c r="AX197" i="1"/>
  <c r="AM170" i="1"/>
  <c r="AI163" i="1"/>
  <c r="AC159" i="1"/>
  <c r="AW154" i="1"/>
  <c r="AQ151" i="1"/>
  <c r="AM148" i="1"/>
  <c r="AI145" i="1"/>
  <c r="AE142" i="1"/>
  <c r="AW138" i="1"/>
  <c r="AQ135" i="1"/>
  <c r="AM132" i="1"/>
  <c r="AI129" i="1"/>
  <c r="AE126" i="1"/>
  <c r="AW122" i="1"/>
  <c r="AQ119" i="1"/>
  <c r="AM116" i="1"/>
  <c r="AI113" i="1"/>
  <c r="AN197" i="1"/>
  <c r="AI173" i="1"/>
  <c r="AE166" i="1"/>
  <c r="AN161" i="1"/>
  <c r="AJ157" i="1"/>
  <c r="AP153" i="1"/>
  <c r="AL150" i="1"/>
  <c r="AH147" i="1"/>
  <c r="AD144" i="1"/>
  <c r="AV140" i="1"/>
  <c r="AP137" i="1"/>
  <c r="AL134" i="1"/>
  <c r="AH131" i="1"/>
  <c r="AD128" i="1"/>
  <c r="AV124" i="1"/>
  <c r="AP121" i="1"/>
  <c r="AI208" i="1"/>
  <c r="AF181" i="1"/>
  <c r="AW167" i="1"/>
  <c r="AE163" i="1"/>
  <c r="AW158" i="1"/>
  <c r="AU154" i="1"/>
  <c r="AO151" i="1"/>
  <c r="AK148" i="1"/>
  <c r="AG145" i="1"/>
  <c r="AC142" i="1"/>
  <c r="AU138" i="1"/>
  <c r="AO135" i="1"/>
  <c r="AK132" i="1"/>
  <c r="AG129" i="1"/>
  <c r="AC126" i="1"/>
  <c r="AU122" i="1"/>
  <c r="AO119" i="1"/>
  <c r="AK116" i="1"/>
  <c r="AQ243" i="1"/>
  <c r="AN193" i="1"/>
  <c r="AI171" i="1"/>
  <c r="AI165" i="1"/>
  <c r="AX160" i="1"/>
  <c r="AP156" i="1"/>
  <c r="AF153" i="1"/>
  <c r="AX149" i="1"/>
  <c r="AR146" i="1"/>
  <c r="AN143" i="1"/>
  <c r="AJ140" i="1"/>
  <c r="AO198" i="1"/>
  <c r="AC173" i="1"/>
  <c r="AJ197" i="1"/>
  <c r="AR171" i="1"/>
  <c r="AL202" i="1"/>
  <c r="AM176" i="1"/>
  <c r="AU203" i="1"/>
  <c r="AV194" i="1"/>
  <c r="AV186" i="1"/>
  <c r="AK195" i="1"/>
  <c r="AM251" i="1"/>
  <c r="AF194" i="1"/>
  <c r="AN168" i="1"/>
  <c r="AW198" i="1"/>
  <c r="AU244" i="1"/>
  <c r="AI203" i="1"/>
  <c r="AP193" i="1"/>
  <c r="AH185" i="1"/>
  <c r="AH177" i="1"/>
  <c r="AD168" i="1"/>
  <c r="AP159" i="1"/>
  <c r="AE229" i="1"/>
  <c r="AP209" i="1"/>
  <c r="AG199" i="1"/>
  <c r="AC194" i="1"/>
  <c r="AC190" i="1"/>
  <c r="AG185" i="1"/>
  <c r="AG181" i="1"/>
  <c r="AG177" i="1"/>
  <c r="AK172" i="1"/>
  <c r="AK168" i="1"/>
  <c r="AK164" i="1"/>
  <c r="AO159" i="1"/>
  <c r="AO155" i="1"/>
  <c r="AN191" i="1"/>
  <c r="AL167" i="1"/>
  <c r="AG162" i="1"/>
  <c r="AW157" i="1"/>
  <c r="AE154" i="1"/>
  <c r="AW150" i="1"/>
  <c r="AQ147" i="1"/>
  <c r="AM144" i="1"/>
  <c r="AI141" i="1"/>
  <c r="AE138" i="1"/>
  <c r="AW134" i="1"/>
  <c r="AQ131" i="1"/>
  <c r="AM128" i="1"/>
  <c r="AI125" i="1"/>
  <c r="AE122" i="1"/>
  <c r="AW118" i="1"/>
  <c r="AQ115" i="1"/>
  <c r="AC229" i="1"/>
  <c r="AF191" i="1"/>
  <c r="AJ170" i="1"/>
  <c r="AR164" i="1"/>
  <c r="AN160" i="1"/>
  <c r="AH156" i="1"/>
  <c r="AV152" i="1"/>
  <c r="AP149" i="1"/>
  <c r="AL146" i="1"/>
  <c r="AH143" i="1"/>
  <c r="AD140" i="1"/>
  <c r="AV136" i="1"/>
  <c r="AP133" i="1"/>
  <c r="AL130" i="1"/>
  <c r="AH127" i="1"/>
  <c r="AD124" i="1"/>
  <c r="AV120" i="1"/>
  <c r="AL200" i="1"/>
  <c r="AR174" i="1"/>
  <c r="AP166" i="1"/>
  <c r="AE162" i="1"/>
  <c r="AU157" i="1"/>
  <c r="AC154" i="1"/>
  <c r="AU150" i="1"/>
  <c r="AO147" i="1"/>
  <c r="AK144" i="1"/>
  <c r="AG141" i="1"/>
  <c r="AC138" i="1"/>
  <c r="AU134" i="1"/>
  <c r="AO131" i="1"/>
  <c r="AK128" i="1"/>
  <c r="AG125" i="1"/>
  <c r="AC122" i="1"/>
  <c r="AU118" i="1"/>
  <c r="AO115" i="1"/>
  <c r="AI218" i="1"/>
  <c r="AF187" i="1"/>
  <c r="AI169" i="1"/>
  <c r="AF164" i="1"/>
  <c r="AV159" i="1"/>
  <c r="AN155" i="1"/>
  <c r="AJ152" i="1"/>
  <c r="AF149" i="1"/>
  <c r="AX145" i="1"/>
  <c r="AR142" i="1"/>
  <c r="AN139" i="1"/>
  <c r="AJ136" i="1"/>
  <c r="AF133" i="1"/>
  <c r="AX129" i="1"/>
  <c r="AR126" i="1"/>
  <c r="AN123" i="1"/>
  <c r="AH217" i="1"/>
  <c r="AR186" i="1"/>
  <c r="AF169" i="1"/>
  <c r="AE164" i="1"/>
  <c r="AU159" i="1"/>
  <c r="AM155" i="1"/>
  <c r="AI152" i="1"/>
  <c r="AE149" i="1"/>
  <c r="AW145" i="1"/>
  <c r="AQ142" i="1"/>
  <c r="AM139" i="1"/>
  <c r="AI136" i="1"/>
  <c r="AE133" i="1"/>
  <c r="AW129" i="1"/>
  <c r="AQ126" i="1"/>
  <c r="AG192" i="1"/>
  <c r="AD184" i="1"/>
  <c r="AL158" i="1"/>
  <c r="AC201" i="1"/>
  <c r="AC188" i="1"/>
  <c r="AU176" i="1"/>
  <c r="AU164" i="1"/>
  <c r="AM221" i="1"/>
  <c r="AQ161" i="1"/>
  <c r="AI151" i="1"/>
  <c r="AI143" i="1"/>
  <c r="AM134" i="1"/>
  <c r="AQ125" i="1"/>
  <c r="AQ117" i="1"/>
  <c r="AX187" i="1"/>
  <c r="AD161" i="1"/>
  <c r="AP151" i="1"/>
  <c r="AV142" i="1"/>
  <c r="AD134" i="1"/>
  <c r="AD126" i="1"/>
  <c r="AF197" i="1"/>
  <c r="AO162" i="1"/>
  <c r="AU152" i="1"/>
  <c r="AC144" i="1"/>
  <c r="AG135" i="1"/>
  <c r="AG127" i="1"/>
  <c r="AK118" i="1"/>
  <c r="AJ190" i="1"/>
  <c r="AN162" i="1"/>
  <c r="AX151" i="1"/>
  <c r="AF143" i="1"/>
  <c r="AX135" i="1"/>
  <c r="AN129" i="1"/>
  <c r="AF123" i="1"/>
  <c r="AN183" i="1"/>
  <c r="AM163" i="1"/>
  <c r="AE155" i="1"/>
  <c r="AQ148" i="1"/>
  <c r="AI142" i="1"/>
  <c r="AW135" i="1"/>
  <c r="AM129" i="1"/>
  <c r="AW123" i="1"/>
  <c r="AP206" i="1"/>
  <c r="AW170" i="1"/>
  <c r="AX163" i="1"/>
  <c r="AP158" i="1"/>
  <c r="AD153" i="1"/>
  <c r="AD149" i="1"/>
  <c r="AD145" i="1"/>
  <c r="AH140" i="1"/>
  <c r="AH136" i="1"/>
  <c r="AH132" i="1"/>
  <c r="AL127" i="1"/>
  <c r="AL123" i="1"/>
  <c r="AL119" i="1"/>
  <c r="AD115" i="1"/>
  <c r="AV111" i="1"/>
  <c r="AP108" i="1"/>
  <c r="AN195" i="1"/>
  <c r="AJ172" i="1"/>
  <c r="AQ165" i="1"/>
  <c r="AI161" i="1"/>
  <c r="AC157" i="1"/>
  <c r="AK153" i="1"/>
  <c r="AG150" i="1"/>
  <c r="AC147" i="1"/>
  <c r="AU143" i="1"/>
  <c r="AO140" i="1"/>
  <c r="AK137" i="1"/>
  <c r="AG134" i="1"/>
  <c r="AC131" i="1"/>
  <c r="AU127" i="1"/>
  <c r="AO124" i="1"/>
  <c r="AK121" i="1"/>
  <c r="AG118" i="1"/>
  <c r="AC115" i="1"/>
  <c r="AU111" i="1"/>
  <c r="AO108" i="1"/>
  <c r="AR149" i="1"/>
  <c r="AF124" i="1"/>
  <c r="AM115" i="1"/>
  <c r="AL110" i="1"/>
  <c r="AR106" i="1"/>
  <c r="AN103" i="1"/>
  <c r="AJ100" i="1"/>
  <c r="AF97" i="1"/>
  <c r="AX93" i="1"/>
  <c r="AR90" i="1"/>
  <c r="AN87" i="1"/>
  <c r="AJ84" i="1"/>
  <c r="AF81" i="1"/>
  <c r="AX77" i="1"/>
  <c r="AR74" i="1"/>
  <c r="AN71" i="1"/>
  <c r="AJ68" i="1"/>
  <c r="AF65" i="1"/>
  <c r="AX61" i="1"/>
  <c r="AR58" i="1"/>
  <c r="AN55" i="1"/>
  <c r="AJ52" i="1"/>
  <c r="AF49" i="1"/>
  <c r="AX45" i="1"/>
  <c r="AR42" i="1"/>
  <c r="AN39" i="1"/>
  <c r="AJ228" i="1"/>
  <c r="AP177" i="1"/>
  <c r="AL156" i="1"/>
  <c r="AC198" i="1"/>
  <c r="AK186" i="1"/>
  <c r="AG175" i="1"/>
  <c r="AC164" i="1"/>
  <c r="AR194" i="1"/>
  <c r="AO160" i="1"/>
  <c r="AM150" i="1"/>
  <c r="AQ141" i="1"/>
  <c r="AQ133" i="1"/>
  <c r="AW124" i="1"/>
  <c r="AE116" i="1"/>
  <c r="AN181" i="1"/>
  <c r="AX159" i="1"/>
  <c r="AD150" i="1"/>
  <c r="AD142" i="1"/>
  <c r="AH133" i="1"/>
  <c r="AL124" i="1"/>
  <c r="AR190" i="1"/>
  <c r="AM161" i="1"/>
  <c r="AG151" i="1"/>
  <c r="AG143" i="1"/>
  <c r="AK134" i="1"/>
  <c r="AO125" i="1"/>
  <c r="AO117" i="1"/>
  <c r="AX183" i="1"/>
  <c r="AJ160" i="1"/>
  <c r="AF151" i="1"/>
  <c r="AJ142" i="1"/>
  <c r="AF135" i="1"/>
  <c r="AR128" i="1"/>
  <c r="AJ122" i="1"/>
  <c r="AF177" i="1"/>
  <c r="AM162" i="1"/>
  <c r="AI154" i="1"/>
  <c r="AW147" i="1"/>
  <c r="AM141" i="1"/>
  <c r="AE135" i="1"/>
  <c r="AQ128" i="1"/>
  <c r="AM123" i="1"/>
  <c r="AF199" i="1"/>
  <c r="AW169" i="1"/>
  <c r="AL163" i="1"/>
  <c r="AN157" i="1"/>
  <c r="AP152" i="1"/>
  <c r="AP148" i="1"/>
  <c r="AH144" i="1"/>
  <c r="AV139" i="1"/>
  <c r="AV135" i="1"/>
  <c r="AL131" i="1"/>
  <c r="AD127" i="1"/>
  <c r="AD123" i="1"/>
  <c r="AP118" i="1"/>
  <c r="AP114" i="1"/>
  <c r="AL111" i="1"/>
  <c r="AN233" i="1"/>
  <c r="AJ192" i="1"/>
  <c r="AR170" i="1"/>
  <c r="AD165" i="1"/>
  <c r="AQ160" i="1"/>
  <c r="AM156" i="1"/>
  <c r="AC153" i="1"/>
  <c r="AU149" i="1"/>
  <c r="AO146" i="1"/>
  <c r="AK143" i="1"/>
  <c r="AG140" i="1"/>
  <c r="AC137" i="1"/>
  <c r="AU133" i="1"/>
  <c r="AO130" i="1"/>
  <c r="AK127" i="1"/>
  <c r="AG124" i="1"/>
  <c r="AC121" i="1"/>
  <c r="AU117" i="1"/>
  <c r="AO114" i="1"/>
  <c r="AK111" i="1"/>
  <c r="AE231" i="1"/>
  <c r="AN146" i="1"/>
  <c r="AJ121" i="1"/>
  <c r="AQ114" i="1"/>
  <c r="AX109" i="1"/>
  <c r="AJ106" i="1"/>
  <c r="AF103" i="1"/>
  <c r="AX99" i="1"/>
  <c r="AR96" i="1"/>
  <c r="AN93" i="1"/>
  <c r="AJ90" i="1"/>
  <c r="AF87" i="1"/>
  <c r="AX83" i="1"/>
  <c r="AR80" i="1"/>
  <c r="AN77" i="1"/>
  <c r="AJ74" i="1"/>
  <c r="AF71" i="1"/>
  <c r="AX67" i="1"/>
  <c r="AR64" i="1"/>
  <c r="AN61" i="1"/>
  <c r="AJ58" i="1"/>
  <c r="AF55" i="1"/>
  <c r="AX51" i="1"/>
  <c r="AR48" i="1"/>
  <c r="AN45" i="1"/>
  <c r="AJ42" i="1"/>
  <c r="AF39" i="1"/>
  <c r="AX35" i="1"/>
  <c r="AR32" i="1"/>
  <c r="AN29" i="1"/>
  <c r="AJ26" i="1"/>
  <c r="AE23" i="1"/>
  <c r="AR188" i="1"/>
  <c r="AX142" i="1"/>
  <c r="AF120" i="1"/>
  <c r="AX190" i="1"/>
  <c r="AP175" i="1"/>
  <c r="AG230" i="1"/>
  <c r="AG197" i="1"/>
  <c r="AU184" i="1"/>
  <c r="AO173" i="1"/>
  <c r="AK162" i="1"/>
  <c r="AJ188" i="1"/>
  <c r="AM158" i="1"/>
  <c r="AQ149" i="1"/>
  <c r="AW140" i="1"/>
  <c r="AE132" i="1"/>
  <c r="AE124" i="1"/>
  <c r="AI115" i="1"/>
  <c r="AQ171" i="1"/>
  <c r="AX158" i="1"/>
  <c r="AH149" i="1"/>
  <c r="AL140" i="1"/>
  <c r="AL132" i="1"/>
  <c r="AP123" i="1"/>
  <c r="AX177" i="1"/>
  <c r="AM160" i="1"/>
  <c r="AK150" i="1"/>
  <c r="AO141" i="1"/>
  <c r="AO133" i="1"/>
  <c r="AU124" i="1"/>
  <c r="AC116" i="1"/>
  <c r="AN177" i="1"/>
  <c r="AJ159" i="1"/>
  <c r="AN149" i="1"/>
  <c r="AN141" i="1"/>
  <c r="AX133" i="1"/>
  <c r="AN127" i="1"/>
  <c r="AX239" i="1"/>
  <c r="AF171" i="1"/>
  <c r="AW160" i="1"/>
  <c r="AE153" i="1"/>
  <c r="AQ146" i="1"/>
  <c r="AI140" i="1"/>
  <c r="AW133" i="1"/>
  <c r="AM127" i="1"/>
  <c r="AE123" i="1"/>
  <c r="AR192" i="1"/>
  <c r="AE169" i="1"/>
  <c r="AX162" i="1"/>
  <c r="AN156" i="1"/>
  <c r="AH152" i="1"/>
  <c r="AH148" i="1"/>
  <c r="AL143" i="1"/>
  <c r="AL139" i="1"/>
  <c r="AL135" i="1"/>
  <c r="AP130" i="1"/>
  <c r="AP126" i="1"/>
  <c r="AP122" i="1"/>
  <c r="AV117" i="1"/>
  <c r="AH114" i="1"/>
  <c r="AD111" i="1"/>
  <c r="AN223" i="1"/>
  <c r="AF189" i="1"/>
  <c r="AU169" i="1"/>
  <c r="AM164" i="1"/>
  <c r="AG160" i="1"/>
  <c r="AW155" i="1"/>
  <c r="AO152" i="1"/>
  <c r="AK149" i="1"/>
  <c r="AG146" i="1"/>
  <c r="AC143" i="1"/>
  <c r="AU139" i="1"/>
  <c r="AO136" i="1"/>
  <c r="AK133" i="1"/>
  <c r="AG130" i="1"/>
  <c r="AC127" i="1"/>
  <c r="AU123" i="1"/>
  <c r="AO120" i="1"/>
  <c r="AK117" i="1"/>
  <c r="AG114" i="1"/>
  <c r="AC111" i="1"/>
  <c r="AX191" i="1"/>
  <c r="AJ143" i="1"/>
  <c r="AI120" i="1"/>
  <c r="AW113" i="1"/>
  <c r="AJ109" i="1"/>
  <c r="AX105" i="1"/>
  <c r="AR102" i="1"/>
  <c r="AN99" i="1"/>
  <c r="AJ96" i="1"/>
  <c r="AF93" i="1"/>
  <c r="AX89" i="1"/>
  <c r="AR86" i="1"/>
  <c r="AN83" i="1"/>
  <c r="AJ80" i="1"/>
  <c r="AF77" i="1"/>
  <c r="AX73" i="1"/>
  <c r="AR70" i="1"/>
  <c r="AN67" i="1"/>
  <c r="AJ64" i="1"/>
  <c r="AF61" i="1"/>
  <c r="AX57" i="1"/>
  <c r="AR54" i="1"/>
  <c r="AN51" i="1"/>
  <c r="AJ48" i="1"/>
  <c r="AF45" i="1"/>
  <c r="AX41" i="1"/>
  <c r="AR38" i="1"/>
  <c r="AN35" i="1"/>
  <c r="AJ32" i="1"/>
  <c r="AF29" i="1"/>
  <c r="AX25" i="1"/>
  <c r="AQ22" i="1"/>
  <c r="AQ169" i="1"/>
  <c r="AR139" i="1"/>
  <c r="AJ119" i="1"/>
  <c r="AJ165" i="1"/>
  <c r="AD174" i="1"/>
  <c r="AR224" i="1"/>
  <c r="AK194" i="1"/>
  <c r="AC184" i="1"/>
  <c r="AC172" i="1"/>
  <c r="AU160" i="1"/>
  <c r="AN175" i="1"/>
  <c r="AK157" i="1"/>
  <c r="AE148" i="1"/>
  <c r="AE140" i="1"/>
  <c r="AI131" i="1"/>
  <c r="AM122" i="1"/>
  <c r="AM114" i="1"/>
  <c r="AM169" i="1"/>
  <c r="AR156" i="1"/>
  <c r="AL148" i="1"/>
  <c r="AP139" i="1"/>
  <c r="AV130" i="1"/>
  <c r="AV122" i="1"/>
  <c r="AF173" i="1"/>
  <c r="AI158" i="1"/>
  <c r="AO149" i="1"/>
  <c r="AU140" i="1"/>
  <c r="AC132" i="1"/>
  <c r="AC124" i="1"/>
  <c r="AG115" i="1"/>
  <c r="AE170" i="1"/>
  <c r="AH158" i="1"/>
  <c r="AR148" i="1"/>
  <c r="AX139" i="1"/>
  <c r="AN133" i="1"/>
  <c r="AF127" i="1"/>
  <c r="AU225" i="1"/>
  <c r="AX169" i="1"/>
  <c r="AI160" i="1"/>
  <c r="AQ152" i="1"/>
  <c r="AI146" i="1"/>
  <c r="AW139" i="1"/>
  <c r="AM133" i="1"/>
  <c r="AE127" i="1"/>
  <c r="AI122" i="1"/>
  <c r="AN189" i="1"/>
  <c r="AI168" i="1"/>
  <c r="AV161" i="1"/>
  <c r="AX155" i="1"/>
  <c r="AV151" i="1"/>
  <c r="AL147" i="1"/>
  <c r="AD143" i="1"/>
  <c r="AD139" i="1"/>
  <c r="AP134" i="1"/>
  <c r="AH130" i="1"/>
  <c r="AH126" i="1"/>
  <c r="AV121" i="1"/>
  <c r="AL117" i="1"/>
  <c r="AV113" i="1"/>
  <c r="AP110" i="1"/>
  <c r="AX215" i="1"/>
  <c r="AX185" i="1"/>
  <c r="AC169" i="1"/>
  <c r="AW163" i="1"/>
  <c r="AQ159" i="1"/>
  <c r="AK155" i="1"/>
  <c r="AG152" i="1"/>
  <c r="AC149" i="1"/>
  <c r="AU145" i="1"/>
  <c r="AO142" i="1"/>
  <c r="AK139" i="1"/>
  <c r="AG136" i="1"/>
  <c r="AC133" i="1"/>
  <c r="AU129" i="1"/>
  <c r="AO126" i="1"/>
  <c r="AK123" i="1"/>
  <c r="AG120" i="1"/>
  <c r="AC117" i="1"/>
  <c r="AU113" i="1"/>
  <c r="AO110" i="1"/>
  <c r="AO170" i="1"/>
  <c r="AF140" i="1"/>
  <c r="AM119" i="1"/>
  <c r="AF113" i="1"/>
  <c r="AV108" i="1"/>
  <c r="AN105" i="1"/>
  <c r="AJ102" i="1"/>
  <c r="AF99" i="1"/>
  <c r="AX95" i="1"/>
  <c r="AR92" i="1"/>
  <c r="AN89" i="1"/>
  <c r="AJ86" i="1"/>
  <c r="AF83" i="1"/>
  <c r="AX79" i="1"/>
  <c r="AR76" i="1"/>
  <c r="AN73" i="1"/>
  <c r="AJ70" i="1"/>
  <c r="AF67" i="1"/>
  <c r="AX63" i="1"/>
  <c r="AR60" i="1"/>
  <c r="AN57" i="1"/>
  <c r="AJ54" i="1"/>
  <c r="AF51" i="1"/>
  <c r="AX47" i="1"/>
  <c r="AR44" i="1"/>
  <c r="AN41" i="1"/>
  <c r="AJ38" i="1"/>
  <c r="AF35" i="1"/>
  <c r="AX31" i="1"/>
  <c r="AR28" i="1"/>
  <c r="AN25" i="1"/>
  <c r="AI22" i="1"/>
  <c r="AJ164" i="1"/>
  <c r="AN136" i="1"/>
  <c r="AN118" i="1"/>
  <c r="AM112" i="1"/>
  <c r="AI108" i="1"/>
  <c r="AE105" i="1"/>
  <c r="AW101" i="1"/>
  <c r="AQ98" i="1"/>
  <c r="AM95" i="1"/>
  <c r="AI92" i="1"/>
  <c r="AE89" i="1"/>
  <c r="AW85" i="1"/>
  <c r="AQ82" i="1"/>
  <c r="AM79" i="1"/>
  <c r="AI76" i="1"/>
  <c r="AE73" i="1"/>
  <c r="AW69" i="1"/>
  <c r="AQ66" i="1"/>
  <c r="AQ195" i="1"/>
  <c r="AH169" i="1"/>
  <c r="AO220" i="1"/>
  <c r="AO193" i="1"/>
  <c r="AO181" i="1"/>
  <c r="AG171" i="1"/>
  <c r="AG159" i="1"/>
  <c r="AN169" i="1"/>
  <c r="AI156" i="1"/>
  <c r="AI147" i="1"/>
  <c r="AM138" i="1"/>
  <c r="AM130" i="1"/>
  <c r="AQ121" i="1"/>
  <c r="AQ254" i="1"/>
  <c r="AX167" i="1"/>
  <c r="AR155" i="1"/>
  <c r="AV146" i="1"/>
  <c r="AV138" i="1"/>
  <c r="AD130" i="1"/>
  <c r="AH121" i="1"/>
  <c r="AG170" i="1"/>
  <c r="AI157" i="1"/>
  <c r="AC148" i="1"/>
  <c r="AC140" i="1"/>
  <c r="AG131" i="1"/>
  <c r="AK122" i="1"/>
  <c r="AK114" i="1"/>
  <c r="AM168" i="1"/>
  <c r="AF156" i="1"/>
  <c r="AX147" i="1"/>
  <c r="AF139" i="1"/>
  <c r="AR132" i="1"/>
  <c r="AJ126" i="1"/>
  <c r="AE212" i="1"/>
  <c r="AJ168" i="1"/>
  <c r="AI159" i="1"/>
  <c r="AW151" i="1"/>
  <c r="AM145" i="1"/>
  <c r="AE139" i="1"/>
  <c r="AQ132" i="1"/>
  <c r="AI126" i="1"/>
  <c r="AR236" i="1"/>
  <c r="AJ186" i="1"/>
  <c r="AQ167" i="1"/>
  <c r="AR160" i="1"/>
  <c r="AL155" i="1"/>
  <c r="AL151" i="1"/>
  <c r="AP146" i="1"/>
  <c r="AP142" i="1"/>
  <c r="AP138" i="1"/>
  <c r="AV133" i="1"/>
  <c r="AV129" i="1"/>
  <c r="AV125" i="1"/>
  <c r="AD121" i="1"/>
  <c r="AD117" i="1"/>
  <c r="AL113" i="1"/>
  <c r="AH110" i="1"/>
  <c r="AV210" i="1"/>
  <c r="AR182" i="1"/>
  <c r="AH168" i="1"/>
  <c r="AK163" i="1"/>
  <c r="AE159" i="1"/>
  <c r="AC155" i="1"/>
  <c r="AU151" i="1"/>
  <c r="AO148" i="1"/>
  <c r="AK145" i="1"/>
  <c r="AG142" i="1"/>
  <c r="AC139" i="1"/>
  <c r="AU135" i="1"/>
  <c r="AO132" i="1"/>
  <c r="AK129" i="1"/>
  <c r="AG126" i="1"/>
  <c r="AC123" i="1"/>
  <c r="AU119" i="1"/>
  <c r="AO116" i="1"/>
  <c r="AK113" i="1"/>
  <c r="AG110" i="1"/>
  <c r="AC165" i="1"/>
  <c r="AX136" i="1"/>
  <c r="AQ118" i="1"/>
  <c r="AN112" i="1"/>
  <c r="AJ108" i="1"/>
  <c r="AF105" i="1"/>
  <c r="AX101" i="1"/>
  <c r="AR98" i="1"/>
  <c r="AN95" i="1"/>
  <c r="AJ92" i="1"/>
  <c r="AF89" i="1"/>
  <c r="AX85" i="1"/>
  <c r="AR82" i="1"/>
  <c r="AN79" i="1"/>
  <c r="AJ76" i="1"/>
  <c r="AF73" i="1"/>
  <c r="AX69" i="1"/>
  <c r="AR66" i="1"/>
  <c r="AN63" i="1"/>
  <c r="AJ60" i="1"/>
  <c r="AF57" i="1"/>
  <c r="AX53" i="1"/>
  <c r="AR50" i="1"/>
  <c r="AN47" i="1"/>
  <c r="AJ44" i="1"/>
  <c r="AF41" i="1"/>
  <c r="AX37" i="1"/>
  <c r="AE227" i="1"/>
  <c r="AP167" i="1"/>
  <c r="AN211" i="1"/>
  <c r="AU192" i="1"/>
  <c r="AU180" i="1"/>
  <c r="AU168" i="1"/>
  <c r="AK158" i="1"/>
  <c r="AR166" i="1"/>
  <c r="AM154" i="1"/>
  <c r="AM146" i="1"/>
  <c r="AQ137" i="1"/>
  <c r="AW128" i="1"/>
  <c r="AW120" i="1"/>
  <c r="AJ220" i="1"/>
  <c r="AL165" i="1"/>
  <c r="AV154" i="1"/>
  <c r="AD146" i="1"/>
  <c r="AH137" i="1"/>
  <c r="AH129" i="1"/>
  <c r="AL120" i="1"/>
  <c r="AI167" i="1"/>
  <c r="AG156" i="1"/>
  <c r="AG147" i="1"/>
  <c r="AK138" i="1"/>
  <c r="AK130" i="1"/>
  <c r="AO121" i="1"/>
  <c r="AR226" i="1"/>
  <c r="AF167" i="1"/>
  <c r="AF155" i="1"/>
  <c r="AJ146" i="1"/>
  <c r="AJ138" i="1"/>
  <c r="AX131" i="1"/>
  <c r="AN125" i="1"/>
  <c r="AG203" i="1"/>
  <c r="AE167" i="1"/>
  <c r="AG158" i="1"/>
  <c r="AE151" i="1"/>
  <c r="AQ144" i="1"/>
  <c r="AI138" i="1"/>
  <c r="AW131" i="1"/>
  <c r="AM125" i="1"/>
  <c r="AQ224" i="1"/>
  <c r="AF183" i="1"/>
  <c r="AJ166" i="1"/>
  <c r="AH160" i="1"/>
  <c r="AD155" i="1"/>
  <c r="AP150" i="1"/>
  <c r="AH146" i="1"/>
  <c r="AH142" i="1"/>
  <c r="AV137" i="1"/>
  <c r="AL133" i="1"/>
  <c r="AL129" i="1"/>
  <c r="AD125" i="1"/>
  <c r="AP120" i="1"/>
  <c r="AP116" i="1"/>
  <c r="AD113" i="1"/>
  <c r="AV109" i="1"/>
  <c r="AE206" i="1"/>
  <c r="AN179" i="1"/>
  <c r="AN167" i="1"/>
  <c r="AW162" i="1"/>
  <c r="AO158" i="1"/>
  <c r="AO154" i="1"/>
  <c r="AK151" i="1"/>
  <c r="AG148" i="1"/>
  <c r="AC145" i="1"/>
  <c r="AU141" i="1"/>
  <c r="AO138" i="1"/>
  <c r="AK135" i="1"/>
  <c r="AG132" i="1"/>
  <c r="AC129" i="1"/>
  <c r="AU125" i="1"/>
  <c r="AO122" i="1"/>
  <c r="AK119" i="1"/>
  <c r="AG116" i="1"/>
  <c r="AC113" i="1"/>
  <c r="AU109" i="1"/>
  <c r="AP160" i="1"/>
  <c r="AR133" i="1"/>
  <c r="AW117" i="1"/>
  <c r="AD112" i="1"/>
  <c r="AX107" i="1"/>
  <c r="AR104" i="1"/>
  <c r="AN101" i="1"/>
  <c r="AJ98" i="1"/>
  <c r="AF95" i="1"/>
  <c r="AX91" i="1"/>
  <c r="AR88" i="1"/>
  <c r="AN85" i="1"/>
  <c r="AJ82" i="1"/>
  <c r="AF79" i="1"/>
  <c r="AX75" i="1"/>
  <c r="AR72" i="1"/>
  <c r="AM201" i="1"/>
  <c r="AV164" i="1"/>
  <c r="AC209" i="1"/>
  <c r="AK190" i="1"/>
  <c r="AC180" i="1"/>
  <c r="AC168" i="1"/>
  <c r="AC156" i="1"/>
  <c r="AM165" i="1"/>
  <c r="AQ153" i="1"/>
  <c r="AW144" i="1"/>
  <c r="AW136" i="1"/>
  <c r="AE128" i="1"/>
  <c r="AI119" i="1"/>
  <c r="AW208" i="1"/>
  <c r="AH164" i="1"/>
  <c r="AH153" i="1"/>
  <c r="AH145" i="1"/>
  <c r="AL136" i="1"/>
  <c r="AP127" i="1"/>
  <c r="AW227" i="1"/>
  <c r="AX165" i="1"/>
  <c r="AK154" i="1"/>
  <c r="AK146" i="1"/>
  <c r="AO137" i="1"/>
  <c r="AU128" i="1"/>
  <c r="AU120" i="1"/>
  <c r="AR212" i="1"/>
  <c r="AP164" i="1"/>
  <c r="AJ154" i="1"/>
  <c r="AN145" i="1"/>
  <c r="AF137" i="1"/>
  <c r="AR130" i="1"/>
  <c r="AJ124" i="1"/>
  <c r="AF193" i="1"/>
  <c r="AF165" i="1"/>
  <c r="AO156" i="1"/>
  <c r="AW149" i="1"/>
  <c r="AM143" i="1"/>
  <c r="AE137" i="1"/>
  <c r="AQ130" i="1"/>
  <c r="AQ124" i="1"/>
  <c r="AO216" i="1"/>
  <c r="AX179" i="1"/>
  <c r="AE165" i="1"/>
  <c r="AR159" i="1"/>
  <c r="AP154" i="1"/>
  <c r="AV149" i="1"/>
  <c r="AV145" i="1"/>
  <c r="AV141" i="1"/>
  <c r="AD137" i="1"/>
  <c r="AD133" i="1"/>
  <c r="AD129" i="1"/>
  <c r="AH124" i="1"/>
  <c r="AH120" i="1"/>
  <c r="AH116" i="1"/>
  <c r="AP112" i="1"/>
  <c r="AL109" i="1"/>
  <c r="AI202" i="1"/>
  <c r="AJ176" i="1"/>
  <c r="AC167" i="1"/>
  <c r="AI162" i="1"/>
  <c r="AE158" i="1"/>
  <c r="AG154" i="1"/>
  <c r="AC151" i="1"/>
  <c r="AU147" i="1"/>
  <c r="AO144" i="1"/>
  <c r="AK141" i="1"/>
  <c r="AG138" i="1"/>
  <c r="AC135" i="1"/>
  <c r="AU131" i="1"/>
  <c r="AO128" i="1"/>
  <c r="AK125" i="1"/>
  <c r="AG122" i="1"/>
  <c r="AC119" i="1"/>
  <c r="AU115" i="1"/>
  <c r="AO112" i="1"/>
  <c r="AK109" i="1"/>
  <c r="AJ156" i="1"/>
  <c r="AN130" i="1"/>
  <c r="AE117" i="1"/>
  <c r="AN111" i="1"/>
  <c r="AN107" i="1"/>
  <c r="AJ104" i="1"/>
  <c r="AF101" i="1"/>
  <c r="AX97" i="1"/>
  <c r="AR94" i="1"/>
  <c r="AN91" i="1"/>
  <c r="AJ88" i="1"/>
  <c r="AF85" i="1"/>
  <c r="AX81" i="1"/>
  <c r="AR78" i="1"/>
  <c r="AN75" i="1"/>
  <c r="AJ72" i="1"/>
  <c r="AF69" i="1"/>
  <c r="AX65" i="1"/>
  <c r="AR62" i="1"/>
  <c r="AN59" i="1"/>
  <c r="AJ56" i="1"/>
  <c r="AF53" i="1"/>
  <c r="AX49" i="1"/>
  <c r="AR46" i="1"/>
  <c r="AN43" i="1"/>
  <c r="AJ40" i="1"/>
  <c r="AF37" i="1"/>
  <c r="AX33" i="1"/>
  <c r="AR30" i="1"/>
  <c r="AN27" i="1"/>
  <c r="AJ24" i="1"/>
  <c r="AC21" i="1"/>
  <c r="AN152" i="1"/>
  <c r="AX126" i="1"/>
  <c r="AF116" i="1"/>
  <c r="AW110" i="1"/>
  <c r="AE107" i="1"/>
  <c r="AW103" i="1"/>
  <c r="AQ100" i="1"/>
  <c r="AM97" i="1"/>
  <c r="AI94" i="1"/>
  <c r="AE91" i="1"/>
  <c r="AW87" i="1"/>
  <c r="AQ84" i="1"/>
  <c r="AM81" i="1"/>
  <c r="AI78" i="1"/>
  <c r="AE75" i="1"/>
  <c r="AW71" i="1"/>
  <c r="AQ68" i="1"/>
  <c r="AM65" i="1"/>
  <c r="AH193" i="1"/>
  <c r="AW152" i="1"/>
  <c r="AP143" i="1"/>
  <c r="AC128" i="1"/>
  <c r="AX123" i="1"/>
  <c r="AI124" i="1"/>
  <c r="AD141" i="1"/>
  <c r="AD109" i="1"/>
  <c r="AK147" i="1"/>
  <c r="AU121" i="1"/>
  <c r="AX110" i="1"/>
  <c r="AR84" i="1"/>
  <c r="AN65" i="1"/>
  <c r="AR52" i="1"/>
  <c r="AX39" i="1"/>
  <c r="AN31" i="1"/>
  <c r="AF25" i="1"/>
  <c r="AF160" i="1"/>
  <c r="AR117" i="1"/>
  <c r="AK110" i="1"/>
  <c r="AW105" i="1"/>
  <c r="AM101" i="1"/>
  <c r="AE97" i="1"/>
  <c r="AE93" i="1"/>
  <c r="AQ88" i="1"/>
  <c r="AI84" i="1"/>
  <c r="AI80" i="1"/>
  <c r="AW75" i="1"/>
  <c r="AM71" i="1"/>
  <c r="AM67" i="1"/>
  <c r="AM63" i="1"/>
  <c r="AI60" i="1"/>
  <c r="AE57" i="1"/>
  <c r="AW53" i="1"/>
  <c r="AQ50" i="1"/>
  <c r="AM47" i="1"/>
  <c r="AI44" i="1"/>
  <c r="AE41" i="1"/>
  <c r="AW37" i="1"/>
  <c r="AQ34" i="1"/>
  <c r="AM31" i="1"/>
  <c r="AX148" i="1"/>
  <c r="AJ123" i="1"/>
  <c r="AH115" i="1"/>
  <c r="AJ110" i="1"/>
  <c r="AP106" i="1"/>
  <c r="AL103" i="1"/>
  <c r="AH100" i="1"/>
  <c r="AD97" i="1"/>
  <c r="AV93" i="1"/>
  <c r="AP90" i="1"/>
  <c r="AL87" i="1"/>
  <c r="AH84" i="1"/>
  <c r="AD81" i="1"/>
  <c r="AV77" i="1"/>
  <c r="AP74" i="1"/>
  <c r="AL71" i="1"/>
  <c r="AH68" i="1"/>
  <c r="AD65" i="1"/>
  <c r="AV61" i="1"/>
  <c r="AP58" i="1"/>
  <c r="AL55" i="1"/>
  <c r="AH52" i="1"/>
  <c r="AD49" i="1"/>
  <c r="AV45" i="1"/>
  <c r="AP42" i="1"/>
  <c r="AL39" i="1"/>
  <c r="AH36" i="1"/>
  <c r="AD33" i="1"/>
  <c r="AV29" i="1"/>
  <c r="AJ182" i="1"/>
  <c r="AF142" i="1"/>
  <c r="AX119" i="1"/>
  <c r="AN113" i="1"/>
  <c r="AG109" i="1"/>
  <c r="AU105" i="1"/>
  <c r="AO102" i="1"/>
  <c r="AK99" i="1"/>
  <c r="AG96" i="1"/>
  <c r="AC93" i="1"/>
  <c r="AU89" i="1"/>
  <c r="AO86" i="1"/>
  <c r="AK83" i="1"/>
  <c r="AG80" i="1"/>
  <c r="AC77" i="1"/>
  <c r="AU73" i="1"/>
  <c r="AO70" i="1"/>
  <c r="AK67" i="1"/>
  <c r="AG64" i="1"/>
  <c r="AC61" i="1"/>
  <c r="AU57" i="1"/>
  <c r="AO54" i="1"/>
  <c r="AK51" i="1"/>
  <c r="AG48" i="1"/>
  <c r="AC45" i="1"/>
  <c r="AU41" i="1"/>
  <c r="AO38" i="1"/>
  <c r="AK35" i="1"/>
  <c r="AG32" i="1"/>
  <c r="AF148" i="1"/>
  <c r="AN122" i="1"/>
  <c r="AE115" i="1"/>
  <c r="AF110" i="1"/>
  <c r="AN106" i="1"/>
  <c r="AJ103" i="1"/>
  <c r="AF100" i="1"/>
  <c r="AX96" i="1"/>
  <c r="AR93" i="1"/>
  <c r="AN90" i="1"/>
  <c r="AJ87" i="1"/>
  <c r="AF84" i="1"/>
  <c r="AX80" i="1"/>
  <c r="AR77" i="1"/>
  <c r="AN74" i="1"/>
  <c r="AJ71" i="1"/>
  <c r="AF68" i="1"/>
  <c r="AX64" i="1"/>
  <c r="AR61" i="1"/>
  <c r="AN58" i="1"/>
  <c r="AJ55" i="1"/>
  <c r="AF52" i="1"/>
  <c r="AX48" i="1"/>
  <c r="AR45" i="1"/>
  <c r="AN42" i="1"/>
  <c r="AJ39" i="1"/>
  <c r="AF36" i="1"/>
  <c r="AX32" i="1"/>
  <c r="AV201" i="1"/>
  <c r="AN144" i="1"/>
  <c r="AQ120" i="1"/>
  <c r="AF114" i="1"/>
  <c r="AO109" i="1"/>
  <c r="AE106" i="1"/>
  <c r="AW102" i="1"/>
  <c r="AQ99" i="1"/>
  <c r="AM96" i="1"/>
  <c r="AI93" i="1"/>
  <c r="AE90" i="1"/>
  <c r="AW86" i="1"/>
  <c r="AQ83" i="1"/>
  <c r="AM80" i="1"/>
  <c r="AI77" i="1"/>
  <c r="AE74" i="1"/>
  <c r="AW70" i="1"/>
  <c r="AQ67" i="1"/>
  <c r="AM64" i="1"/>
  <c r="AI61" i="1"/>
  <c r="AE58" i="1"/>
  <c r="AW54" i="1"/>
  <c r="AQ51" i="1"/>
  <c r="AM48" i="1"/>
  <c r="AI45" i="1"/>
  <c r="AE42" i="1"/>
  <c r="AW38" i="1"/>
  <c r="AQ35" i="1"/>
  <c r="AM32" i="1"/>
  <c r="AI29" i="1"/>
  <c r="AE26" i="1"/>
  <c r="AQ173" i="1"/>
  <c r="AX140" i="1"/>
  <c r="AP119" i="1"/>
  <c r="AH113" i="1"/>
  <c r="AX108" i="1"/>
  <c r="AP105" i="1"/>
  <c r="AL102" i="1"/>
  <c r="AH99" i="1"/>
  <c r="AD96" i="1"/>
  <c r="AV92" i="1"/>
  <c r="AP89" i="1"/>
  <c r="AL86" i="1"/>
  <c r="AH83" i="1"/>
  <c r="AD80" i="1"/>
  <c r="AV76" i="1"/>
  <c r="AP73" i="1"/>
  <c r="AL70" i="1"/>
  <c r="AH67" i="1"/>
  <c r="AD64" i="1"/>
  <c r="AV60" i="1"/>
  <c r="AP57" i="1"/>
  <c r="AL54" i="1"/>
  <c r="AH51" i="1"/>
  <c r="AD48" i="1"/>
  <c r="AV44" i="1"/>
  <c r="AP41" i="1"/>
  <c r="AL38" i="1"/>
  <c r="AH35" i="1"/>
  <c r="AD32" i="1"/>
  <c r="AV28" i="1"/>
  <c r="AO99" i="1"/>
  <c r="AC74" i="1"/>
  <c r="AK48" i="1"/>
  <c r="AC29" i="1"/>
  <c r="AK24" i="1"/>
  <c r="AL20" i="1"/>
  <c r="AD17" i="1"/>
  <c r="AQ13" i="1"/>
  <c r="AJ10" i="1"/>
  <c r="AX6" i="1"/>
  <c r="AO3" i="1"/>
  <c r="AM14" i="1"/>
  <c r="AG8" i="1"/>
  <c r="AP10" i="1"/>
  <c r="AO14" i="1"/>
  <c r="AW108" i="1"/>
  <c r="AG83" i="1"/>
  <c r="AO57" i="1"/>
  <c r="AC32" i="1"/>
  <c r="AW25" i="1"/>
  <c r="AU21" i="1"/>
  <c r="AV17" i="1"/>
  <c r="AK12" i="1"/>
  <c r="AP5" i="1"/>
  <c r="AJ4" i="1"/>
  <c r="AW4" i="1"/>
  <c r="AC102" i="1"/>
  <c r="AK76" i="1"/>
  <c r="AU50" i="1"/>
  <c r="AO29" i="1"/>
  <c r="AU24" i="1"/>
  <c r="AU20" i="1"/>
  <c r="AK17" i="1"/>
  <c r="AC14" i="1"/>
  <c r="AU9" i="1"/>
  <c r="AE3" i="1"/>
  <c r="AF161" i="1"/>
  <c r="AG95" i="1"/>
  <c r="AO69" i="1"/>
  <c r="AC44" i="1"/>
  <c r="AD28" i="1"/>
  <c r="AP23" i="1"/>
  <c r="AV19" i="1"/>
  <c r="AM16" i="1"/>
  <c r="AE13" i="1"/>
  <c r="AR9" i="1"/>
  <c r="AK6" i="1"/>
  <c r="AD3" i="1"/>
  <c r="AR114" i="1"/>
  <c r="AU18" i="1"/>
  <c r="AH3" i="1"/>
  <c r="AC98" i="1"/>
  <c r="AK72" i="1"/>
  <c r="AU46" i="1"/>
  <c r="AO28" i="1"/>
  <c r="AF24" i="1"/>
  <c r="AH20" i="1"/>
  <c r="AV16" i="1"/>
  <c r="AM13" i="1"/>
  <c r="AE10" i="1"/>
  <c r="AR6" i="1"/>
  <c r="AM25" i="1"/>
  <c r="AG107" i="1"/>
  <c r="AO81" i="1"/>
  <c r="AC56" i="1"/>
  <c r="AG31" i="1"/>
  <c r="AP25" i="1"/>
  <c r="AH161" i="1"/>
  <c r="AE144" i="1"/>
  <c r="AP135" i="1"/>
  <c r="AG119" i="1"/>
  <c r="AX189" i="1"/>
  <c r="AM211" i="1"/>
  <c r="AP136" i="1"/>
  <c r="AR198" i="1"/>
  <c r="AG144" i="1"/>
  <c r="AO118" i="1"/>
  <c r="AF107" i="1"/>
  <c r="AN81" i="1"/>
  <c r="AF63" i="1"/>
  <c r="AJ50" i="1"/>
  <c r="AN37" i="1"/>
  <c r="AF31" i="1"/>
  <c r="AR24" i="1"/>
  <c r="AV155" i="1"/>
  <c r="AX116" i="1"/>
  <c r="AW109" i="1"/>
  <c r="AM105" i="1"/>
  <c r="AE101" i="1"/>
  <c r="AQ96" i="1"/>
  <c r="AQ92" i="1"/>
  <c r="AI88" i="1"/>
  <c r="AW83" i="1"/>
  <c r="AW79" i="1"/>
  <c r="AM75" i="1"/>
  <c r="AE71" i="1"/>
  <c r="AE67" i="1"/>
  <c r="AE63" i="1"/>
  <c r="AW59" i="1"/>
  <c r="AQ56" i="1"/>
  <c r="AM53" i="1"/>
  <c r="AI50" i="1"/>
  <c r="AE47" i="1"/>
  <c r="AW43" i="1"/>
  <c r="AQ40" i="1"/>
  <c r="AM37" i="1"/>
  <c r="AI34" i="1"/>
  <c r="AI215" i="1"/>
  <c r="AR145" i="1"/>
  <c r="AE121" i="1"/>
  <c r="AL114" i="1"/>
  <c r="AR109" i="1"/>
  <c r="AH106" i="1"/>
  <c r="AD103" i="1"/>
  <c r="AV99" i="1"/>
  <c r="AP96" i="1"/>
  <c r="AL93" i="1"/>
  <c r="AH90" i="1"/>
  <c r="AD87" i="1"/>
  <c r="AV83" i="1"/>
  <c r="AP80" i="1"/>
  <c r="AL77" i="1"/>
  <c r="AH74" i="1"/>
  <c r="AD71" i="1"/>
  <c r="AV67" i="1"/>
  <c r="AP64" i="1"/>
  <c r="AL61" i="1"/>
  <c r="AH58" i="1"/>
  <c r="AD55" i="1"/>
  <c r="AV51" i="1"/>
  <c r="AP48" i="1"/>
  <c r="AL45" i="1"/>
  <c r="AH42" i="1"/>
  <c r="AD39" i="1"/>
  <c r="AV35" i="1"/>
  <c r="AP32" i="1"/>
  <c r="AL29" i="1"/>
  <c r="AG168" i="1"/>
  <c r="AX138" i="1"/>
  <c r="AF119" i="1"/>
  <c r="AW112" i="1"/>
  <c r="AQ108" i="1"/>
  <c r="AK105" i="1"/>
  <c r="AG102" i="1"/>
  <c r="AC99" i="1"/>
  <c r="AU95" i="1"/>
  <c r="AO92" i="1"/>
  <c r="AK89" i="1"/>
  <c r="AG86" i="1"/>
  <c r="AC83" i="1"/>
  <c r="AU79" i="1"/>
  <c r="AO76" i="1"/>
  <c r="AK73" i="1"/>
  <c r="AG70" i="1"/>
  <c r="AC67" i="1"/>
  <c r="AU63" i="1"/>
  <c r="AO60" i="1"/>
  <c r="AK57" i="1"/>
  <c r="AG54" i="1"/>
  <c r="AC51" i="1"/>
  <c r="AU47" i="1"/>
  <c r="AO44" i="1"/>
  <c r="AK41" i="1"/>
  <c r="AG38" i="1"/>
  <c r="AC35" i="1"/>
  <c r="AN205" i="1"/>
  <c r="AX144" i="1"/>
  <c r="AR120" i="1"/>
  <c r="AI114" i="1"/>
  <c r="AP109" i="1"/>
  <c r="AF106" i="1"/>
  <c r="AX102" i="1"/>
  <c r="AR99" i="1"/>
  <c r="AN96" i="1"/>
  <c r="AJ93" i="1"/>
  <c r="AF90" i="1"/>
  <c r="AX86" i="1"/>
  <c r="AR83" i="1"/>
  <c r="AN80" i="1"/>
  <c r="AJ77" i="1"/>
  <c r="AF74" i="1"/>
  <c r="AX70" i="1"/>
  <c r="AR67" i="1"/>
  <c r="AN64" i="1"/>
  <c r="AJ61" i="1"/>
  <c r="AF58" i="1"/>
  <c r="AX54" i="1"/>
  <c r="AR51" i="1"/>
  <c r="AN48" i="1"/>
  <c r="AJ45" i="1"/>
  <c r="AF42" i="1"/>
  <c r="AX38" i="1"/>
  <c r="AR35" i="1"/>
  <c r="AN32" i="1"/>
  <c r="AX175" i="1"/>
  <c r="AJ141" i="1"/>
  <c r="AR119" i="1"/>
  <c r="AJ113" i="1"/>
  <c r="AE109" i="1"/>
  <c r="AQ105" i="1"/>
  <c r="AM102" i="1"/>
  <c r="AI99" i="1"/>
  <c r="AE96" i="1"/>
  <c r="AW92" i="1"/>
  <c r="AQ89" i="1"/>
  <c r="AM86" i="1"/>
  <c r="AI83" i="1"/>
  <c r="AE80" i="1"/>
  <c r="AW76" i="1"/>
  <c r="AQ73" i="1"/>
  <c r="AM70" i="1"/>
  <c r="AI67" i="1"/>
  <c r="AE64" i="1"/>
  <c r="AW60" i="1"/>
  <c r="AQ57" i="1"/>
  <c r="AM54" i="1"/>
  <c r="AI51" i="1"/>
  <c r="AE48" i="1"/>
  <c r="AW44" i="1"/>
  <c r="AQ41" i="1"/>
  <c r="AM38" i="1"/>
  <c r="AI35" i="1"/>
  <c r="AE32" i="1"/>
  <c r="AW28" i="1"/>
  <c r="AQ25" i="1"/>
  <c r="AH166" i="1"/>
  <c r="AR137" i="1"/>
  <c r="AV118" i="1"/>
  <c r="AR112" i="1"/>
  <c r="AL108" i="1"/>
  <c r="AH105" i="1"/>
  <c r="AD102" i="1"/>
  <c r="AV98" i="1"/>
  <c r="AP95" i="1"/>
  <c r="AL92" i="1"/>
  <c r="AH89" i="1"/>
  <c r="AD86" i="1"/>
  <c r="AV82" i="1"/>
  <c r="AP79" i="1"/>
  <c r="AL76" i="1"/>
  <c r="AH73" i="1"/>
  <c r="AD70" i="1"/>
  <c r="AV66" i="1"/>
  <c r="AP63" i="1"/>
  <c r="AL60" i="1"/>
  <c r="AH57" i="1"/>
  <c r="AD54" i="1"/>
  <c r="AV50" i="1"/>
  <c r="AP47" i="1"/>
  <c r="AL44" i="1"/>
  <c r="AH41" i="1"/>
  <c r="AD38" i="1"/>
  <c r="AV34" i="1"/>
  <c r="AE205" i="1"/>
  <c r="AI135" i="1"/>
  <c r="AV126" i="1"/>
  <c r="AP203" i="1"/>
  <c r="AO164" i="1"/>
  <c r="AE174" i="1"/>
  <c r="AP132" i="1"/>
  <c r="AX173" i="1"/>
  <c r="AC141" i="1"/>
  <c r="AK115" i="1"/>
  <c r="AX103" i="1"/>
  <c r="AJ78" i="1"/>
  <c r="AJ62" i="1"/>
  <c r="AN49" i="1"/>
  <c r="AR36" i="1"/>
  <c r="AJ30" i="1"/>
  <c r="AX23" i="1"/>
  <c r="AJ149" i="1"/>
  <c r="AJ115" i="1"/>
  <c r="AI109" i="1"/>
  <c r="AQ104" i="1"/>
  <c r="AI100" i="1"/>
  <c r="AI96" i="1"/>
  <c r="AW91" i="1"/>
  <c r="AM87" i="1"/>
  <c r="AM83" i="1"/>
  <c r="AE79" i="1"/>
  <c r="AQ74" i="1"/>
  <c r="AQ70" i="1"/>
  <c r="AI66" i="1"/>
  <c r="AQ62" i="1"/>
  <c r="AM59" i="1"/>
  <c r="AI56" i="1"/>
  <c r="AE53" i="1"/>
  <c r="AW49" i="1"/>
  <c r="AQ46" i="1"/>
  <c r="AM43" i="1"/>
  <c r="AI40" i="1"/>
  <c r="AE37" i="1"/>
  <c r="AW33" i="1"/>
  <c r="AN185" i="1"/>
  <c r="AN142" i="1"/>
  <c r="AD120" i="1"/>
  <c r="AP113" i="1"/>
  <c r="AH109" i="1"/>
  <c r="AV105" i="1"/>
  <c r="AP102" i="1"/>
  <c r="AL99" i="1"/>
  <c r="AH96" i="1"/>
  <c r="AD93" i="1"/>
  <c r="AV89" i="1"/>
  <c r="AP86" i="1"/>
  <c r="AL83" i="1"/>
  <c r="AH80" i="1"/>
  <c r="AD77" i="1"/>
  <c r="AV73" i="1"/>
  <c r="AP70" i="1"/>
  <c r="AL67" i="1"/>
  <c r="AH64" i="1"/>
  <c r="AD61" i="1"/>
  <c r="AV57" i="1"/>
  <c r="AP54" i="1"/>
  <c r="AL51" i="1"/>
  <c r="AH48" i="1"/>
  <c r="AD45" i="1"/>
  <c r="AV41" i="1"/>
  <c r="AP38" i="1"/>
  <c r="AL35" i="1"/>
  <c r="AH32" i="1"/>
  <c r="AD29" i="1"/>
  <c r="AJ163" i="1"/>
  <c r="AR135" i="1"/>
  <c r="AJ118" i="1"/>
  <c r="AK112" i="1"/>
  <c r="AG108" i="1"/>
  <c r="AC105" i="1"/>
  <c r="AU101" i="1"/>
  <c r="AO98" i="1"/>
  <c r="AK95" i="1"/>
  <c r="AG92" i="1"/>
  <c r="AC89" i="1"/>
  <c r="AU85" i="1"/>
  <c r="AO82" i="1"/>
  <c r="AK79" i="1"/>
  <c r="AG76" i="1"/>
  <c r="AC73" i="1"/>
  <c r="AU69" i="1"/>
  <c r="AO66" i="1"/>
  <c r="AK63" i="1"/>
  <c r="AG60" i="1"/>
  <c r="AC57" i="1"/>
  <c r="AU53" i="1"/>
  <c r="AO50" i="1"/>
  <c r="AK47" i="1"/>
  <c r="AG44" i="1"/>
  <c r="AC41" i="1"/>
  <c r="AU37" i="1"/>
  <c r="AO34" i="1"/>
  <c r="AF179" i="1"/>
  <c r="AR141" i="1"/>
  <c r="AW119" i="1"/>
  <c r="AM113" i="1"/>
  <c r="AF109" i="1"/>
  <c r="AR105" i="1"/>
  <c r="AN102" i="1"/>
  <c r="AJ99" i="1"/>
  <c r="AF96" i="1"/>
  <c r="AX92" i="1"/>
  <c r="AR89" i="1"/>
  <c r="AN86" i="1"/>
  <c r="AJ83" i="1"/>
  <c r="AF80" i="1"/>
  <c r="AX76" i="1"/>
  <c r="AR73" i="1"/>
  <c r="AN70" i="1"/>
  <c r="AJ67" i="1"/>
  <c r="AF64" i="1"/>
  <c r="AX60" i="1"/>
  <c r="AR57" i="1"/>
  <c r="AN54" i="1"/>
  <c r="AJ51" i="1"/>
  <c r="AF48" i="1"/>
  <c r="AX44" i="1"/>
  <c r="AR41" i="1"/>
  <c r="AN38" i="1"/>
  <c r="AJ35" i="1"/>
  <c r="AF32" i="1"/>
  <c r="AW166" i="1"/>
  <c r="AF138" i="1"/>
  <c r="AX118" i="1"/>
  <c r="AU112" i="1"/>
  <c r="AM108" i="1"/>
  <c r="AI105" i="1"/>
  <c r="AE102" i="1"/>
  <c r="AW98" i="1"/>
  <c r="AQ95" i="1"/>
  <c r="AM92" i="1"/>
  <c r="AI89" i="1"/>
  <c r="AE86" i="1"/>
  <c r="AW82" i="1"/>
  <c r="AQ79" i="1"/>
  <c r="AM76" i="1"/>
  <c r="AI73" i="1"/>
  <c r="AE70" i="1"/>
  <c r="AW66" i="1"/>
  <c r="AQ63" i="1"/>
  <c r="AM60" i="1"/>
  <c r="AI57" i="1"/>
  <c r="AE54" i="1"/>
  <c r="AW50" i="1"/>
  <c r="AQ47" i="1"/>
  <c r="AM44" i="1"/>
  <c r="AI41" i="1"/>
  <c r="AE38" i="1"/>
  <c r="AW34" i="1"/>
  <c r="AQ31" i="1"/>
  <c r="AM28" i="1"/>
  <c r="AI25" i="1"/>
  <c r="AR161" i="1"/>
  <c r="AN134" i="1"/>
  <c r="AD118" i="1"/>
  <c r="AF112" i="1"/>
  <c r="AD108" i="1"/>
  <c r="AV104" i="1"/>
  <c r="AP101" i="1"/>
  <c r="AL98" i="1"/>
  <c r="AH95" i="1"/>
  <c r="AD92" i="1"/>
  <c r="AV88" i="1"/>
  <c r="AP85" i="1"/>
  <c r="AL82" i="1"/>
  <c r="AH79" i="1"/>
  <c r="AD76" i="1"/>
  <c r="AV72" i="1"/>
  <c r="AP69" i="1"/>
  <c r="AL66" i="1"/>
  <c r="AH63" i="1"/>
  <c r="AD60" i="1"/>
  <c r="AV56" i="1"/>
  <c r="AP53" i="1"/>
  <c r="AL50" i="1"/>
  <c r="AH47" i="1"/>
  <c r="AD44" i="1"/>
  <c r="AV40" i="1"/>
  <c r="AP37" i="1"/>
  <c r="AL34" i="1"/>
  <c r="AO189" i="1"/>
  <c r="AI127" i="1"/>
  <c r="AE204" i="1"/>
  <c r="AN163" i="1"/>
  <c r="AE156" i="1"/>
  <c r="AN164" i="1"/>
  <c r="AH128" i="1"/>
  <c r="AI166" i="1"/>
  <c r="AU137" i="1"/>
  <c r="AG112" i="1"/>
  <c r="AR100" i="1"/>
  <c r="AF75" i="1"/>
  <c r="AX59" i="1"/>
  <c r="AF47" i="1"/>
  <c r="AJ36" i="1"/>
  <c r="AX29" i="1"/>
  <c r="AN23" i="1"/>
  <c r="AF146" i="1"/>
  <c r="AN114" i="1"/>
  <c r="AU108" i="1"/>
  <c r="AI104" i="1"/>
  <c r="AW99" i="1"/>
  <c r="AW95" i="1"/>
  <c r="AM91" i="1"/>
  <c r="AE87" i="1"/>
  <c r="AE83" i="1"/>
  <c r="AQ78" i="1"/>
  <c r="AI74" i="1"/>
  <c r="AI70" i="1"/>
  <c r="AW65" i="1"/>
  <c r="AI62" i="1"/>
  <c r="AE59" i="1"/>
  <c r="AW55" i="1"/>
  <c r="AQ52" i="1"/>
  <c r="AM49" i="1"/>
  <c r="AI46" i="1"/>
  <c r="AE43" i="1"/>
  <c r="AW39" i="1"/>
  <c r="AQ36" i="1"/>
  <c r="AM33" i="1"/>
  <c r="AW168" i="1"/>
  <c r="AJ139" i="1"/>
  <c r="AH119" i="1"/>
  <c r="AX112" i="1"/>
  <c r="AR108" i="1"/>
  <c r="AL105" i="1"/>
  <c r="AH102" i="1"/>
  <c r="AD99" i="1"/>
  <c r="AV95" i="1"/>
  <c r="AP92" i="1"/>
  <c r="AL89" i="1"/>
  <c r="AH86" i="1"/>
  <c r="AD83" i="1"/>
  <c r="AV79" i="1"/>
  <c r="AP76" i="1"/>
  <c r="AL73" i="1"/>
  <c r="AH70" i="1"/>
  <c r="AD67" i="1"/>
  <c r="AV63" i="1"/>
  <c r="AP60" i="1"/>
  <c r="AL57" i="1"/>
  <c r="AH54" i="1"/>
  <c r="AD51" i="1"/>
  <c r="AV47" i="1"/>
  <c r="AP44" i="1"/>
  <c r="AL41" i="1"/>
  <c r="AH38" i="1"/>
  <c r="AD35" i="1"/>
  <c r="AV31" i="1"/>
  <c r="AP28" i="1"/>
  <c r="AD159" i="1"/>
  <c r="AN132" i="1"/>
  <c r="AN117" i="1"/>
  <c r="AW111" i="1"/>
  <c r="AU107" i="1"/>
  <c r="AO104" i="1"/>
  <c r="AK101" i="1"/>
  <c r="AG98" i="1"/>
  <c r="AC95" i="1"/>
  <c r="AU91" i="1"/>
  <c r="AO88" i="1"/>
  <c r="AK85" i="1"/>
  <c r="AG82" i="1"/>
  <c r="AC79" i="1"/>
  <c r="AU75" i="1"/>
  <c r="AO72" i="1"/>
  <c r="AK69" i="1"/>
  <c r="AG66" i="1"/>
  <c r="AC63" i="1"/>
  <c r="AU59" i="1"/>
  <c r="AO56" i="1"/>
  <c r="AK53" i="1"/>
  <c r="AG50" i="1"/>
  <c r="AC47" i="1"/>
  <c r="AU43" i="1"/>
  <c r="AO40" i="1"/>
  <c r="AK37" i="1"/>
  <c r="AG34" i="1"/>
  <c r="AM167" i="1"/>
  <c r="AN138" i="1"/>
  <c r="AE119" i="1"/>
  <c r="AV112" i="1"/>
  <c r="AN108" i="1"/>
  <c r="AJ105" i="1"/>
  <c r="AF102" i="1"/>
  <c r="AX98" i="1"/>
  <c r="AR95" i="1"/>
  <c r="AN92" i="1"/>
  <c r="AJ89" i="1"/>
  <c r="AF86" i="1"/>
  <c r="AX82" i="1"/>
  <c r="AR79" i="1"/>
  <c r="AN76" i="1"/>
  <c r="AJ73" i="1"/>
  <c r="AF70" i="1"/>
  <c r="AX66" i="1"/>
  <c r="AR63" i="1"/>
  <c r="AN60" i="1"/>
  <c r="AJ57" i="1"/>
  <c r="AF54" i="1"/>
  <c r="AX50" i="1"/>
  <c r="AR47" i="1"/>
  <c r="AN44" i="1"/>
  <c r="AJ41" i="1"/>
  <c r="AF38" i="1"/>
  <c r="AX34" i="1"/>
  <c r="AR31" i="1"/>
  <c r="AH162" i="1"/>
  <c r="AX134" i="1"/>
  <c r="AF118" i="1"/>
  <c r="AI112" i="1"/>
  <c r="AE108" i="1"/>
  <c r="AW104" i="1"/>
  <c r="AQ101" i="1"/>
  <c r="AM98" i="1"/>
  <c r="AI95" i="1"/>
  <c r="AE92" i="1"/>
  <c r="AW88" i="1"/>
  <c r="AQ85" i="1"/>
  <c r="AM82" i="1"/>
  <c r="AI79" i="1"/>
  <c r="AE76" i="1"/>
  <c r="AW72" i="1"/>
  <c r="AQ69" i="1"/>
  <c r="AM66" i="1"/>
  <c r="AI63" i="1"/>
  <c r="AE60" i="1"/>
  <c r="AW56" i="1"/>
  <c r="AQ53" i="1"/>
  <c r="AM50" i="1"/>
  <c r="AI47" i="1"/>
  <c r="AE44" i="1"/>
  <c r="AW40" i="1"/>
  <c r="AQ37" i="1"/>
  <c r="AM34" i="1"/>
  <c r="AI31" i="1"/>
  <c r="AE28" i="1"/>
  <c r="AW24" i="1"/>
  <c r="AL157" i="1"/>
  <c r="AJ131" i="1"/>
  <c r="AH117" i="1"/>
  <c r="AP111" i="1"/>
  <c r="AP107" i="1"/>
  <c r="AL104" i="1"/>
  <c r="AH101" i="1"/>
  <c r="AD98" i="1"/>
  <c r="AV94" i="1"/>
  <c r="AP91" i="1"/>
  <c r="AL88" i="1"/>
  <c r="AH85" i="1"/>
  <c r="AD82" i="1"/>
  <c r="AV78" i="1"/>
  <c r="AP75" i="1"/>
  <c r="AL72" i="1"/>
  <c r="AH69" i="1"/>
  <c r="AD66" i="1"/>
  <c r="AV62" i="1"/>
  <c r="AP59" i="1"/>
  <c r="AL56" i="1"/>
  <c r="AH53" i="1"/>
  <c r="AD50" i="1"/>
  <c r="AV46" i="1"/>
  <c r="AP43" i="1"/>
  <c r="AL40" i="1"/>
  <c r="AH37" i="1"/>
  <c r="AD34" i="1"/>
  <c r="AV30" i="1"/>
  <c r="AJ120" i="1"/>
  <c r="AC90" i="1"/>
  <c r="AK64" i="1"/>
  <c r="AU38" i="1"/>
  <c r="AD27" i="1"/>
  <c r="AV22" i="1"/>
  <c r="AG19" i="1"/>
  <c r="AU15" i="1"/>
  <c r="AL12" i="1"/>
  <c r="AD9" i="1"/>
  <c r="AQ5" i="1"/>
  <c r="AK2" i="1"/>
  <c r="AX11" i="1"/>
  <c r="AH5" i="1"/>
  <c r="AR4" i="1"/>
  <c r="AL2" i="1"/>
  <c r="AG99" i="1"/>
  <c r="AO73" i="1"/>
  <c r="AC48" i="1"/>
  <c r="AX28" i="1"/>
  <c r="AI24" i="1"/>
  <c r="AK20" i="1"/>
  <c r="AG16" i="1"/>
  <c r="AL9" i="1"/>
  <c r="AR2" i="1"/>
  <c r="AU64" i="1"/>
  <c r="AJ137" i="1"/>
  <c r="AK92" i="1"/>
  <c r="AU66" i="1"/>
  <c r="AG41" i="1"/>
  <c r="AM27" i="1"/>
  <c r="AH23" i="1"/>
  <c r="AM19" i="1"/>
  <c r="AE16" i="1"/>
  <c r="AR12" i="1"/>
  <c r="AN8" i="1"/>
  <c r="AE17" i="1"/>
  <c r="AE112" i="1"/>
  <c r="AO85" i="1"/>
  <c r="AC60" i="1"/>
  <c r="AK34" i="1"/>
  <c r="AI26" i="1"/>
  <c r="AG22" i="1"/>
  <c r="AO18" i="1"/>
  <c r="AH15" i="1"/>
  <c r="AV11" i="1"/>
  <c r="AM8" i="1"/>
  <c r="AE5" i="1"/>
  <c r="AM5" i="1"/>
  <c r="AO177" i="1"/>
  <c r="AM118" i="1"/>
  <c r="AQ164" i="1"/>
  <c r="AR152" i="1"/>
  <c r="AM149" i="1"/>
  <c r="AF159" i="1"/>
  <c r="AV123" i="1"/>
  <c r="AU161" i="1"/>
  <c r="AO134" i="1"/>
  <c r="AC109" i="1"/>
  <c r="AN97" i="1"/>
  <c r="AX71" i="1"/>
  <c r="AF59" i="1"/>
  <c r="AJ46" i="1"/>
  <c r="AR34" i="1"/>
  <c r="AJ28" i="1"/>
  <c r="AV21" i="1"/>
  <c r="AJ133" i="1"/>
  <c r="AR113" i="1"/>
  <c r="AW107" i="1"/>
  <c r="AM103" i="1"/>
  <c r="AM99" i="1"/>
  <c r="AE95" i="1"/>
  <c r="AQ90" i="1"/>
  <c r="AQ86" i="1"/>
  <c r="AI82" i="1"/>
  <c r="AW77" i="1"/>
  <c r="AW73" i="1"/>
  <c r="AM69" i="1"/>
  <c r="AE65" i="1"/>
  <c r="AW61" i="1"/>
  <c r="AQ58" i="1"/>
  <c r="AM55" i="1"/>
  <c r="AI52" i="1"/>
  <c r="AE49" i="1"/>
  <c r="AW45" i="1"/>
  <c r="AQ42" i="1"/>
  <c r="AM39" i="1"/>
  <c r="AI36" i="1"/>
  <c r="AE33" i="1"/>
  <c r="AV163" i="1"/>
  <c r="AF136" i="1"/>
  <c r="AL118" i="1"/>
  <c r="AL112" i="1"/>
  <c r="AH108" i="1"/>
  <c r="AD105" i="1"/>
  <c r="AV101" i="1"/>
  <c r="AP98" i="1"/>
  <c r="AL95" i="1"/>
  <c r="AH92" i="1"/>
  <c r="AD89" i="1"/>
  <c r="AV85" i="1"/>
  <c r="AP82" i="1"/>
  <c r="AL79" i="1"/>
  <c r="AH76" i="1"/>
  <c r="AD73" i="1"/>
  <c r="AV69" i="1"/>
  <c r="AP66" i="1"/>
  <c r="AL63" i="1"/>
  <c r="AH60" i="1"/>
  <c r="AD57" i="1"/>
  <c r="AV53" i="1"/>
  <c r="AP50" i="1"/>
  <c r="AL47" i="1"/>
  <c r="AH44" i="1"/>
  <c r="AD41" i="1"/>
  <c r="AV37" i="1"/>
  <c r="AP34" i="1"/>
  <c r="AL31" i="1"/>
  <c r="AH28" i="1"/>
  <c r="AX154" i="1"/>
  <c r="AJ129" i="1"/>
  <c r="AR116" i="1"/>
  <c r="AI111" i="1"/>
  <c r="AK107" i="1"/>
  <c r="AG104" i="1"/>
  <c r="AC101" i="1"/>
  <c r="AU97" i="1"/>
  <c r="AO94" i="1"/>
  <c r="AK91" i="1"/>
  <c r="AG88" i="1"/>
  <c r="AC85" i="1"/>
  <c r="AU81" i="1"/>
  <c r="AO78" i="1"/>
  <c r="AK75" i="1"/>
  <c r="AG72" i="1"/>
  <c r="AC69" i="1"/>
  <c r="AU65" i="1"/>
  <c r="AO62" i="1"/>
  <c r="AK59" i="1"/>
  <c r="AG56" i="1"/>
  <c r="AC53" i="1"/>
  <c r="AU49" i="1"/>
  <c r="AO46" i="1"/>
  <c r="AK43" i="1"/>
  <c r="AG40" i="1"/>
  <c r="AC37" i="1"/>
  <c r="AU33" i="1"/>
  <c r="AR162" i="1"/>
  <c r="AJ135" i="1"/>
  <c r="AI118" i="1"/>
  <c r="AJ112" i="1"/>
  <c r="AF108" i="1"/>
  <c r="AX104" i="1"/>
  <c r="AR101" i="1"/>
  <c r="AN98" i="1"/>
  <c r="AJ95" i="1"/>
  <c r="AF92" i="1"/>
  <c r="AX88" i="1"/>
  <c r="AR85" i="1"/>
  <c r="AN82" i="1"/>
  <c r="AJ79" i="1"/>
  <c r="AF76" i="1"/>
  <c r="AX72" i="1"/>
  <c r="AR69" i="1"/>
  <c r="AN66" i="1"/>
  <c r="AJ63" i="1"/>
  <c r="AF60" i="1"/>
  <c r="AX56" i="1"/>
  <c r="AR53" i="1"/>
  <c r="AN50" i="1"/>
  <c r="AJ47" i="1"/>
  <c r="AF44" i="1"/>
  <c r="AX40" i="1"/>
  <c r="AR37" i="1"/>
  <c r="AN34" i="1"/>
  <c r="AJ31" i="1"/>
  <c r="AX157" i="1"/>
  <c r="AR131" i="1"/>
  <c r="AJ117" i="1"/>
  <c r="AQ111" i="1"/>
  <c r="AQ107" i="1"/>
  <c r="AM104" i="1"/>
  <c r="AI101" i="1"/>
  <c r="AE98" i="1"/>
  <c r="AW94" i="1"/>
  <c r="AQ91" i="1"/>
  <c r="AM88" i="1"/>
  <c r="AI85" i="1"/>
  <c r="AE82" i="1"/>
  <c r="AW78" i="1"/>
  <c r="AQ75" i="1"/>
  <c r="AM72" i="1"/>
  <c r="AI69" i="1"/>
  <c r="AE66" i="1"/>
  <c r="AW62" i="1"/>
  <c r="AQ59" i="1"/>
  <c r="AM56" i="1"/>
  <c r="AI53" i="1"/>
  <c r="AE50" i="1"/>
  <c r="AW46" i="1"/>
  <c r="AQ43" i="1"/>
  <c r="AM40" i="1"/>
  <c r="AI37" i="1"/>
  <c r="AE34" i="1"/>
  <c r="AW30" i="1"/>
  <c r="AQ27" i="1"/>
  <c r="AM24" i="1"/>
  <c r="AR153" i="1"/>
  <c r="AF128" i="1"/>
  <c r="AL116" i="1"/>
  <c r="AF111" i="1"/>
  <c r="AG167" i="1"/>
  <c r="AJ194" i="1"/>
  <c r="AO153" i="1"/>
  <c r="AR144" i="1"/>
  <c r="AE143" i="1"/>
  <c r="AV153" i="1"/>
  <c r="AV119" i="1"/>
  <c r="AM157" i="1"/>
  <c r="AK131" i="1"/>
  <c r="AX152" i="1"/>
  <c r="AJ94" i="1"/>
  <c r="AN69" i="1"/>
  <c r="AR56" i="1"/>
  <c r="AX43" i="1"/>
  <c r="AJ34" i="1"/>
  <c r="AX27" i="1"/>
  <c r="AL21" i="1"/>
  <c r="AF130" i="1"/>
  <c r="AE113" i="1"/>
  <c r="AM107" i="1"/>
  <c r="AE103" i="1"/>
  <c r="AE99" i="1"/>
  <c r="AQ94" i="1"/>
  <c r="AI90" i="1"/>
  <c r="AI86" i="1"/>
  <c r="AW81" i="1"/>
  <c r="AM77" i="1"/>
  <c r="AM73" i="1"/>
  <c r="AE69" i="1"/>
  <c r="AQ64" i="1"/>
  <c r="AM61" i="1"/>
  <c r="AI58" i="1"/>
  <c r="AE55" i="1"/>
  <c r="AW51" i="1"/>
  <c r="AQ48" i="1"/>
  <c r="AM45" i="1"/>
  <c r="AI42" i="1"/>
  <c r="AE39" i="1"/>
  <c r="AW35" i="1"/>
  <c r="AQ32" i="1"/>
  <c r="AN159" i="1"/>
  <c r="AX132" i="1"/>
  <c r="AP117" i="1"/>
  <c r="AX111" i="1"/>
  <c r="AV107" i="1"/>
  <c r="AP104" i="1"/>
  <c r="AL101" i="1"/>
  <c r="AH98" i="1"/>
  <c r="AD95" i="1"/>
  <c r="AV91" i="1"/>
  <c r="AP88" i="1"/>
  <c r="AL85" i="1"/>
  <c r="AH82" i="1"/>
  <c r="AD79" i="1"/>
  <c r="AV75" i="1"/>
  <c r="AP72" i="1"/>
  <c r="AL69" i="1"/>
  <c r="AH66" i="1"/>
  <c r="AD63" i="1"/>
  <c r="AV59" i="1"/>
  <c r="AP56" i="1"/>
  <c r="AL53" i="1"/>
  <c r="AH50" i="1"/>
  <c r="AD47" i="1"/>
  <c r="AV43" i="1"/>
  <c r="AP40" i="1"/>
  <c r="AL37" i="1"/>
  <c r="AH34" i="1"/>
  <c r="AD31" i="1"/>
  <c r="AV27" i="1"/>
  <c r="AR151" i="1"/>
  <c r="AF126" i="1"/>
  <c r="AX115" i="1"/>
  <c r="AU110" i="1"/>
  <c r="AC107" i="1"/>
  <c r="AU103" i="1"/>
  <c r="AO100" i="1"/>
  <c r="AK97" i="1"/>
  <c r="AG94" i="1"/>
  <c r="AC91" i="1"/>
  <c r="AU87" i="1"/>
  <c r="AO84" i="1"/>
  <c r="AK81" i="1"/>
  <c r="AG78" i="1"/>
  <c r="AC75" i="1"/>
  <c r="AU71" i="1"/>
  <c r="AO68" i="1"/>
  <c r="AK65" i="1"/>
  <c r="AG62" i="1"/>
  <c r="AC59" i="1"/>
  <c r="AU55" i="1"/>
  <c r="AO52" i="1"/>
  <c r="AK49" i="1"/>
  <c r="AG46" i="1"/>
  <c r="AC43" i="1"/>
  <c r="AU39" i="1"/>
  <c r="AO36" i="1"/>
  <c r="AK33" i="1"/>
  <c r="AN158" i="1"/>
  <c r="AF132" i="1"/>
  <c r="AM117" i="1"/>
  <c r="AR111" i="1"/>
  <c r="AR107" i="1"/>
  <c r="AN104" i="1"/>
  <c r="AJ101" i="1"/>
  <c r="AF98" i="1"/>
  <c r="AX94" i="1"/>
  <c r="AR91" i="1"/>
  <c r="AN88" i="1"/>
  <c r="AJ85" i="1"/>
  <c r="AF82" i="1"/>
  <c r="AX78" i="1"/>
  <c r="AR75" i="1"/>
  <c r="AN72" i="1"/>
  <c r="AJ69" i="1"/>
  <c r="AF66" i="1"/>
  <c r="AX62" i="1"/>
  <c r="AR59" i="1"/>
  <c r="AN56" i="1"/>
  <c r="AJ53" i="1"/>
  <c r="AF50" i="1"/>
  <c r="AX46" i="1"/>
  <c r="AR43" i="1"/>
  <c r="AN40" i="1"/>
  <c r="AJ37" i="1"/>
  <c r="AF34" i="1"/>
  <c r="AX30" i="1"/>
  <c r="AF154" i="1"/>
  <c r="AN128" i="1"/>
  <c r="AN116" i="1"/>
  <c r="AG111" i="1"/>
  <c r="AI107" i="1"/>
  <c r="AE104" i="1"/>
  <c r="AW100" i="1"/>
  <c r="AQ97" i="1"/>
  <c r="AM94" i="1"/>
  <c r="AI91" i="1"/>
  <c r="AE88" i="1"/>
  <c r="AW84" i="1"/>
  <c r="AQ81" i="1"/>
  <c r="AM78" i="1"/>
  <c r="AI75" i="1"/>
  <c r="AE72" i="1"/>
  <c r="AW68" i="1"/>
  <c r="AQ65" i="1"/>
  <c r="AM62" i="1"/>
  <c r="AI59" i="1"/>
  <c r="AE56" i="1"/>
  <c r="AW52" i="1"/>
  <c r="AQ49" i="1"/>
  <c r="AM46" i="1"/>
  <c r="AI43" i="1"/>
  <c r="AE40" i="1"/>
  <c r="AW36" i="1"/>
  <c r="AQ33" i="1"/>
  <c r="AM30" i="1"/>
  <c r="AI27" i="1"/>
  <c r="AE24" i="1"/>
  <c r="AN150" i="1"/>
  <c r="AX124" i="1"/>
  <c r="AP115" i="1"/>
  <c r="AN110" i="1"/>
  <c r="AV106" i="1"/>
  <c r="AP103" i="1"/>
  <c r="AL100" i="1"/>
  <c r="AH97" i="1"/>
  <c r="AD94" i="1"/>
  <c r="AV90" i="1"/>
  <c r="AP87" i="1"/>
  <c r="AL84" i="1"/>
  <c r="AH81" i="1"/>
  <c r="AD78" i="1"/>
  <c r="AV74" i="1"/>
  <c r="AP71" i="1"/>
  <c r="AL68" i="1"/>
  <c r="AH65" i="1"/>
  <c r="AD62" i="1"/>
  <c r="AV58" i="1"/>
  <c r="AP55" i="1"/>
  <c r="AL52" i="1"/>
  <c r="AH49" i="1"/>
  <c r="AD46" i="1"/>
  <c r="AV42" i="1"/>
  <c r="AP39" i="1"/>
  <c r="AL36" i="1"/>
  <c r="AH33" i="1"/>
  <c r="AD30" i="1"/>
  <c r="AM109" i="1"/>
  <c r="AO83" i="1"/>
  <c r="AC58" i="1"/>
  <c r="AK32" i="1"/>
  <c r="AC26" i="1"/>
  <c r="AW21" i="1"/>
  <c r="AJ18" i="1"/>
  <c r="AX14" i="1"/>
  <c r="AO11" i="1"/>
  <c r="AH8" i="1"/>
  <c r="AV4" i="1"/>
  <c r="AQ18" i="1"/>
  <c r="AI10" i="1"/>
  <c r="AN3" i="1"/>
  <c r="AG55" i="1"/>
  <c r="AN140" i="1"/>
  <c r="AU92" i="1"/>
  <c r="AG67" i="1"/>
  <c r="AO41" i="1"/>
  <c r="AO27" i="1"/>
  <c r="AI23" i="1"/>
  <c r="AN19" i="1"/>
  <c r="AW14" i="1"/>
  <c r="AR7" i="1"/>
  <c r="AQ7" i="1"/>
  <c r="AI16" i="1"/>
  <c r="AQ112" i="1"/>
  <c r="AC86" i="1"/>
  <c r="AK60" i="1"/>
  <c r="AU34" i="1"/>
  <c r="AK26" i="1"/>
  <c r="AH22" i="1"/>
  <c r="AP18" i="1"/>
  <c r="AI15" i="1"/>
  <c r="AW11" i="1"/>
  <c r="AC6" i="1"/>
  <c r="AN9" i="1"/>
  <c r="AU104" i="1"/>
  <c r="AG79" i="1"/>
  <c r="AO53" i="1"/>
  <c r="AK30" i="1"/>
  <c r="AH25" i="1"/>
  <c r="AH21" i="1"/>
  <c r="AR17" i="1"/>
  <c r="AK14" i="1"/>
  <c r="AC11" i="1"/>
  <c r="AP7" i="1"/>
  <c r="AI4" i="1"/>
  <c r="AK3" i="1"/>
  <c r="AL22" i="1"/>
  <c r="AE9" i="1"/>
  <c r="AO107" i="1"/>
  <c r="AC82" i="1"/>
  <c r="AK56" i="1"/>
  <c r="AK31" i="1"/>
  <c r="AR25" i="1"/>
  <c r="AP21" i="1"/>
  <c r="AE18" i="1"/>
  <c r="AR14" i="1"/>
  <c r="AK11" i="1"/>
  <c r="AC8" i="1"/>
  <c r="AU3" i="1"/>
  <c r="AR127" i="1"/>
  <c r="AG91" i="1"/>
  <c r="AO65" i="1"/>
  <c r="AC40" i="1"/>
  <c r="AH27" i="1"/>
  <c r="AC23" i="1"/>
  <c r="AF267" i="1"/>
  <c r="AF163" i="1"/>
  <c r="AU144" i="1"/>
  <c r="AR136" i="1"/>
  <c r="AQ136" i="1"/>
  <c r="AL149" i="1"/>
  <c r="AL115" i="1"/>
  <c r="AU153" i="1"/>
  <c r="AG128" i="1"/>
  <c r="AJ127" i="1"/>
  <c r="AF91" i="1"/>
  <c r="AR68" i="1"/>
  <c r="AX55" i="1"/>
  <c r="AF43" i="1"/>
  <c r="AN33" i="1"/>
  <c r="AF27" i="1"/>
  <c r="AO20" i="1"/>
  <c r="AR123" i="1"/>
  <c r="AC112" i="1"/>
  <c r="AQ106" i="1"/>
  <c r="AQ102" i="1"/>
  <c r="AI98" i="1"/>
  <c r="AW93" i="1"/>
  <c r="AW89" i="1"/>
  <c r="AM85" i="1"/>
  <c r="AE81" i="1"/>
  <c r="AE77" i="1"/>
  <c r="AQ72" i="1"/>
  <c r="AI68" i="1"/>
  <c r="AI64" i="1"/>
  <c r="AE61" i="1"/>
  <c r="AW57" i="1"/>
  <c r="AQ54" i="1"/>
  <c r="AM51" i="1"/>
  <c r="AI48" i="1"/>
  <c r="AE45" i="1"/>
  <c r="AW41" i="1"/>
  <c r="AQ38" i="1"/>
  <c r="AM35" i="1"/>
  <c r="AI32" i="1"/>
  <c r="AJ155" i="1"/>
  <c r="AR129" i="1"/>
  <c r="AV116" i="1"/>
  <c r="AJ111" i="1"/>
  <c r="AL107" i="1"/>
  <c r="AH104" i="1"/>
  <c r="AD101" i="1"/>
  <c r="AV97" i="1"/>
  <c r="AP94" i="1"/>
  <c r="AL91" i="1"/>
  <c r="AH88" i="1"/>
  <c r="AD85" i="1"/>
  <c r="AV81" i="1"/>
  <c r="AP78" i="1"/>
  <c r="AL75" i="1"/>
  <c r="AH72" i="1"/>
  <c r="AD69" i="1"/>
  <c r="AV65" i="1"/>
  <c r="AP62" i="1"/>
  <c r="AL59" i="1"/>
  <c r="AH56" i="1"/>
  <c r="AD53" i="1"/>
  <c r="AV49" i="1"/>
  <c r="AP46" i="1"/>
  <c r="AL43" i="1"/>
  <c r="AH40" i="1"/>
  <c r="AD37" i="1"/>
  <c r="AV33" i="1"/>
  <c r="AP30" i="1"/>
  <c r="AL27" i="1"/>
  <c r="AN148" i="1"/>
  <c r="AX122" i="1"/>
  <c r="AF115" i="1"/>
  <c r="AI110" i="1"/>
  <c r="AO106" i="1"/>
  <c r="AK103" i="1"/>
  <c r="AG100" i="1"/>
  <c r="AC97" i="1"/>
  <c r="AU93" i="1"/>
  <c r="AO90" i="1"/>
  <c r="AK87" i="1"/>
  <c r="AG84" i="1"/>
  <c r="AC81" i="1"/>
  <c r="AU77" i="1"/>
  <c r="AO74" i="1"/>
  <c r="AK71" i="1"/>
  <c r="AG68" i="1"/>
  <c r="AC65" i="1"/>
  <c r="AU61" i="1"/>
  <c r="AO58" i="1"/>
  <c r="AK55" i="1"/>
  <c r="AG52" i="1"/>
  <c r="AC49" i="1"/>
  <c r="AU45" i="1"/>
  <c r="AO42" i="1"/>
  <c r="AK39" i="1"/>
  <c r="AG36" i="1"/>
  <c r="AC33" i="1"/>
  <c r="AN154" i="1"/>
  <c r="AX128" i="1"/>
  <c r="AQ116" i="1"/>
  <c r="AH111" i="1"/>
  <c r="AJ107" i="1"/>
  <c r="AF104" i="1"/>
  <c r="AX100" i="1"/>
  <c r="AR97" i="1"/>
  <c r="AN94" i="1"/>
  <c r="AJ91" i="1"/>
  <c r="AF88" i="1"/>
  <c r="AX84" i="1"/>
  <c r="AR81" i="1"/>
  <c r="AN78" i="1"/>
  <c r="AJ75" i="1"/>
  <c r="AF72" i="1"/>
  <c r="AX68" i="1"/>
  <c r="AR65" i="1"/>
  <c r="AN62" i="1"/>
  <c r="AJ59" i="1"/>
  <c r="AF56" i="1"/>
  <c r="AX52" i="1"/>
  <c r="AR49" i="1"/>
  <c r="AN46" i="1"/>
  <c r="AJ43" i="1"/>
  <c r="AF40" i="1"/>
  <c r="AX36" i="1"/>
  <c r="AR33" i="1"/>
  <c r="AN30" i="1"/>
  <c r="AX150" i="1"/>
  <c r="AJ125" i="1"/>
  <c r="AR115" i="1"/>
  <c r="AQ110" i="1"/>
  <c r="AW106" i="1"/>
  <c r="AQ103" i="1"/>
  <c r="AM100" i="1"/>
  <c r="AI97" i="1"/>
  <c r="AE94" i="1"/>
  <c r="AW90" i="1"/>
  <c r="AQ87" i="1"/>
  <c r="AM84" i="1"/>
  <c r="AI81" i="1"/>
  <c r="AE78" i="1"/>
  <c r="AW74" i="1"/>
  <c r="AQ71" i="1"/>
  <c r="AM68" i="1"/>
  <c r="AI65" i="1"/>
  <c r="AE62" i="1"/>
  <c r="AW58" i="1"/>
  <c r="AQ55" i="1"/>
  <c r="AM52" i="1"/>
  <c r="AI49" i="1"/>
  <c r="AE46" i="1"/>
  <c r="AW42" i="1"/>
  <c r="AQ39" i="1"/>
  <c r="AM36" i="1"/>
  <c r="AI33" i="1"/>
  <c r="AE30" i="1"/>
  <c r="AW26" i="1"/>
  <c r="AQ23" i="1"/>
  <c r="AJ147" i="1"/>
  <c r="AR121" i="1"/>
  <c r="AV114" i="1"/>
  <c r="AD110" i="1"/>
  <c r="AL106" i="1"/>
  <c r="AH103" i="1"/>
  <c r="AD100" i="1"/>
  <c r="AV96" i="1"/>
  <c r="AP93" i="1"/>
  <c r="AL90" i="1"/>
  <c r="AH87" i="1"/>
  <c r="AD84" i="1"/>
  <c r="AV80" i="1"/>
  <c r="AP77" i="1"/>
  <c r="AL74" i="1"/>
  <c r="AH71" i="1"/>
  <c r="AD68" i="1"/>
  <c r="AV64" i="1"/>
  <c r="AP61" i="1"/>
  <c r="AL58" i="1"/>
  <c r="AH55" i="1"/>
  <c r="AD52" i="1"/>
  <c r="AV48" i="1"/>
  <c r="AP45" i="1"/>
  <c r="AL42" i="1"/>
  <c r="AH39" i="1"/>
  <c r="AD36" i="1"/>
  <c r="AV32" i="1"/>
  <c r="AP29" i="1"/>
  <c r="AC106" i="1"/>
  <c r="AK80" i="1"/>
  <c r="AU54" i="1"/>
  <c r="AU30" i="1"/>
  <c r="AL25" i="1"/>
  <c r="AK21" i="1"/>
  <c r="AW17" i="1"/>
  <c r="AN14" i="1"/>
  <c r="AG11" i="1"/>
  <c r="AU7" i="1"/>
  <c r="AL4" i="1"/>
  <c r="AO16" i="1"/>
  <c r="AV9" i="1"/>
  <c r="AF3" i="1"/>
  <c r="AM21" i="1"/>
  <c r="AN119" i="1"/>
  <c r="AO89" i="1"/>
  <c r="AC64" i="1"/>
  <c r="AK38" i="1"/>
  <c r="AC27" i="1"/>
  <c r="AU22" i="1"/>
  <c r="AE19" i="1"/>
  <c r="AD14" i="1"/>
  <c r="AW6" i="1"/>
  <c r="AV6" i="1"/>
  <c r="AM12" i="1"/>
  <c r="AK108" i="1"/>
  <c r="AU82" i="1"/>
  <c r="AG57" i="1"/>
  <c r="AU31" i="1"/>
  <c r="AV25" i="1"/>
  <c r="AR21" i="1"/>
  <c r="AH18" i="1"/>
  <c r="AV14" i="1"/>
  <c r="AM11" i="1"/>
  <c r="AG5" i="1"/>
  <c r="AG6" i="1"/>
  <c r="AO101" i="1"/>
  <c r="AC76" i="1"/>
  <c r="AK50" i="1"/>
  <c r="AM29" i="1"/>
  <c r="AQ24" i="1"/>
  <c r="AR20" i="1"/>
  <c r="AJ17" i="1"/>
  <c r="AX13" i="1"/>
  <c r="AO10" i="1"/>
  <c r="AH7" i="1"/>
  <c r="AV3" i="1"/>
  <c r="AO2" i="1"/>
  <c r="AQ162" i="1"/>
  <c r="AC125" i="1"/>
  <c r="AO222" i="1"/>
  <c r="AE85" i="1"/>
  <c r="AI54" i="1"/>
  <c r="AF152" i="1"/>
  <c r="AH94" i="1"/>
  <c r="AP68" i="1"/>
  <c r="AD43" i="1"/>
  <c r="AJ114" i="1"/>
  <c r="AC87" i="1"/>
  <c r="AK61" i="1"/>
  <c r="AU35" i="1"/>
  <c r="AN100" i="1"/>
  <c r="AX74" i="1"/>
  <c r="AJ49" i="1"/>
  <c r="AF122" i="1"/>
  <c r="AM90" i="1"/>
  <c r="AW64" i="1"/>
  <c r="AI39" i="1"/>
  <c r="AD114" i="1"/>
  <c r="AP97" i="1"/>
  <c r="AV84" i="1"/>
  <c r="AD72" i="1"/>
  <c r="AH59" i="1"/>
  <c r="AL46" i="1"/>
  <c r="AP33" i="1"/>
  <c r="AX113" i="1"/>
  <c r="AG61" i="1"/>
  <c r="AN26" i="1"/>
  <c r="AR18" i="1"/>
  <c r="AC12" i="1"/>
  <c r="AI5" i="1"/>
  <c r="AE11" i="1"/>
  <c r="AQ2" i="1"/>
  <c r="AC96" i="1"/>
  <c r="AU44" i="1"/>
  <c r="AU23" i="1"/>
  <c r="AR15" i="1"/>
  <c r="AH10" i="1"/>
  <c r="AR118" i="1"/>
  <c r="AO63" i="1"/>
  <c r="AX26" i="1"/>
  <c r="AD19" i="1"/>
  <c r="AJ12" i="1"/>
  <c r="AJ13" i="1"/>
  <c r="AK82" i="1"/>
  <c r="AO31" i="1"/>
  <c r="AQ21" i="1"/>
  <c r="AU14" i="1"/>
  <c r="AD8" i="1"/>
  <c r="AH4" i="1"/>
  <c r="AQ16" i="1"/>
  <c r="AF117" i="1"/>
  <c r="AU78" i="1"/>
  <c r="AO43" i="1"/>
  <c r="AU26" i="1"/>
  <c r="AG21" i="1"/>
  <c r="AL16" i="1"/>
  <c r="AH12" i="1"/>
  <c r="AO7" i="1"/>
  <c r="AN17" i="1"/>
  <c r="AO97" i="1"/>
  <c r="AK62" i="1"/>
  <c r="AG30" i="1"/>
  <c r="AD24" i="1"/>
  <c r="AR19" i="1"/>
  <c r="AK16" i="1"/>
  <c r="AC13" i="1"/>
  <c r="AP9" i="1"/>
  <c r="AI6" i="1"/>
  <c r="AX2" i="1"/>
  <c r="AH6" i="1"/>
  <c r="AC100" i="1"/>
  <c r="AC36" i="1"/>
  <c r="AQ8" i="1"/>
  <c r="AK100" i="1"/>
  <c r="AU74" i="1"/>
  <c r="AG49" i="1"/>
  <c r="AG29" i="1"/>
  <c r="AN24" i="1"/>
  <c r="AN20" i="1"/>
  <c r="AG17" i="1"/>
  <c r="AU13" i="1"/>
  <c r="AC10" i="1"/>
  <c r="AW2" i="1"/>
  <c r="AG71" i="1"/>
  <c r="AL24" i="1"/>
  <c r="AK10" i="1"/>
  <c r="AN52" i="1"/>
  <c r="AR143" i="1"/>
  <c r="AO19" i="1"/>
  <c r="AU12" i="1"/>
  <c r="AG51" i="1"/>
  <c r="AX3" i="1"/>
  <c r="AF28" i="1"/>
  <c r="AO37" i="1"/>
  <c r="AH2" i="1"/>
  <c r="AI17" i="1"/>
  <c r="AU68" i="1"/>
  <c r="AL13" i="1"/>
  <c r="AO103" i="1"/>
  <c r="AV10" i="1"/>
  <c r="AL152" i="1"/>
  <c r="AI116" i="1"/>
  <c r="AF121" i="1"/>
  <c r="AQ80" i="1"/>
  <c r="AE51" i="1"/>
  <c r="AN126" i="1"/>
  <c r="AD91" i="1"/>
  <c r="AL65" i="1"/>
  <c r="AV39" i="1"/>
  <c r="AQ109" i="1"/>
  <c r="AU83" i="1"/>
  <c r="AG58" i="1"/>
  <c r="AO32" i="1"/>
  <c r="AJ97" i="1"/>
  <c r="AR71" i="1"/>
  <c r="AF46" i="1"/>
  <c r="AX114" i="1"/>
  <c r="AI87" i="1"/>
  <c r="AQ61" i="1"/>
  <c r="AE36" i="1"/>
  <c r="AN109" i="1"/>
  <c r="AL96" i="1"/>
  <c r="AP83" i="1"/>
  <c r="AV70" i="1"/>
  <c r="AD58" i="1"/>
  <c r="AH45" i="1"/>
  <c r="AL32" i="1"/>
  <c r="AU102" i="1"/>
  <c r="AO51" i="1"/>
  <c r="AX24" i="1"/>
  <c r="AM17" i="1"/>
  <c r="AR10" i="1"/>
  <c r="AC4" i="1"/>
  <c r="AC9" i="1"/>
  <c r="AX17" i="1"/>
  <c r="AK86" i="1"/>
  <c r="AG35" i="1"/>
  <c r="AJ22" i="1"/>
  <c r="AH13" i="1"/>
  <c r="AO5" i="1"/>
  <c r="AG105" i="1"/>
  <c r="AC54" i="1"/>
  <c r="AJ25" i="1"/>
  <c r="AU17" i="1"/>
  <c r="AD11" i="1"/>
  <c r="AP3" i="1"/>
  <c r="AU72" i="1"/>
  <c r="AQ28" i="1"/>
  <c r="AI20" i="1"/>
  <c r="AN13" i="1"/>
  <c r="AU6" i="1"/>
  <c r="AG2" i="1"/>
  <c r="AC15" i="1"/>
  <c r="AO111" i="1"/>
  <c r="AO75" i="1"/>
  <c r="AK40" i="1"/>
  <c r="AH26" i="1"/>
  <c r="AQ20" i="1"/>
  <c r="AC16" i="1"/>
  <c r="AU11" i="1"/>
  <c r="AG7" i="1"/>
  <c r="AP11" i="1"/>
  <c r="AK94" i="1"/>
  <c r="AG59" i="1"/>
  <c r="AJ29" i="1"/>
  <c r="AM23" i="1"/>
  <c r="AJ19" i="1"/>
  <c r="AX15" i="1"/>
  <c r="AO12" i="1"/>
  <c r="AH9" i="1"/>
  <c r="AV5" i="1"/>
  <c r="AN2" i="1"/>
  <c r="AK5" i="1"/>
  <c r="AK90" i="1"/>
  <c r="AC31" i="1"/>
  <c r="AM4" i="1"/>
  <c r="AG97" i="1"/>
  <c r="AO71" i="1"/>
  <c r="AC46" i="1"/>
  <c r="AL28" i="1"/>
  <c r="AC24" i="1"/>
  <c r="AE20" i="1"/>
  <c r="AR16" i="1"/>
  <c r="AK13" i="1"/>
  <c r="AG9" i="1"/>
  <c r="AM121" i="1"/>
  <c r="AK58" i="1"/>
  <c r="AX21" i="1"/>
  <c r="AX9" i="1"/>
  <c r="AU136" i="1"/>
  <c r="AX87" i="1"/>
  <c r="AM111" i="1"/>
  <c r="AQ76" i="1"/>
  <c r="AW47" i="1"/>
  <c r="AD116" i="1"/>
  <c r="AV87" i="1"/>
  <c r="AH62" i="1"/>
  <c r="AP36" i="1"/>
  <c r="AG106" i="1"/>
  <c r="AO80" i="1"/>
  <c r="AC55" i="1"/>
  <c r="AJ151" i="1"/>
  <c r="AF94" i="1"/>
  <c r="AN68" i="1"/>
  <c r="AX42" i="1"/>
  <c r="AE110" i="1"/>
  <c r="AE84" i="1"/>
  <c r="AM58" i="1"/>
  <c r="AW32" i="1"/>
  <c r="AH107" i="1"/>
  <c r="AL94" i="1"/>
  <c r="AP81" i="1"/>
  <c r="AV68" i="1"/>
  <c r="AD56" i="1"/>
  <c r="AH43" i="1"/>
  <c r="AP31" i="1"/>
  <c r="AK96" i="1"/>
  <c r="AG45" i="1"/>
  <c r="AV23" i="1"/>
  <c r="AP16" i="1"/>
  <c r="AW9" i="1"/>
  <c r="AG3" i="1"/>
  <c r="AJ7" i="1"/>
  <c r="AH11" i="1"/>
  <c r="AC80" i="1"/>
  <c r="AQ30" i="1"/>
  <c r="AJ21" i="1"/>
  <c r="AN11" i="1"/>
  <c r="AM3" i="1"/>
  <c r="AU98" i="1"/>
  <c r="AO47" i="1"/>
  <c r="AH24" i="1"/>
  <c r="AX16" i="1"/>
  <c r="AK9" i="1"/>
  <c r="AF134" i="1"/>
  <c r="AK66" i="1"/>
  <c r="AK27" i="1"/>
  <c r="AL19" i="1"/>
  <c r="AQ12" i="1"/>
  <c r="AX5" i="1"/>
  <c r="AO45" i="1"/>
  <c r="AR13" i="1"/>
  <c r="AK104" i="1"/>
  <c r="AG69" i="1"/>
  <c r="AG37" i="1"/>
  <c r="AG25" i="1"/>
  <c r="AU19" i="1"/>
  <c r="AO15" i="1"/>
  <c r="AX10" i="1"/>
  <c r="AJ6" i="1"/>
  <c r="AO6" i="1"/>
  <c r="AC88" i="1"/>
  <c r="AU52" i="1"/>
  <c r="AN28" i="1"/>
  <c r="AN22" i="1"/>
  <c r="AW18" i="1"/>
  <c r="AN15" i="1"/>
  <c r="AG12" i="1"/>
  <c r="AU8" i="1"/>
  <c r="AL5" i="1"/>
  <c r="AF2" i="1"/>
  <c r="AN4" i="1"/>
  <c r="AC84" i="1"/>
  <c r="AK28" i="1"/>
  <c r="AF150" i="1"/>
  <c r="AC94" i="1"/>
  <c r="AK68" i="1"/>
  <c r="AU42" i="1"/>
  <c r="AU27" i="1"/>
  <c r="AL23" i="1"/>
  <c r="AQ19" i="1"/>
  <c r="AJ16" i="1"/>
  <c r="AX12" i="1"/>
  <c r="AR8" i="1"/>
  <c r="AK106" i="1"/>
  <c r="AU48" i="1"/>
  <c r="AM20" i="1"/>
  <c r="AV7" i="1"/>
  <c r="AN120" i="1"/>
  <c r="AW19" i="1"/>
  <c r="AW8" i="1"/>
  <c r="AE22" i="1"/>
  <c r="AC110" i="1"/>
  <c r="AO24" i="1"/>
  <c r="AU16" i="1"/>
  <c r="AK42" i="1"/>
  <c r="AK52" i="1"/>
  <c r="AD25" i="1"/>
  <c r="AD26" i="1"/>
  <c r="AJ130" i="1"/>
  <c r="AJ66" i="1"/>
  <c r="AI106" i="1"/>
  <c r="AI72" i="1"/>
  <c r="AQ44" i="1"/>
  <c r="AV110" i="1"/>
  <c r="AP84" i="1"/>
  <c r="AD59" i="1"/>
  <c r="AL33" i="1"/>
  <c r="AC103" i="1"/>
  <c r="AK77" i="1"/>
  <c r="AU51" i="1"/>
  <c r="AR125" i="1"/>
  <c r="AX90" i="1"/>
  <c r="AJ65" i="1"/>
  <c r="AR39" i="1"/>
  <c r="AM106" i="1"/>
  <c r="AW80" i="1"/>
  <c r="AI55" i="1"/>
  <c r="AQ29" i="1"/>
  <c r="AD106" i="1"/>
  <c r="AH93" i="1"/>
  <c r="AL80" i="1"/>
  <c r="AP67" i="1"/>
  <c r="AV54" i="1"/>
  <c r="AD42" i="1"/>
  <c r="AH31" i="1"/>
  <c r="AG93" i="1"/>
  <c r="AC42" i="1"/>
  <c r="AJ23" i="1"/>
  <c r="AH16" i="1"/>
  <c r="AM9" i="1"/>
  <c r="AU2" i="1"/>
  <c r="AD6" i="1"/>
  <c r="AL7" i="1"/>
  <c r="AU76" i="1"/>
  <c r="AR29" i="1"/>
  <c r="AV20" i="1"/>
  <c r="AQ10" i="1"/>
  <c r="AI2" i="1"/>
  <c r="AO95" i="1"/>
  <c r="AK44" i="1"/>
  <c r="AR23" i="1"/>
  <c r="AN16" i="1"/>
  <c r="AX8" i="1"/>
  <c r="AX117" i="1"/>
  <c r="AG63" i="1"/>
  <c r="AV26" i="1"/>
  <c r="AC19" i="1"/>
  <c r="AI12" i="1"/>
  <c r="AN5" i="1"/>
  <c r="AW29" i="1"/>
  <c r="AU10" i="1"/>
  <c r="AG101" i="1"/>
  <c r="AC66" i="1"/>
  <c r="AC34" i="1"/>
  <c r="AP24" i="1"/>
  <c r="AK19" i="1"/>
  <c r="AG15" i="1"/>
  <c r="AN10" i="1"/>
  <c r="AW5" i="1"/>
  <c r="AJ153" i="1"/>
  <c r="AU84" i="1"/>
  <c r="AO49" i="1"/>
  <c r="AW27" i="1"/>
  <c r="AD22" i="1"/>
  <c r="AM18" i="1"/>
  <c r="AE15" i="1"/>
  <c r="AR11" i="1"/>
  <c r="AK8" i="1"/>
  <c r="AC5" i="1"/>
  <c r="AL10" i="1"/>
  <c r="AQ3" i="1"/>
  <c r="AO77" i="1"/>
  <c r="AO26" i="1"/>
  <c r="AN124" i="1"/>
  <c r="AU90" i="1"/>
  <c r="AG65" i="1"/>
  <c r="AO39" i="1"/>
  <c r="AG27" i="1"/>
  <c r="AX22" i="1"/>
  <c r="AI19" i="1"/>
  <c r="AW15" i="1"/>
  <c r="AN12" i="1"/>
  <c r="AW7" i="1"/>
  <c r="AG103" i="1"/>
  <c r="AG39" i="1"/>
  <c r="AH19" i="1"/>
  <c r="AR5" i="1"/>
  <c r="AV86" i="1"/>
  <c r="AJ27" i="1"/>
  <c r="AJ3" i="1"/>
  <c r="AE4" i="1"/>
  <c r="AI130" i="1"/>
  <c r="AN53" i="1"/>
  <c r="AI102" i="1"/>
  <c r="AW67" i="1"/>
  <c r="AM41" i="1"/>
  <c r="AD107" i="1"/>
  <c r="AL81" i="1"/>
  <c r="AV55" i="1"/>
  <c r="AH30" i="1"/>
  <c r="AU99" i="1"/>
  <c r="AG74" i="1"/>
  <c r="AO48" i="1"/>
  <c r="AW115" i="1"/>
  <c r="AR87" i="1"/>
  <c r="AF62" i="1"/>
  <c r="AN36" i="1"/>
  <c r="AI103" i="1"/>
  <c r="AQ77" i="1"/>
  <c r="AE52" i="1"/>
  <c r="AM26" i="1"/>
  <c r="AD104" i="1"/>
  <c r="AH91" i="1"/>
  <c r="AL78" i="1"/>
  <c r="AP65" i="1"/>
  <c r="AV52" i="1"/>
  <c r="AD40" i="1"/>
  <c r="AL30" i="1"/>
  <c r="AU86" i="1"/>
  <c r="AO35" i="1"/>
  <c r="AK22" i="1"/>
  <c r="AK15" i="1"/>
  <c r="AP8" i="1"/>
  <c r="AC2" i="1"/>
  <c r="AK4" i="1"/>
  <c r="AE172" i="1"/>
  <c r="AK70" i="1"/>
  <c r="AG28" i="1"/>
  <c r="AX19" i="1"/>
  <c r="AO8" i="1"/>
  <c r="AW22" i="1"/>
  <c r="AG89" i="1"/>
  <c r="AC38" i="1"/>
  <c r="AR22" i="1"/>
  <c r="AQ15" i="1"/>
  <c r="AI7" i="1"/>
  <c r="AC108" i="1"/>
  <c r="AU56" i="1"/>
  <c r="AU25" i="1"/>
  <c r="AG18" i="1"/>
  <c r="AL11" i="1"/>
  <c r="AQ4" i="1"/>
  <c r="AE27" i="1"/>
  <c r="AC7" i="1"/>
  <c r="AU94" i="1"/>
  <c r="AU62" i="1"/>
  <c r="AI30" i="1"/>
  <c r="AO23" i="1"/>
  <c r="AX18" i="1"/>
  <c r="AJ14" i="1"/>
  <c r="AQ9" i="1"/>
  <c r="AD5" i="1"/>
  <c r="AJ116" i="1"/>
  <c r="AK78" i="1"/>
  <c r="AK46" i="1"/>
  <c r="AQ26" i="1"/>
  <c r="AO21" i="1"/>
  <c r="AD18" i="1"/>
  <c r="AQ14" i="1"/>
  <c r="AJ11" i="1"/>
  <c r="AX7" i="1"/>
  <c r="AO4" i="1"/>
  <c r="AO9" i="1"/>
  <c r="AI3" i="1"/>
  <c r="AK74" i="1"/>
  <c r="AW23" i="1"/>
  <c r="AN115" i="1"/>
  <c r="AO87" i="1"/>
  <c r="AC62" i="1"/>
  <c r="AK36" i="1"/>
  <c r="AP26" i="1"/>
  <c r="AM22" i="1"/>
  <c r="AV18" i="1"/>
  <c r="AM15" i="1"/>
  <c r="AE12" i="1"/>
  <c r="AD7" i="1"/>
  <c r="AU96" i="1"/>
  <c r="AU32" i="1"/>
  <c r="AK18" i="1"/>
  <c r="AD4" i="1"/>
  <c r="AE68" i="1"/>
  <c r="AP19" i="1"/>
  <c r="AD10" i="1"/>
  <c r="AH14" i="1"/>
  <c r="AL145" i="1"/>
  <c r="AR40" i="1"/>
  <c r="AW97" i="1"/>
  <c r="AW63" i="1"/>
  <c r="AI38" i="1"/>
  <c r="AV103" i="1"/>
  <c r="AH78" i="1"/>
  <c r="AP52" i="1"/>
  <c r="AG210" i="1"/>
  <c r="AO96" i="1"/>
  <c r="AC71" i="1"/>
  <c r="AK45" i="1"/>
  <c r="AR110" i="1"/>
  <c r="AN84" i="1"/>
  <c r="AX58" i="1"/>
  <c r="AJ33" i="1"/>
  <c r="AE100" i="1"/>
  <c r="AM74" i="1"/>
  <c r="AW48" i="1"/>
  <c r="AJ198" i="1"/>
  <c r="AV102" i="1"/>
  <c r="AD90" i="1"/>
  <c r="AH77" i="1"/>
  <c r="AL64" i="1"/>
  <c r="AP51" i="1"/>
  <c r="AV38" i="1"/>
  <c r="AH29" i="1"/>
  <c r="AG77" i="1"/>
  <c r="AU29" i="1"/>
  <c r="AW20" i="1"/>
  <c r="AE14" i="1"/>
  <c r="AK7" i="1"/>
  <c r="AJ15" i="1"/>
  <c r="AJ2" i="1"/>
  <c r="AG113" i="1"/>
  <c r="AU60" i="1"/>
  <c r="AL26" i="1"/>
  <c r="AI18" i="1"/>
  <c r="AM6" i="1"/>
  <c r="AI8" i="1"/>
  <c r="AO79" i="1"/>
  <c r="AO30" i="1"/>
  <c r="AI21" i="1"/>
  <c r="AL14" i="1"/>
  <c r="AW3" i="1"/>
  <c r="AK98" i="1"/>
  <c r="AG47" i="1"/>
  <c r="AG24" i="1"/>
  <c r="AW16" i="1"/>
  <c r="AG10" i="1"/>
  <c r="AL3" i="1"/>
  <c r="AC25" i="1"/>
  <c r="AJ5" i="1"/>
  <c r="AO91" i="1"/>
  <c r="AO59" i="1"/>
  <c r="AK29" i="1"/>
  <c r="AD23" i="1"/>
  <c r="AN18" i="1"/>
  <c r="AW13" i="1"/>
  <c r="AI9" i="1"/>
  <c r="AP4" i="1"/>
  <c r="AE111" i="1"/>
  <c r="AG75" i="1"/>
  <c r="AG43" i="1"/>
  <c r="AG26" i="1"/>
  <c r="AE21" i="1"/>
  <c r="AP17" i="1"/>
  <c r="AI14" i="1"/>
  <c r="AW10" i="1"/>
  <c r="AN7" i="1"/>
  <c r="AG4" i="1"/>
  <c r="AJ8" i="1"/>
  <c r="AM2" i="1"/>
  <c r="AO61" i="1"/>
  <c r="AD20" i="1"/>
  <c r="AM110" i="1"/>
  <c r="AK84" i="1"/>
  <c r="AU58" i="1"/>
  <c r="AG33" i="1"/>
  <c r="AF26" i="1"/>
  <c r="AC22" i="1"/>
  <c r="AL18" i="1"/>
  <c r="AD15" i="1"/>
  <c r="AQ11" i="1"/>
  <c r="AU5" i="1"/>
  <c r="AO93" i="1"/>
  <c r="AE29" i="1"/>
  <c r="AV15" i="1"/>
  <c r="AD2" i="1"/>
  <c r="AR147" i="1"/>
  <c r="AP35" i="1"/>
  <c r="AP27" i="1"/>
  <c r="AE6" i="1"/>
  <c r="AK102" i="1"/>
  <c r="AC17" i="1"/>
  <c r="AN165" i="1"/>
  <c r="AG13" i="1"/>
  <c r="AP22" i="1"/>
  <c r="AX130" i="1"/>
  <c r="AP12" i="1"/>
  <c r="AO33" i="1"/>
  <c r="AQ6" i="1"/>
  <c r="AC78" i="1"/>
  <c r="AU80" i="1"/>
  <c r="AH112" i="1"/>
  <c r="AF33" i="1"/>
  <c r="AM93" i="1"/>
  <c r="AQ60" i="1"/>
  <c r="AE35" i="1"/>
  <c r="AP100" i="1"/>
  <c r="AD75" i="1"/>
  <c r="AL49" i="1"/>
  <c r="AJ145" i="1"/>
  <c r="AK93" i="1"/>
  <c r="AU67" i="1"/>
  <c r="AG42" i="1"/>
  <c r="AX106" i="1"/>
  <c r="AJ81" i="1"/>
  <c r="AR55" i="1"/>
  <c r="AF30" i="1"/>
  <c r="AW96" i="1"/>
  <c r="AI71" i="1"/>
  <c r="AQ45" i="1"/>
  <c r="AF144" i="1"/>
  <c r="AV100" i="1"/>
  <c r="AD88" i="1"/>
  <c r="AH75" i="1"/>
  <c r="AL62" i="1"/>
  <c r="AP49" i="1"/>
  <c r="AV36" i="1"/>
  <c r="AF195" i="1"/>
  <c r="AU70" i="1"/>
  <c r="AI28" i="1"/>
  <c r="AC20" i="1"/>
  <c r="AI13" i="1"/>
  <c r="AN6" i="1"/>
  <c r="AP13" i="1"/>
  <c r="AE8" i="1"/>
  <c r="AO105" i="1"/>
  <c r="AK54" i="1"/>
  <c r="AK25" i="1"/>
  <c r="AL17" i="1"/>
  <c r="AU4" i="1"/>
  <c r="AV2" i="1"/>
  <c r="AG73" i="1"/>
  <c r="AU28" i="1"/>
  <c r="AJ20" i="1"/>
  <c r="AO13" i="1"/>
  <c r="AC68" i="1"/>
  <c r="AC92" i="1"/>
  <c r="AU40" i="1"/>
  <c r="AG23" i="1"/>
  <c r="AD16" i="1"/>
  <c r="AJ9" i="1"/>
  <c r="AP2" i="1"/>
  <c r="AX20" i="1"/>
  <c r="AX156" i="1"/>
  <c r="AK88" i="1"/>
  <c r="AG53" i="1"/>
  <c r="AC28" i="1"/>
  <c r="AO22" i="1"/>
  <c r="AQ17" i="1"/>
  <c r="AD13" i="1"/>
  <c r="AV8" i="1"/>
  <c r="AC3" i="1"/>
  <c r="AC104" i="1"/>
  <c r="AC72" i="1"/>
  <c r="AU36" i="1"/>
  <c r="AE25" i="1"/>
  <c r="AP20" i="1"/>
  <c r="AH17" i="1"/>
  <c r="AV13" i="1"/>
  <c r="AM10" i="1"/>
  <c r="AE7" i="1"/>
  <c r="AR3" i="1"/>
  <c r="AM7" i="1"/>
  <c r="AE2" i="1"/>
  <c r="AC52" i="1"/>
  <c r="AL15" i="1"/>
  <c r="AU106" i="1"/>
  <c r="AG81" i="1"/>
  <c r="AO55" i="1"/>
  <c r="AE31" i="1"/>
  <c r="AO25" i="1"/>
  <c r="AN21" i="1"/>
  <c r="AC18" i="1"/>
  <c r="AP14" i="1"/>
  <c r="AI11" i="1"/>
  <c r="AX4" i="1"/>
  <c r="AG87" i="1"/>
  <c r="AR27" i="1"/>
  <c r="AG14" i="1"/>
  <c r="AQ93" i="1"/>
  <c r="AC50" i="1"/>
  <c r="AX146" i="1"/>
  <c r="AO17" i="1"/>
  <c r="AO150" i="1"/>
  <c r="AR26" i="1"/>
  <c r="AM89" i="1"/>
  <c r="AM57" i="1"/>
  <c r="AW31" i="1"/>
  <c r="AL97" i="1"/>
  <c r="AV71" i="1"/>
  <c r="AH46" i="1"/>
  <c r="AX120" i="1"/>
  <c r="AG90" i="1"/>
  <c r="AO64" i="1"/>
  <c r="AC39" i="1"/>
  <c r="AR103" i="1"/>
  <c r="AF78" i="1"/>
  <c r="AM42" i="1"/>
  <c r="AP99" i="1"/>
  <c r="AD74" i="1"/>
  <c r="AH61" i="1"/>
  <c r="AL48" i="1"/>
  <c r="AO67" i="1"/>
  <c r="AV12" i="1"/>
  <c r="AL6" i="1"/>
  <c r="AV24" i="1"/>
  <c r="AC70" i="1"/>
  <c r="AK23" i="1"/>
  <c r="AU88" i="1"/>
  <c r="AP15" i="1"/>
  <c r="AG85" i="1"/>
  <c r="AL8" i="1"/>
  <c r="AU100" i="1"/>
  <c r="AG20" i="1"/>
  <c r="AP6" i="1"/>
  <c r="AD12" i="1"/>
  <c r="AC30" i="1"/>
  <c r="AD21" i="1"/>
  <c r="AW12" i="1"/>
</calcChain>
</file>

<file path=xl/sharedStrings.xml><?xml version="1.0" encoding="utf-8"?>
<sst xmlns="http://schemas.openxmlformats.org/spreadsheetml/2006/main" count="5823" uniqueCount="983">
  <si>
    <t>id</t>
  </si>
  <si>
    <t>type</t>
  </si>
  <si>
    <t>fromdate</t>
  </si>
  <si>
    <t>todate</t>
  </si>
  <si>
    <t>subno</t>
  </si>
  <si>
    <t>daycount</t>
  </si>
  <si>
    <t>url</t>
  </si>
  <si>
    <t>totalduration</t>
  </si>
  <si>
    <t>starttime</t>
  </si>
  <si>
    <t>endtime</t>
  </si>
  <si>
    <t>lagna_rasi</t>
  </si>
  <si>
    <t>lrname</t>
  </si>
  <si>
    <t>sentiment</t>
  </si>
  <si>
    <t>super_positive</t>
  </si>
  <si>
    <t>positive</t>
  </si>
  <si>
    <t>productive</t>
  </si>
  <si>
    <t>lucky</t>
  </si>
  <si>
    <t>average</t>
  </si>
  <si>
    <t>below_average</t>
  </si>
  <si>
    <t>negative</t>
  </si>
  <si>
    <t>super_negative</t>
  </si>
  <si>
    <t>pending_work</t>
  </si>
  <si>
    <t>tiring_even</t>
  </si>
  <si>
    <t>bhaag_daud</t>
  </si>
  <si>
    <t>en_1</t>
  </si>
  <si>
    <t>en_2</t>
  </si>
  <si>
    <t>en_3</t>
  </si>
  <si>
    <t>en_4</t>
  </si>
  <si>
    <t>hi_1</t>
  </si>
  <si>
    <t>hi_2</t>
  </si>
  <si>
    <t>hi_3</t>
  </si>
  <si>
    <t>hi_4</t>
  </si>
  <si>
    <t>mr_1</t>
  </si>
  <si>
    <t>mr_2</t>
  </si>
  <si>
    <t>mr_3</t>
  </si>
  <si>
    <t>mr_4</t>
  </si>
  <si>
    <t>gu_1</t>
  </si>
  <si>
    <t>gu_2</t>
  </si>
  <si>
    <t>gu_3</t>
  </si>
  <si>
    <t>gu_4</t>
  </si>
  <si>
    <t>bn_1</t>
  </si>
  <si>
    <t>bn_2</t>
  </si>
  <si>
    <t>bn_3</t>
  </si>
  <si>
    <t>bn_4</t>
  </si>
  <si>
    <t>status</t>
  </si>
  <si>
    <t>assigned_to</t>
  </si>
  <si>
    <t>te_1</t>
  </si>
  <si>
    <t>te_2</t>
  </si>
  <si>
    <t>te_3</t>
  </si>
  <si>
    <t>te_4</t>
  </si>
  <si>
    <t>status_en</t>
  </si>
  <si>
    <t>status_hi</t>
  </si>
  <si>
    <t>status_mr</t>
  </si>
  <si>
    <t>status_gu</t>
  </si>
  <si>
    <t>status_te</t>
  </si>
  <si>
    <t>status_bn</t>
  </si>
  <si>
    <t>1day</t>
  </si>
  <si>
    <t>https://www.youtube.com/watch?v=NcxQwKsYvEA</t>
  </si>
  <si>
    <t>R</t>
  </si>
  <si>
    <t>intro</t>
  </si>
  <si>
    <t>N/A</t>
  </si>
  <si>
    <t>No</t>
  </si>
  <si>
    <t>working</t>
  </si>
  <si>
    <t>hindi08@ayushcms.com</t>
  </si>
  <si>
    <t>Tula</t>
  </si>
  <si>
    <t>reduce stress</t>
  </si>
  <si>
    <t>productive increase in maan samman(respect)</t>
  </si>
  <si>
    <t>good newz</t>
  </si>
  <si>
    <t>Vrushik</t>
  </si>
  <si>
    <t>try to complete pending works</t>
  </si>
  <si>
    <t>additional workload</t>
  </si>
  <si>
    <t>will feel energetic to complete work</t>
  </si>
  <si>
    <t>Dhanu</t>
  </si>
  <si>
    <t>chaotic situation</t>
  </si>
  <si>
    <t>keep quite</t>
  </si>
  <si>
    <t>attention to social and family responsibilities</t>
  </si>
  <si>
    <t>Makar</t>
  </si>
  <si>
    <t>caution don’t promise</t>
  </si>
  <si>
    <t>legal issues</t>
  </si>
  <si>
    <t>Kumbh</t>
  </si>
  <si>
    <t>tiring day with satisfaction</t>
  </si>
  <si>
    <t>Meen</t>
  </si>
  <si>
    <t>neutral</t>
  </si>
  <si>
    <t>pending works</t>
  </si>
  <si>
    <t>tiring day</t>
  </si>
  <si>
    <t>https://www.youtube.com/watch?v=b1fyJxiiJL0</t>
  </si>
  <si>
    <t>00:01:42</t>
  </si>
  <si>
    <t>https://www.youtube.com/watch?v=b1fyJxiiJL1</t>
  </si>
  <si>
    <t>00:02:19</t>
  </si>
  <si>
    <t>00:03:01</t>
  </si>
  <si>
    <t>Vrushabh</t>
  </si>
  <si>
    <t>yes</t>
  </si>
  <si>
    <t>outing with friends and family</t>
  </si>
  <si>
    <t>good ot resolve old quarels</t>
  </si>
  <si>
    <t>english112@ayushcms.com</t>
  </si>
  <si>
    <t>https://www.youtube.com/watch?v=b1fyJxiiJL2</t>
  </si>
  <si>
    <t>00:04:20</t>
  </si>
  <si>
    <t>Mithun</t>
  </si>
  <si>
    <t>be carefull with words</t>
  </si>
  <si>
    <t>be cautious about health</t>
  </si>
  <si>
    <t>https://www.youtube.com/watch?v=b1fyJxiiJL3</t>
  </si>
  <si>
    <t>00:04:57</t>
  </si>
  <si>
    <t>Kark</t>
  </si>
  <si>
    <t>your pending work will end</t>
  </si>
  <si>
    <t>more spending</t>
  </si>
  <si>
    <t>overall positive</t>
  </si>
  <si>
    <t>https://www.youtube.com/watch?v=b1fyJxiiJL4</t>
  </si>
  <si>
    <t>00:06:12</t>
  </si>
  <si>
    <t>Sinh</t>
  </si>
  <si>
    <t>no</t>
  </si>
  <si>
    <t>control anger</t>
  </si>
  <si>
    <t>https://www.youtube.com/watch?v=b1fyJxiiJL5</t>
  </si>
  <si>
    <t>00:06:50</t>
  </si>
  <si>
    <t>Kanya</t>
  </si>
  <si>
    <t>good day to end pending task</t>
  </si>
  <si>
    <t>casual spending</t>
  </si>
  <si>
    <t>feel relaxation as pending task are over</t>
  </si>
  <si>
    <t>https://www.youtube.com/watch?v=b1fyJxiiJL6</t>
  </si>
  <si>
    <t>00:07:46</t>
  </si>
  <si>
    <t>no reaction over action when someone provokes you</t>
  </si>
  <si>
    <t>emotional cautious</t>
  </si>
  <si>
    <t>https://www.youtube.com/watch?v=b1fyJxiiJL7</t>
  </si>
  <si>
    <t>00:08:05</t>
  </si>
  <si>
    <t>might fell stress</t>
  </si>
  <si>
    <t>https://www.youtube.com/watch?v=b1fyJxiiJL9</t>
  </si>
  <si>
    <t>00:08:55</t>
  </si>
  <si>
    <t>00:09:40</t>
  </si>
  <si>
    <t>can do any task in this day or week</t>
  </si>
  <si>
    <t>might feel dificulty in balancing between friends and family</t>
  </si>
  <si>
    <t>quality time with friends and family</t>
  </si>
  <si>
    <t>https://www.youtube.com/watch?v=b1fyJxiiJL10</t>
  </si>
  <si>
    <t>be carefull with words might get into a quarrel because of old fights</t>
  </si>
  <si>
    <t>try not to get involve</t>
  </si>
  <si>
    <t>control your anger</t>
  </si>
  <si>
    <t>https://www.youtube.com/watch?v=b1fyJxiiJL11</t>
  </si>
  <si>
    <t>be carefull with vehicle and steps</t>
  </si>
  <si>
    <t>feel stress</t>
  </si>
  <si>
    <t>outro</t>
  </si>
  <si>
    <t>https://www.youtube.com/watch?v=PyWf124qV4A</t>
  </si>
  <si>
    <t>00:00:00</t>
  </si>
  <si>
    <t>00:01:48</t>
  </si>
  <si>
    <t>00:02:34</t>
  </si>
  <si>
    <t>Mesha</t>
  </si>
  <si>
    <t>Burden of responsibilities</t>
  </si>
  <si>
    <t>Pending tasks</t>
  </si>
  <si>
    <t>Mental stress due to workload</t>
  </si>
  <si>
    <t>00:03:25</t>
  </si>
  <si>
    <t>New career opportunities</t>
  </si>
  <si>
    <t>Foreign work favorable</t>
  </si>
  <si>
    <t>Effort will yield results</t>
  </si>
  <si>
    <t>00:04:33</t>
  </si>
  <si>
    <t>00:05:33</t>
  </si>
  <si>
    <t xml:space="preserve">Day starts okay, worsens later </t>
  </si>
  <si>
    <t>Avoid major decisions</t>
  </si>
  <si>
    <t>Stay cautious</t>
  </si>
  <si>
    <t>00:06:53</t>
  </si>
  <si>
    <t>Mars + Ketu ? Pishach Yoga</t>
  </si>
  <si>
    <t>Injury chances</t>
  </si>
  <si>
    <t>Don’t overexert</t>
  </si>
  <si>
    <t>Manage energy</t>
  </si>
  <si>
    <t>major decision</t>
  </si>
  <si>
    <t>take care of health</t>
  </si>
  <si>
    <t>drive carefully</t>
  </si>
  <si>
    <t>good for long term planning</t>
  </si>
  <si>
    <t>patience</t>
  </si>
  <si>
    <t>avoid conflict</t>
  </si>
  <si>
    <t>00:07:47</t>
  </si>
  <si>
    <t>Disruption due to others</t>
  </si>
  <si>
    <t>Government work delays</t>
  </si>
  <si>
    <t>Stay alert</t>
  </si>
  <si>
    <t>https://www.youtube.com/watch?v=dHxG05SfisM</t>
  </si>
  <si>
    <t>https://www.youtube.com/watch?v=ucdMnsWtAtg</t>
  </si>
  <si>
    <t>Good day but avoid risky decisions</t>
  </si>
  <si>
    <t>Stick to well-laid plans</t>
  </si>
  <si>
    <t>00:08:32</t>
  </si>
  <si>
    <t>00:09:28</t>
  </si>
  <si>
    <t>Foreign-related tasks good</t>
  </si>
  <si>
    <t>Avoid risky decisions</t>
  </si>
  <si>
    <t>Control speech</t>
  </si>
  <si>
    <t>00:10:55</t>
  </si>
  <si>
    <t>00:11:39</t>
  </si>
  <si>
    <t>Overcoming past stress</t>
  </si>
  <si>
    <t>Good for decisions</t>
  </si>
  <si>
    <t>Caution in stock market</t>
  </si>
  <si>
    <t>00:12:15</t>
  </si>
  <si>
    <t>Unexpected stress</t>
  </si>
  <si>
    <t>Avoid arguments</t>
  </si>
  <si>
    <t>Stay calm despite tension</t>
  </si>
  <si>
    <t>Child worries resolved</t>
  </si>
  <si>
    <t>Court case caution</t>
  </si>
  <si>
    <t>Avoid financial speculation</t>
  </si>
  <si>
    <t>https://www.youtube.com/live/uNSw0xq2OFU</t>
  </si>
  <si>
    <t>00:01:43</t>
  </si>
  <si>
    <t>00:03:12</t>
  </si>
  <si>
    <t>pishach yog for 51 days</t>
  </si>
  <si>
    <t>be carefull avoid physical hard work</t>
  </si>
  <si>
    <t>family responsibilities</t>
  </si>
  <si>
    <t>carefull for inplusive nature</t>
  </si>
  <si>
    <t>00:03:52</t>
  </si>
  <si>
    <t>musch effort</t>
  </si>
  <si>
    <t>hectic and do work with energy to complete the work</t>
  </si>
  <si>
    <t>grab opportunites</t>
  </si>
  <si>
    <t>00:04:24</t>
  </si>
  <si>
    <t>can take decisions</t>
  </si>
  <si>
    <t>be carefull about health</t>
  </si>
  <si>
    <t>00:05:01</t>
  </si>
  <si>
    <t>00:06:11</t>
  </si>
  <si>
    <t>health issues</t>
  </si>
  <si>
    <t>00:07:25</t>
  </si>
  <si>
    <t>overthinking while doing work</t>
  </si>
  <si>
    <t>avoid risky task</t>
  </si>
  <si>
    <t>00:07:56</t>
  </si>
  <si>
    <t>do all pending works</t>
  </si>
  <si>
    <t>be wise with words</t>
  </si>
  <si>
    <t>00:08:45</t>
  </si>
  <si>
    <t>super negative</t>
  </si>
  <si>
    <t>no reaction over any action</t>
  </si>
  <si>
    <t>00:10:34</t>
  </si>
  <si>
    <t>will get difficulty in daily task</t>
  </si>
  <si>
    <t>no luck for the day</t>
  </si>
  <si>
    <t>keep multiple plans</t>
  </si>
  <si>
    <t>00:11:05</t>
  </si>
  <si>
    <t>good day to end pending tasks</t>
  </si>
  <si>
    <t>spending in family gettogether or functions</t>
  </si>
  <si>
    <t>more effort and workload</t>
  </si>
  <si>
    <t>will get the result for the efforts</t>
  </si>
  <si>
    <t>https://www.youtube.com/watch?v=cVWrIyNeZyE&amp;list=PLyF1y80RciUme5FBqwFEhrKaOchsa_M5r&amp;index=142&amp;pp=iAQB</t>
  </si>
  <si>
    <t>00:06:22</t>
  </si>
  <si>
    <t>00:07:16</t>
  </si>
  <si>
    <t>Favorable for foreign affairs and financial dealings.</t>
  </si>
  <si>
    <t>Avoid emotional financial decisions.</t>
  </si>
  <si>
    <t>Possible unplanned expenses or minor injury.</t>
  </si>
  <si>
    <t>Drive carefully.</t>
  </si>
  <si>
    <t>00:07:55</t>
  </si>
  <si>
    <t>Sudden disruptions or setbacks likely.</t>
  </si>
  <si>
    <t>Drive carefully, avoid major physical exertion.</t>
  </si>
  <si>
    <t>Stay calm and composed.</t>
  </si>
  <si>
    <t>00:08:22</t>
  </si>
  <si>
    <t>Busy and physically tiring day.</t>
  </si>
  <si>
    <t>High work pressure but fulfilling.</t>
  </si>
  <si>
    <t>Satisfaction from completing tasks.</t>
  </si>
  <si>
    <t>00:08:58</t>
  </si>
  <si>
    <t>Workload will increase unexpectedly.</t>
  </si>
  <si>
    <t>Stay composed, work with energy.</t>
  </si>
  <si>
    <t>Sweet speech brings benefits.</t>
  </si>
  <si>
    <t>00:09:36</t>
  </si>
  <si>
    <t>Family and child-related concerns.</t>
  </si>
  <si>
    <t>Arguments with spouse should be avoided.</t>
  </si>
  <si>
    <t>Avoid digging up past issues.</t>
  </si>
  <si>
    <t>00:10:35</t>
  </si>
  <si>
    <t>Plan thoroughly and keep a backup.</t>
  </si>
  <si>
    <t>Avoid starting anything impulsively.</t>
  </si>
  <si>
    <t>Things may not go as expected.</t>
  </si>
  <si>
    <t>Career opportunities should be seized.</t>
  </si>
  <si>
    <t>Rise in respect and recognition.</t>
  </si>
  <si>
    <t>Positive phase for professional growth.</t>
  </si>
  <si>
    <t>00:11:26</t>
  </si>
  <si>
    <t>Relief from stress and health issues.</t>
  </si>
  <si>
    <t>Strong family support.</t>
  </si>
  <si>
    <t>Good for mental peace and recovery.</t>
  </si>
  <si>
    <t>Chanchal (restless) energy should be controlled.</t>
  </si>
  <si>
    <t>Plan everything carefully.</t>
  </si>
  <si>
    <t>Rahu’s effect on Jupiter requires caution.</t>
  </si>
  <si>
    <t>https://www.youtube.com/watch?v=dvzg_yf_DZg</t>
  </si>
  <si>
    <t>00:01:29</t>
  </si>
  <si>
    <t>Mars-Ketu 'Pisach Yoga'" is unfavorable "</t>
  </si>
  <si>
    <t>Control your anger and speech</t>
  </si>
  <si>
    <t>Avoid reacting impulsively to provocation</t>
  </si>
  <si>
    <t>Stay calm to prevent unnecessary conflicts</t>
  </si>
  <si>
    <t>Day will be hectic</t>
  </si>
  <si>
    <t>Jupiter is in Rahu's nakshatra—watch your health</t>
  </si>
  <si>
    <t>Do not ignore seasonal illnesses</t>
  </si>
  <si>
    <t>Post-evening fatigue likely</t>
  </si>
  <si>
    <t>Productive and favorable day</t>
  </si>
  <si>
    <t>Be cautious about injuries and body pain</t>
  </si>
  <si>
    <t>Drive carefully</t>
  </si>
  <si>
    <t>Double-check all financial deals</t>
  </si>
  <si>
    <t>Health concerns persist</t>
  </si>
  <si>
    <t>Avoid overexertion in social and work activities</t>
  </si>
  <si>
    <t>Drive safely</t>
  </si>
  <si>
    <t>Maintain balance to prevent health setbacks</t>
  </si>
  <si>
    <t>Sudden reconnection with old friends possible</t>
  </si>
  <si>
    <t>Good day for important decisions</t>
  </si>
  <si>
    <t>Follow up on pending government work</t>
  </si>
  <si>
    <t>Hidden enemies may act against you</t>
  </si>
  <si>
    <t>Avoid reacting or seeking revenge now</t>
  </si>
  <si>
    <t>Stay calm and avoid arguments</t>
  </si>
  <si>
    <t>Control anger and speech</t>
  </si>
  <si>
    <t>Stay composed despite provocations</t>
  </si>
  <si>
    <t>Avoid overreacting</t>
  </si>
  <si>
    <t>Minor issues may escalate</t>
  </si>
  <si>
    <t>Remain patient and silent when needed</t>
  </si>
  <si>
    <t>Stressful week continues</t>
  </si>
  <si>
    <t>Work results may not meet expectations</t>
  </si>
  <si>
    <t>Misunderstandings with close ones possible</t>
  </si>
  <si>
    <t>Excellent day for completing pending tasks</t>
  </si>
  <si>
    <t>Balancing home and work may be tough</t>
  </si>
  <si>
    <t xml:space="preserve"> Overall, productive and lucky day</t>
  </si>
  <si>
    <t>Slowly coming out of confusion and stress</t>
  </si>
  <si>
    <t>Family support will help</t>
  </si>
  <si>
    <t>Take advice before making important decisions</t>
  </si>
  <si>
    <t>Sudden expenses for family comforts possible</t>
  </si>
  <si>
    <t>Take important decisions</t>
  </si>
  <si>
    <t>Use this good day to your full advantage</t>
  </si>
  <si>
    <t>https://www.youtube.com/watch?v=qbE2ZsNLThM&amp;list=PLyF1y80RciUme5FBqwFEhrKaOchsa_M5r&amp;index=145</t>
  </si>
  <si>
    <t>https://www.youtube.com/watch?v=qbE2ZsNLThM&amp;list=PLyF1y80RciUme5FBqwFEhrKaOchsa_M5r&amp;index=146</t>
  </si>
  <si>
    <t>Pending tasks can be completed</t>
  </si>
  <si>
    <t>Productive family time</t>
  </si>
  <si>
    <t>Mind seasonal health issues due to Mars-Ketu conjunction</t>
  </si>
  <si>
    <t>https://www.youtube.com/watch?v=qbE2ZsNLThM&amp;list=PLyF1y80RciUme5FBqwFEhrKaOchsa_M5r&amp;index=147</t>
  </si>
  <si>
    <t>Happy Sunday</t>
  </si>
  <si>
    <t>Possible sudden expenses for family comfort</t>
  </si>
  <si>
    <t>Day out with loved ones</t>
  </si>
  <si>
    <t>https://www.youtube.com/watch?v=qbE2ZsNLThM&amp;list=PLyF1y80RciUme5FBqwFEhrKaOchsa_M5r&amp;index=148</t>
  </si>
  <si>
    <t>Old tasks get done</t>
  </si>
  <si>
    <t>Quality time with friends and family</t>
  </si>
  <si>
    <t>Control your speech over the next 10–15 days</t>
  </si>
  <si>
    <t>https://www.youtube.com/watch?v=qbE2ZsNLThM&amp;list=PLyF1y80RciUme5FBqwFEhrKaOchsa_M5r&amp;index=149</t>
  </si>
  <si>
    <t>Overthinking &amp; baseless worries dominate</t>
  </si>
  <si>
    <t>Don’t let prejudiced thoughts cloud judgment</t>
  </si>
  <si>
    <t>https://www.youtube.com/watch?v=qbE2ZsNLThM&amp;list=PLyF1y80RciUme5FBqwFEhrKaOchsa_M5r&amp;index=150</t>
  </si>
  <si>
    <t>Relaxing day</t>
  </si>
  <si>
    <t>Health caution needed due to Mars-Ketu</t>
  </si>
  <si>
    <t xml:space="preserve"> Avoid injuries, especially while driving or climbing stairs</t>
  </si>
  <si>
    <t>https://www.youtube.com/watch?v=qbE2ZsNLThM&amp;list=PLyF1y80RciUme5FBqwFEhrKaOchsa_M5r&amp;index=151</t>
  </si>
  <si>
    <t>Avoid arguments at home</t>
  </si>
  <si>
    <t>Stick to routine work quietly</t>
  </si>
  <si>
    <t>Don’t escalate family discussions</t>
  </si>
  <si>
    <t>https://www.youtube.com/watch?v=qbE2ZsNLThM&amp;list=PLyF1y80RciUme5FBqwFEhrKaOchsa_M5r&amp;index=152</t>
  </si>
  <si>
    <t>Health concerns may arise</t>
  </si>
  <si>
    <t>Don’t ignore seasonal issues</t>
  </si>
  <si>
    <t>Positive but stay alert on health</t>
  </si>
  <si>
    <t>https://www.youtube.com/watch?v=qbE2ZsNLThM&amp;list=PLyF1y80RciUme5FBqwFEhrKaOchsa_M5r&amp;index=153</t>
  </si>
  <si>
    <t>Day full of responsibilities</t>
  </si>
  <si>
    <t>Social obligations may arise</t>
  </si>
  <si>
    <t>Travel safely and plan wisely</t>
  </si>
  <si>
    <t>https://www.youtube.com/watch?v=qbE2ZsNLThM&amp;list=PLyF1y80RciUme5FBqwFEhrKaOchsa_M5r&amp;index=154</t>
  </si>
  <si>
    <t>Positive but health alert due to Jupiter–Rahu effect</t>
  </si>
  <si>
    <t>Avoid stress</t>
  </si>
  <si>
    <t>Control irritability and emotional outbursts</t>
  </si>
  <si>
    <t>https://www.youtube.com/watch?v=qbE2ZsNLThM&amp;list=PLyF1y80RciUme5FBqwFEhrKaOchsa_M5r&amp;index=155</t>
  </si>
  <si>
    <t>Remain calm and composed</t>
  </si>
  <si>
    <t>Avoid reacting in anger</t>
  </si>
  <si>
    <t>Stay patient even if provoked</t>
  </si>
  <si>
    <t>https://www.youtube.com/watch?v=qbE2ZsNLThM&amp;list=PLyF1y80RciUme5FBqwFEhrKaOchsa_M5r&amp;index=156</t>
  </si>
  <si>
    <t>Family outings or travel likely</t>
  </si>
  <si>
    <t>Expenses on children’s education or career may come up soon</t>
  </si>
  <si>
    <t>https://www.youtube.com/watch?v=qbE2ZsNLThM&amp;list=PLyF1y80RciUme5FBqwFEhrKaOchsa_M5r&amp;index=157</t>
  </si>
  <si>
    <t>Upcoming week will be highly fluctuating</t>
  </si>
  <si>
    <t>Stay alert during negative phases</t>
  </si>
  <si>
    <t>https://www.youtube.com/watch?v=qbE2ZsNLThM&amp;list=PLyF1y80RciUme5FBqwFEhrKaOchsa_M5r&amp;index=158</t>
  </si>
  <si>
    <t>https://www.youtube.com/watch?v=PBUEYeosdms&amp;t=116s</t>
  </si>
  <si>
    <t>Yes</t>
  </si>
  <si>
    <t>Busy day with responsibilities</t>
  </si>
  <si>
    <t>Productive use of time</t>
  </si>
  <si>
    <t>Watch health due to Mars-Ketu effect</t>
  </si>
  <si>
    <t>Extra workload</t>
  </si>
  <si>
    <t>Family and work-life balance may be challenging</t>
  </si>
  <si>
    <t>Support from loved ones will help</t>
  </si>
  <si>
    <t>Avoid court decisions this week</t>
  </si>
  <si>
    <t>Control speech and promises</t>
  </si>
  <si>
    <t>Stay calm and patient</t>
  </si>
  <si>
    <t>High ups and downs this week</t>
  </si>
  <si>
    <t>Use this positive day wisely</t>
  </si>
  <si>
    <t>Avoid prejudiced thinking and arguments</t>
  </si>
  <si>
    <t>Heavy workload</t>
  </si>
  <si>
    <t>Be sweet-spoken</t>
  </si>
  <si>
    <t xml:space="preserve"> Take extra care of health, avoid slips or injuries</t>
  </si>
  <si>
    <t>Hard work needed for results</t>
  </si>
  <si>
    <t xml:space="preserve"> Less luck, more planning and effort </t>
  </si>
  <si>
    <t>May feel exhausting</t>
  </si>
  <si>
    <t>Health issues likely</t>
  </si>
  <si>
    <t>Stay calm even if provoked</t>
  </si>
  <si>
    <t xml:space="preserve"> Avoid conflicts, stick to routine tasks</t>
  </si>
  <si>
    <t xml:space="preserve">Heavy responsibilities, some unpleasant </t>
  </si>
  <si>
    <t>Be cautious with food and travel</t>
  </si>
  <si>
    <t>Physically tiring day</t>
  </si>
  <si>
    <t>Stress continues</t>
  </si>
  <si>
    <t>Take health seriously</t>
  </si>
  <si>
    <t>Handle responsibilities with a positive attitude</t>
  </si>
  <si>
    <t>Recognition and respect possible</t>
  </si>
  <si>
    <t>Government work may progress</t>
  </si>
  <si>
    <t>Take full advantage of this lucky day</t>
  </si>
  <si>
    <t>Overthinking &amp; past events may cloud mind</t>
  </si>
  <si>
    <t>Avoid mental stress</t>
  </si>
  <si>
    <t>Let the day pass calmly</t>
  </si>
  <si>
    <t>Enjoy social time and family bonding</t>
  </si>
  <si>
    <t>Shopping or outings possible</t>
  </si>
  <si>
    <t>Status and respect may grow</t>
  </si>
  <si>
    <t>https://www.youtube.com/live/Sl-f3_6BoMg</t>
  </si>
  <si>
    <t>Family &amp; social responsibilities increase</t>
  </si>
  <si>
    <t>Be mindful of health &amp; injuries</t>
  </si>
  <si>
    <t>Mars-Ketu impact may cause fatigue</t>
  </si>
  <si>
    <t>Heavy workload but recognition possible</t>
  </si>
  <si>
    <t>Boost in morale &amp; status</t>
  </si>
  <si>
    <t>Family support remains strong</t>
  </si>
  <si>
    <t>Control temper &amp; communication to avoid emotional outbursts</t>
  </si>
  <si>
    <t>Great day for foreign-related tasks</t>
  </si>
  <si>
    <t>Favorable for important decisions</t>
  </si>
  <si>
    <t>Avoid misunderstandings with loved ones</t>
  </si>
  <si>
    <t>Pending tasks will move forward</t>
  </si>
  <si>
    <t>Sudden expenses likely</t>
  </si>
  <si>
    <t xml:space="preserve"> Hard work will bring results, not luck</t>
  </si>
  <si>
    <t>Busy day with extra responsibilities</t>
  </si>
  <si>
    <t>Plan well to avoid chaos</t>
  </si>
  <si>
    <t>Avoid impulsive starts</t>
  </si>
  <si>
    <t>Physical fatigue &amp; mental restlessness</t>
  </si>
  <si>
    <t>Avoid unnecessary involvement in others’ issues</t>
  </si>
  <si>
    <t>Maintain peace at home</t>
  </si>
  <si>
    <t>Pending government tasks may clear</t>
  </si>
  <si>
    <t>Take health precautions</t>
  </si>
  <si>
    <t>Be cautious while driving</t>
  </si>
  <si>
    <t>Irritability due to delays</t>
  </si>
  <si>
    <t>Mental stress continues</t>
  </si>
  <si>
    <t>Avoid risky or tiring activities</t>
  </si>
  <si>
    <t>Cheerful and productive day</t>
  </si>
  <si>
    <t>Be careful with jokes – may be misinterpreted</t>
  </si>
  <si>
    <t>Expect praise and luck</t>
  </si>
  <si>
    <t>Overthinking &amp; imaginary stress</t>
  </si>
  <si>
    <t>Don’t let prejudiced thoughts dominate</t>
  </si>
  <si>
    <t>Stay grounded and focus on present</t>
  </si>
  <si>
    <t>00:14:15</t>
  </si>
  <si>
    <t>https://www.youtube.com/watch?v=loqeQ5EMYbo</t>
  </si>
  <si>
    <t>Reduced stress</t>
  </si>
  <si>
    <t>Progress in pending work</t>
  </si>
  <si>
    <t>Watch health due to Mars-Ketu</t>
  </si>
  <si>
    <t>Finish pending tasks</t>
  </si>
  <si>
    <t>Appreciation likely</t>
  </si>
  <si>
    <t>Good for foreign-related work</t>
  </si>
  <si>
    <t>Stressful emotions</t>
  </si>
  <si>
    <t>Low energy</t>
  </si>
  <si>
    <t>Focus on completing tasks quietly</t>
  </si>
  <si>
    <t>Avoid unsolicited advice</t>
  </si>
  <si>
    <t>Stay away from arguments</t>
  </si>
  <si>
    <t>Stay calm</t>
  </si>
  <si>
    <t>Favorable conditions return</t>
  </si>
  <si>
    <t>Be alert till July end</t>
  </si>
  <si>
    <t>Watch child-related expenses</t>
  </si>
  <si>
    <t>High workload</t>
  </si>
  <si>
    <t>Mechanically finish tasks</t>
  </si>
  <si>
    <t>Possible evening fatigue</t>
  </si>
  <si>
    <t>Problems resolve</t>
  </si>
  <si>
    <t>Good for important decisions</t>
  </si>
  <si>
    <t>Take steady action</t>
  </si>
  <si>
    <t>Health concerns</t>
  </si>
  <si>
    <t>Avoid anger</t>
  </si>
  <si>
    <t>Drive with caution</t>
  </si>
  <si>
    <t>Accept limitations</t>
  </si>
  <si>
    <t>Avoid overthinking</t>
  </si>
  <si>
    <t>Busy schedule</t>
  </si>
  <si>
    <t>High energy needed</t>
  </si>
  <si>
    <t>Likely to feel tired later</t>
  </si>
  <si>
    <t>Avoid emotional reactions</t>
  </si>
  <si>
    <t>Stay calm amid criticism</t>
  </si>
  <si>
    <t>00:09:10</t>
  </si>
  <si>
    <t>Emotional hurt likely</t>
  </si>
  <si>
    <t>Avoid giving advice</t>
  </si>
  <si>
    <t>https://www.youtube.com/watch?v=uRgeXRLmNnw</t>
  </si>
  <si>
    <t>Finish pending work</t>
  </si>
  <si>
    <t>Family celebrations ahead</t>
  </si>
  <si>
    <t>Be cautious about health</t>
  </si>
  <si>
    <t>New job or client opportunities</t>
  </si>
  <si>
    <t>Possible promotion or appreciation</t>
  </si>
  <si>
    <t>Respect gain</t>
  </si>
  <si>
    <t>Sudden financial gain</t>
  </si>
  <si>
    <t>Recovery of lent money</t>
  </si>
  <si>
    <t>Sweet speech brings success</t>
  </si>
  <si>
    <t>Family-related expenses</t>
  </si>
  <si>
    <t>Avoid arguments with close ones</t>
  </si>
  <si>
    <t>Good day otherwise</t>
  </si>
  <si>
    <t>Avoid risky financial deals</t>
  </si>
  <si>
    <t>Health precautions needed</t>
  </si>
  <si>
    <t>Busy and hectic day</t>
  </si>
  <si>
    <t>Satisfaction by evening</t>
  </si>
  <si>
    <t>Good for important tasks</t>
  </si>
  <si>
    <t>New career offers possible</t>
  </si>
  <si>
    <t>Take health care</t>
  </si>
  <si>
    <t>Avoid reacting impulsively</t>
  </si>
  <si>
    <t>Health concerns possible</t>
  </si>
  <si>
    <t>mixed positive</t>
  </si>
  <si>
    <t>Tense week ongoing</t>
  </si>
  <si>
    <t>Take major decisions today</t>
  </si>
  <si>
    <t>Avoid family arguments</t>
  </si>
  <si>
    <t>Complete pending tasks</t>
  </si>
  <si>
    <t>Avoid laziness</t>
  </si>
  <si>
    <t>Plan your day for better results</t>
  </si>
  <si>
    <t>Negative thoughts may dominate</t>
  </si>
  <si>
    <t>Avoid assumptions</t>
  </si>
  <si>
    <t>Stay calm and composed</t>
  </si>
  <si>
    <t>https://www.youtube.com/embed/fWGtTvP5N4E?si=Vwwhs6b_Luv4VQPI</t>
  </si>
  <si>
    <t>neagtive</t>
  </si>
  <si>
    <t>Health caution</t>
  </si>
  <si>
    <t>Only routine tasks</t>
  </si>
  <si>
    <t>Handle stress tactfully</t>
  </si>
  <si>
    <t>Family support</t>
  </si>
  <si>
    <t>Event planning likely</t>
  </si>
  <si>
    <t>Praise for your efforts</t>
  </si>
  <si>
    <t>Good career news</t>
  </si>
  <si>
    <t>Spend on comforts</t>
  </si>
  <si>
    <t>Finish week’s pending work</t>
  </si>
  <si>
    <t>Make solid future plans</t>
  </si>
  <si>
    <t>Avoid misunderstandings with family</t>
  </si>
  <si>
    <t>Productive day</t>
  </si>
  <si>
    <t>“Pishach Yoga” active</t>
  </si>
  <si>
    <t>Stressful day</t>
  </si>
  <si>
    <t>High productivity</t>
  </si>
  <si>
    <t>Evening fatigue but satisfied</t>
  </si>
  <si>
    <t>Mental prep needed</t>
  </si>
  <si>
    <t>Sweet tiredness by evening</t>
  </si>
  <si>
    <t>Good day for stuck tasks</t>
  </si>
  <si>
    <t>Must plan properly</t>
  </si>
  <si>
    <t>Avoid impulsive actions</t>
  </si>
  <si>
    <t>Frustration</t>
  </si>
  <si>
    <t>Confidence low</t>
  </si>
  <si>
    <t>Health issues possible</t>
  </si>
  <si>
    <t>Great for major decisions</t>
  </si>
  <si>
    <t>Government work favored</t>
  </si>
  <si>
    <t>Support from family</t>
  </si>
  <si>
    <t>Hidden enemies revealed</t>
  </si>
  <si>
    <t>Don’t react immediately</t>
  </si>
  <si>
    <t>Joyful day</t>
  </si>
  <si>
    <t>Clear old tasks</t>
  </si>
  <si>
    <t>Good career ideas</t>
  </si>
  <si>
    <t>Day not favorable</t>
  </si>
  <si>
    <t>Sudden expenses possible</t>
  </si>
  <si>
    <t>Positive shift after stress</t>
  </si>
  <si>
    <t>Start getting clarity</t>
  </si>
  <si>
    <t>Day is favorable</t>
  </si>
  <si>
    <t>Workload high</t>
  </si>
  <si>
    <t>Be mentally prepared</t>
  </si>
  <si>
    <t>Evening fatigue likely</t>
  </si>
  <si>
    <t>Avoid provocation</t>
  </si>
  <si>
    <t>Pishach Yoga influence</t>
  </si>
  <si>
    <t>Energetic day</t>
  </si>
  <si>
    <t>Health caution advised</t>
  </si>
  <si>
    <t>Handle things with planning</t>
  </si>
  <si>
    <t>Confusion in decision making</t>
  </si>
  <si>
    <t>Consult family</t>
  </si>
  <si>
    <t>Old issues clearing</t>
  </si>
  <si>
    <t>Health still needs attention</t>
  </si>
  <si>
    <t>Favorable for tasks</t>
  </si>
  <si>
    <t>Resolve old pending work</t>
  </si>
  <si>
    <t>Good planning helps</t>
  </si>
  <si>
    <t>Active but manageable day</t>
  </si>
  <si>
    <t>Mental stress due to family or children</t>
  </si>
  <si>
    <t>Reflect calmly</t>
  </si>
  <si>
    <t>Control anger</t>
  </si>
  <si>
    <t>Long-term benefit from calm talk</t>
  </si>
  <si>
    <t>https://www.youtube.com/live/hzxXKCjJDdI</t>
  </si>
  <si>
    <t>Stress period ending, complete pending tasks, quality family time, minor expenses</t>
  </si>
  <si>
    <t>Avoid arguments, loneliness possible, emotional instability</t>
  </si>
  <si>
    <t>Fun outings, group events, watch for elder’s health</t>
  </si>
  <si>
    <t>Increase in responsibilities, inner peace and energy</t>
  </si>
  <si>
    <t>No rest, busy with tasks, good time to act decisively</t>
  </si>
  <si>
    <t>Avoid reactions, stay silent even if provoked, mental tension</t>
  </si>
  <si>
    <t>Happy Sunday, but upcoming days need planning</t>
  </si>
  <si>
    <t>Tasks done for others, personal plans may be left incomplete</t>
  </si>
  <si>
    <t>Restful day, recovering from bad weeks, care for elders</t>
  </si>
  <si>
    <t>Health issues, drive carefully, be cautious for 8–10 days</t>
  </si>
  <si>
    <t>Family outings, take major decisions, good planning day</t>
  </si>
  <si>
    <t>Mood swings, illusion from Rahu-Jupiter transit, avoid self-diagnosing</t>
  </si>
  <si>
    <t>Good week to finish pending tasks</t>
  </si>
  <si>
    <t>Relief from child-related concerns</t>
  </si>
  <si>
    <t>Minor unexpected expenses possible</t>
  </si>
  <si>
    <t>Avoid haste in decisions</t>
  </si>
  <si>
    <t>Chances of arguments with close ones</t>
  </si>
  <si>
    <t>Day may backfire if not handled calmly</t>
  </si>
  <si>
    <t>Job opportunities or promotions possible</t>
  </si>
  <si>
    <t>Foreign-related work favorable</t>
  </si>
  <si>
    <t>Watch child and elder health</t>
  </si>
  <si>
    <t>Money lent may return</t>
  </si>
  <si>
    <t>Increased respect and recognition</t>
  </si>
  <si>
    <t>Hard work and planning will bring success</t>
  </si>
  <si>
    <t>Ideal time for major decisions</t>
  </si>
  <si>
    <t>Support from family and friends</t>
  </si>
  <si>
    <t>Government work may be completed</t>
  </si>
  <si>
    <t>Control speech and anger</t>
  </si>
  <si>
    <t>Sudden big expenses possible</t>
  </si>
  <si>
    <t>Manage finances carefully</t>
  </si>
  <si>
    <t>Make key decisions on Monday</t>
  </si>
  <si>
    <t>Rest of the week may be challenging</t>
  </si>
  <si>
    <t>Stay patient and composed</t>
  </si>
  <si>
    <t>Good for finishing pending tasks</t>
  </si>
  <si>
    <t>Use experience and intelligence</t>
  </si>
  <si>
    <t>Manage rush calmly</t>
  </si>
  <si>
    <t>Blocked work will resume</t>
  </si>
  <si>
    <t>Watch elder health</t>
  </si>
  <si>
    <t>Family responsibilities will be high</t>
  </si>
  <si>
    <t>Take care of health</t>
  </si>
  <si>
    <t>Avoid seasonal infections</t>
  </si>
  <si>
    <t>Complete old tasks</t>
  </si>
  <si>
    <t>Support from friends and family</t>
  </si>
  <si>
    <t>Slight physical discomfort possible</t>
  </si>
  <si>
    <t>super negativee</t>
  </si>
  <si>
    <t>Avoid haste</t>
  </si>
  <si>
    <t>Don’t self-medicate</t>
  </si>
  <si>
    <t>Health may disturb important work</t>
  </si>
  <si>
    <t>Child-related tensions resolve</t>
  </si>
  <si>
    <t>Family responsibilities increase</t>
  </si>
  <si>
    <t>Elder’s health errands</t>
  </si>
  <si>
    <t>Watch your speech &amp; behavior</t>
  </si>
  <si>
    <t>Control sneezing episodes</t>
  </si>
  <si>
    <t>Complete key tasks by 2:30 PM</t>
  </si>
  <si>
    <t>Be cautious about elder’s health</t>
  </si>
  <si>
    <t>Plan carefully before acting</t>
  </si>
  <si>
    <t>Avoid impulsive moves</t>
  </si>
  <si>
    <t>Make important decisions</t>
  </si>
  <si>
    <t>Take on social &amp; family duties</t>
  </si>
  <si>
    <t>Health gradually improves</t>
  </si>
  <si>
    <t>Postpone major tasks</t>
  </si>
  <si>
    <t>Control emotions &amp; reactions</t>
  </si>
  <si>
    <t>Busy day but you’ll clear tasks</t>
  </si>
  <si>
    <t>Care for any female elder’s health issues</t>
  </si>
  <si>
    <t>Expect a busy day</t>
  </si>
  <si>
    <t>Keep Plan B ready for shifting priorities</t>
  </si>
  <si>
    <t>Remain patient</t>
  </si>
  <si>
    <t>Don’t revisit past issues</t>
  </si>
  <si>
    <t>Handle routine with calm</t>
  </si>
  <si>
    <t>Avoid big financial deals</t>
  </si>
  <si>
    <t>Exercise patience</t>
  </si>
  <si>
    <t>Morning tension eases by evening</t>
  </si>
  <si>
    <t>Relax and let tasks normalize</t>
  </si>
  <si>
    <t>https://www.youtube.com/watch?v=zsLJuFP2P0g</t>
  </si>
  <si>
    <t>Manage social &amp; family duties with planning</t>
  </si>
  <si>
    <t>Don’t keep overly tight schedule</t>
  </si>
  <si>
    <t>Expect evening fatigue</t>
  </si>
  <si>
    <t>Resume stalled work from recent weeks</t>
  </si>
  <si>
    <t>Speak sweetly</t>
  </si>
  <si>
    <t>Mental worries may spike unexpectedly</t>
  </si>
  <si>
    <t>Focus calmly on routine tasks</t>
  </si>
  <si>
    <t>Clear all pending tasks this week</t>
  </si>
  <si>
    <t>New career opportunities emerge</t>
  </si>
  <si>
    <t>Recognition for your efforts</t>
  </si>
  <si>
    <t xml:space="preserve">Balance family, social &amp; work demands </t>
  </si>
  <si>
    <t>Execute with intelligence &amp; planning</t>
  </si>
  <si>
    <t>Watch for small expenses</t>
  </si>
  <si>
    <t>Ideal for important decisions &amp; pending work</t>
  </si>
  <si>
    <t>Day is both productive and fortunate</t>
  </si>
  <si>
    <t>Super-negative day—complete only routine tasks</t>
  </si>
  <si>
    <t>Don’t react to provocation</t>
  </si>
  <si>
    <t>Maintain calm</t>
  </si>
  <si>
    <t>Relief on child-related worries</t>
  </si>
  <si>
    <t>Exercise caution over elderly health errands</t>
  </si>
  <si>
    <t>Energetic day ahead</t>
  </si>
  <si>
    <t>Carrying pressure of pending work</t>
  </si>
  <si>
    <t>Rely on planning</t>
  </si>
  <si>
    <t>Prioritize accuracy over speed</t>
  </si>
  <si>
    <t>Good career</t>
  </si>
  <si>
    <t>prospect news thru week’s end</t>
  </si>
  <si>
    <t>Family religious or social gathering possible</t>
  </si>
  <si>
    <t>Health upswing</t>
  </si>
  <si>
    <t>Beware lingering health issues</t>
  </si>
  <si>
    <t>Avoid big financial</t>
  </si>
  <si>
    <t>speculative deals</t>
  </si>
  <si>
    <t>Drive &amp; move carefully</t>
  </si>
  <si>
    <t>Start tense but ends well</t>
  </si>
  <si>
    <t>Relax in evening as things normalize</t>
  </si>
  <si>
    <t>Seek professional help for health</t>
  </si>
  <si>
    <t>https://www.youtube.com/watch?v=f7Y0TTqIcx0</t>
  </si>
  <si>
    <t>Elderly health errands behind busy day</t>
  </si>
  <si>
    <t>Incidental family expenses</t>
  </si>
  <si>
    <t>Child-related worries ease</t>
  </si>
  <si>
    <t>Pending tasks conclude smoothly and Overcome via effort &amp; experience</t>
  </si>
  <si>
    <t>Keep control of speech</t>
  </si>
  <si>
    <t>Avoid misunderstandings &amp; arguments with loved ones</t>
  </si>
  <si>
    <t>Love &amp; support flows</t>
  </si>
  <si>
    <t>Tasks proceed as planned</t>
  </si>
  <si>
    <t>Watch elder health issues—exercise caution</t>
  </si>
  <si>
    <t>Possible sudden child-related tension</t>
  </si>
  <si>
    <t>Complete routine duties calmly</t>
  </si>
  <si>
    <t>Heavy work load persists</t>
  </si>
  <si>
    <t>Overcome through planning &amp; effort</t>
  </si>
  <si>
    <t>New career opportunities all week</t>
  </si>
  <si>
    <t>Boost in reputation</t>
  </si>
  <si>
    <t>Career opportunities arise</t>
  </si>
  <si>
    <t>Tick off long-pending tasks</t>
  </si>
  <si>
    <t>Watch for small social</t>
  </si>
  <si>
    <t>family expenses</t>
  </si>
  <si>
    <t>Very busy day with normal–plus workload</t>
  </si>
  <si>
    <t>Will finish everything but expect evening fatigue</t>
  </si>
  <si>
    <t>Expect results to go against plans</t>
  </si>
  <si>
    <t>Avoid risk-taking or big decisions</t>
  </si>
  <si>
    <t>Stick to routine tasks calmly</t>
  </si>
  <si>
    <t>Clear old pending work efficiently</t>
  </si>
  <si>
    <t>Strong support from family</t>
  </si>
  <si>
    <t>friends</t>
  </si>
  <si>
    <t>Caution over elder health &amp; extra expenses</t>
  </si>
  <si>
    <t xml:space="preserve">Busy day juggling social, family &amp; work duties </t>
  </si>
  <si>
    <t>Plan &amp; execute tasks well</t>
  </si>
  <si>
    <t>Relief &amp; fatigue follow completion</t>
  </si>
  <si>
    <t xml:space="preserve">Family,social function prep &amp; expenses </t>
  </si>
  <si>
    <t>Elder health improving—stay involved</t>
  </si>
  <si>
    <t>Foreign tradeor business favoured</t>
  </si>
  <si>
    <t>Guard your own &amp; spouse’s health</t>
  </si>
  <si>
    <t>Risk of physical discomfort</t>
  </si>
  <si>
    <t>Drive &amp; move very carefully</t>
  </si>
  <si>
    <t>Watch incidental expenses</t>
  </si>
  <si>
    <t>Day unfolds as planned—work aligns with calculations</t>
  </si>
  <si>
    <t>Avoid self-treatment—seek doctor &amp; meds</t>
  </si>
  <si>
    <t>No big risks</t>
  </si>
  <si>
    <t>https://www.youtube.com/watch?v=dUDusce883o</t>
  </si>
  <si>
    <t>Complete work with effort</t>
  </si>
  <si>
    <t>Evening fatigue but satisfaction</t>
  </si>
  <si>
    <t>Past stress &amp; irritability reduce</t>
  </si>
  <si>
    <t>Child-related concerns ease</t>
  </si>
  <si>
    <t>Illusions due to Rahu-Guru transit</t>
  </si>
  <si>
    <t>Avoid hasty decisions</t>
  </si>
  <si>
    <t>Stay calm &amp; avoid reactions</t>
  </si>
  <si>
    <t>Pending work clears</t>
  </si>
  <si>
    <t xml:space="preserve"> Promotions, transfers possible </t>
  </si>
  <si>
    <t>Grab new business chances</t>
  </si>
  <si>
    <t>Positive but Mars-Ketu conjunction risky</t>
  </si>
  <si>
    <t>Govt sector people must stay careful</t>
  </si>
  <si>
    <t>Avoid violating rules</t>
  </si>
  <si>
    <t>Clear pending work</t>
  </si>
  <si>
    <t>Some unexpected family-related expenses possible</t>
  </si>
  <si>
    <t>People will provoke</t>
  </si>
  <si>
    <t xml:space="preserve"> Stay silent, avoid giving advice </t>
  </si>
  <si>
    <t>Do only routine work</t>
  </si>
  <si>
    <t>Less luck till 9th July</t>
  </si>
  <si>
    <t>Work succeeds via hard work</t>
  </si>
  <si>
    <t>Property &amp; foreign matters move ahead</t>
  </si>
  <si>
    <t>Heavy workload so Mental preparation helps</t>
  </si>
  <si>
    <t>Watch health &amp; driving</t>
  </si>
  <si>
    <t>Social event</t>
  </si>
  <si>
    <t>travel planning may begin</t>
  </si>
  <si>
    <t>Expenses possible</t>
  </si>
  <si>
    <t>Name &amp; fame may increase</t>
  </si>
  <si>
    <t>Health issues may worsen</t>
  </si>
  <si>
    <t>Routine work may go wrong</t>
  </si>
  <si>
    <t>Keep backup plans</t>
  </si>
  <si>
    <t>Intense mental pressure</t>
  </si>
  <si>
    <t>Some challenges possible</t>
  </si>
  <si>
    <t>With wisdom &amp; planning you’ll overcome</t>
  </si>
  <si>
    <t>Good news on child-related worries</t>
  </si>
  <si>
    <t>https://www.youtube.com/watch?v=R_Gb3hnirtc</t>
  </si>
  <si>
    <t xml:space="preserve">Social,family duties </t>
  </si>
  <si>
    <t>Balance between work &amp; family</t>
  </si>
  <si>
    <t>Overcome with effort &amp; planning</t>
  </si>
  <si>
    <t>Support from loved ones</t>
  </si>
  <si>
    <t>Hidden enemies exposed</t>
  </si>
  <si>
    <t>Don't retaliate</t>
  </si>
  <si>
    <t>Stay silent</t>
  </si>
  <si>
    <t>Avoid big tasks and  Focus on routine work</t>
  </si>
  <si>
    <t>Elder health concerns</t>
  </si>
  <si>
    <t>Child-related issues</t>
  </si>
  <si>
    <t>Productive ideas will click</t>
  </si>
  <si>
    <t>More adverse situations</t>
  </si>
  <si>
    <t>Lethargy and anxiety</t>
  </si>
  <si>
    <t>Low motivation</t>
  </si>
  <si>
    <t>Do only routine work calmly</t>
  </si>
  <si>
    <t>Unexpected expenses</t>
  </si>
  <si>
    <t>family function prep</t>
  </si>
  <si>
    <t>Small travels</t>
  </si>
  <si>
    <t>Elder health improves</t>
  </si>
  <si>
    <t>Long-pending task may progress</t>
  </si>
  <si>
    <t>Good news possible</t>
  </si>
  <si>
    <t>Favorable time</t>
  </si>
  <si>
    <t>Continued stress</t>
  </si>
  <si>
    <t xml:space="preserve"> No reaction to actions, Control anger and speech</t>
  </si>
  <si>
    <t>Overreaction possible</t>
  </si>
  <si>
    <t>No time to fix mistakes</t>
  </si>
  <si>
    <t>Elder &amp; child concerns continue</t>
  </si>
  <si>
    <t>Mother's health needs care</t>
  </si>
  <si>
    <t>Family duties increase</t>
  </si>
  <si>
    <t>Don’t rush into decisions</t>
  </si>
  <si>
    <t>Check everything thoroughly before any decision</t>
  </si>
  <si>
    <t>Some elder health relief</t>
  </si>
  <si>
    <t>Health problems for self and spouse</t>
  </si>
  <si>
    <t>Tension possible</t>
  </si>
  <si>
    <t>Supportive family</t>
  </si>
  <si>
    <t>Family discussions may turn to arguments</t>
  </si>
  <si>
    <t>Maintain peace</t>
  </si>
  <si>
    <t>https://www.youtube.com/watch?v=FE5vUERucjE</t>
  </si>
  <si>
    <t>Health alert due to Ketu effect</t>
  </si>
  <si>
    <t>Don't ignore physical issues</t>
  </si>
  <si>
    <t>Busy day and  Some plans may alter or postpone</t>
  </si>
  <si>
    <t>Pending tasks end and also feel relax after the completion</t>
  </si>
  <si>
    <t>Heavy expenses possible</t>
  </si>
  <si>
    <t>Extra workload ahead</t>
  </si>
  <si>
    <t>Avoid stress also  Drive carefully</t>
  </si>
  <si>
    <t>Great for clearing backlog</t>
  </si>
  <si>
    <t>Religious or family event planning</t>
  </si>
  <si>
    <t>Relaxing and happy Sunday</t>
  </si>
  <si>
    <t>Emotional stress possible</t>
  </si>
  <si>
    <t>Avoid unnecessary discussions or arguments</t>
  </si>
  <si>
    <t>Stay calm with family</t>
  </si>
  <si>
    <t>Social or family duties</t>
  </si>
  <si>
    <t>Sudden expenses</t>
  </si>
  <si>
    <t>Plan well for better results</t>
  </si>
  <si>
    <t xml:space="preserve">Stressful morning, better later </t>
  </si>
  <si>
    <t>Short trip or shopping</t>
  </si>
  <si>
    <t>Plan ahead for intense next week</t>
  </si>
  <si>
    <t>Good time to finish pending work</t>
  </si>
  <si>
    <t>Career appreciation likely</t>
  </si>
  <si>
    <t>New opportunities possible</t>
  </si>
  <si>
    <t>Family gathering</t>
  </si>
  <si>
    <t>Enjoyable Sunday</t>
  </si>
  <si>
    <t>Spend time with loved ones</t>
  </si>
  <si>
    <t>social celebration</t>
  </si>
  <si>
    <t>Appreciation and respect increase</t>
  </si>
  <si>
    <t>Full of joy</t>
  </si>
  <si>
    <t>Be cautious of flattery</t>
  </si>
  <si>
    <t>Family health may need attention</t>
  </si>
  <si>
    <t>Plan for upcoming events</t>
  </si>
  <si>
    <t>Stress relief begins</t>
  </si>
  <si>
    <t>Life getting back on track</t>
  </si>
  <si>
    <t>Spouse health improves</t>
  </si>
  <si>
    <t>Family support strong</t>
  </si>
  <si>
    <t>Avoid reacting to provocation</t>
  </si>
  <si>
    <t>Don't take health lightly</t>
  </si>
  <si>
    <t>Do routine work calmly</t>
  </si>
  <si>
    <t>https://www.youtube.com/watch?v=r2qLJIZy4Yc</t>
  </si>
  <si>
    <t>Health issues</t>
  </si>
  <si>
    <t>Mental stress</t>
  </si>
  <si>
    <t>Low confidence</t>
  </si>
  <si>
    <t>Finish routine quietly</t>
  </si>
  <si>
    <t>Do important tasks</t>
  </si>
  <si>
    <t>Avoid health neglect</t>
  </si>
  <si>
    <t>Manage workload</t>
  </si>
  <si>
    <t>Finish past work</t>
  </si>
  <si>
    <t>Foreign matters favorable</t>
  </si>
  <si>
    <t>Social event prep and expenses</t>
  </si>
  <si>
    <t>Career caution</t>
  </si>
  <si>
    <t>Handle misunderstandings tactfully</t>
  </si>
  <si>
    <t>Mental unrest</t>
  </si>
  <si>
    <t>Tasks may not go as planned</t>
  </si>
  <si>
    <t>Handle wisely with planning</t>
  </si>
  <si>
    <t>Avoid past arguments</t>
  </si>
  <si>
    <t>might feel tired at end of day</t>
  </si>
  <si>
    <t>Gain respect</t>
  </si>
  <si>
    <t>Career opportunities may arise</t>
  </si>
  <si>
    <t>Whole week lucky</t>
  </si>
  <si>
    <t>Take decisions</t>
  </si>
  <si>
    <t>might feel chaos in balancing between work and family</t>
  </si>
  <si>
    <t>Manage family responsibilities</t>
  </si>
  <si>
    <t>Unexpected workload</t>
  </si>
  <si>
    <t>Day won't go as planned</t>
  </si>
  <si>
    <t>Don’t leave tasks pending</t>
  </si>
  <si>
    <t>Child worries ease</t>
  </si>
  <si>
    <t>Avoid misunderstandings</t>
  </si>
  <si>
    <t>child worries ease</t>
  </si>
  <si>
    <t>Clear past tasks</t>
  </si>
  <si>
    <t>Career and family improving</t>
  </si>
  <si>
    <t>New opportunities</t>
  </si>
  <si>
    <t>Push for foreign tasks</t>
  </si>
  <si>
    <t>Handle social duties calmly</t>
  </si>
  <si>
    <t>some expenses</t>
  </si>
  <si>
    <t>https://www.youtube.com/live/rBwHYGtOVWE</t>
  </si>
  <si>
    <t>Avoid taking stress</t>
  </si>
  <si>
    <t>Health may get affected</t>
  </si>
  <si>
    <t>spend day by routine</t>
  </si>
  <si>
    <t>Good for completing tasks</t>
  </si>
  <si>
    <t>Slight luck present</t>
  </si>
  <si>
    <t>Avoid family conflicts</t>
  </si>
  <si>
    <t>Do not escape responsibilities</t>
  </si>
  <si>
    <t>Push for foreign work</t>
  </si>
  <si>
    <t>Hidden enemies may get exposed</t>
  </si>
  <si>
    <t>Stay energetic</t>
  </si>
  <si>
    <t>Avoid risks</t>
  </si>
  <si>
    <t>Don’t react impulsively</t>
  </si>
  <si>
    <t>Take advantage of positive time</t>
  </si>
  <si>
    <t>Career opportunity</t>
  </si>
  <si>
    <t>Finish old tasks</t>
  </si>
  <si>
    <t>Good for foreign matters</t>
  </si>
  <si>
    <t>Busy day</t>
  </si>
  <si>
    <t>Family and work imbalance</t>
  </si>
  <si>
    <t>Ask for money lent</t>
  </si>
  <si>
    <t>Overwork possible</t>
  </si>
  <si>
    <t>Work not as expected</t>
  </si>
  <si>
    <t>Focus on accuracy</t>
  </si>
  <si>
    <t>Happy mood</t>
  </si>
  <si>
    <t>Child concerns reduce</t>
  </si>
  <si>
    <t>Social event prep ahead</t>
  </si>
  <si>
    <t>Handle responsibilities</t>
  </si>
  <si>
    <t>Good for foreign work</t>
  </si>
  <si>
    <t>https://www.youtube.com/live/PrFDzOrHAvM</t>
  </si>
  <si>
    <t>Stress reducing</t>
  </si>
  <si>
    <t>Feel relaxed</t>
  </si>
  <si>
    <t>Unexpected troubles</t>
  </si>
  <si>
    <t>Avoid risks and Stay calm</t>
  </si>
  <si>
    <t>things may go against you plans</t>
  </si>
  <si>
    <t>Good for finishing old tasks</t>
  </si>
  <si>
    <t>Foreign work</t>
  </si>
  <si>
    <t>Celebration prep and expenses</t>
  </si>
  <si>
    <t>Inner conflict</t>
  </si>
  <si>
    <t>Recovery from stress</t>
  </si>
  <si>
    <t>Some expenses but productive</t>
  </si>
  <si>
    <t>No leadership</t>
  </si>
  <si>
    <t>Focus on routine</t>
  </si>
  <si>
    <t>Career ideas</t>
  </si>
  <si>
    <t>Foreign tasks supported</t>
  </si>
  <si>
    <t>Increase in respect</t>
  </si>
  <si>
    <t>might feel stress Manage work-life balance and Use intelligence</t>
  </si>
  <si>
    <t>Evening fatigue possible</t>
  </si>
  <si>
    <t>Absorb stress and Perform duties cheerfully</t>
  </si>
  <si>
    <t>Control emotions</t>
  </si>
  <si>
    <t>Avoid overreaction</t>
  </si>
  <si>
    <t xml:space="preserve"> Speak less, stay safe</t>
  </si>
  <si>
    <t>Resolve child issues</t>
  </si>
  <si>
    <t>Manage social-work balance</t>
  </si>
  <si>
    <t>Some stress but will succee</t>
  </si>
  <si>
    <t>https://www.youtube.com/watch?v=dEKcCsQogKE</t>
  </si>
  <si>
    <t>Get family support</t>
  </si>
  <si>
    <t>Good day for decisions</t>
  </si>
  <si>
    <t>Productive for clearing backlogs</t>
  </si>
  <si>
    <t>Unfavorable conditions</t>
  </si>
  <si>
    <t>Health impact from past stress</t>
  </si>
  <si>
    <t>Think before speaking</t>
  </si>
  <si>
    <t>Social or religious planning</t>
  </si>
  <si>
    <t>Family time</t>
  </si>
  <si>
    <t>Mentally prepared</t>
  </si>
  <si>
    <t>Tiring evening likely</t>
  </si>
  <si>
    <t>Career opportunities</t>
  </si>
  <si>
    <t>Progress possible</t>
  </si>
  <si>
    <t>Clear pending tasks</t>
  </si>
  <si>
    <t>Unfavorable for conflict</t>
  </si>
  <si>
    <t>Social and religious celebrations</t>
  </si>
  <si>
    <t>sudden expenses</t>
  </si>
  <si>
    <t>Career respect increases</t>
  </si>
  <si>
    <t>Grab all career chances</t>
  </si>
  <si>
    <t>Balance personal and professional duties</t>
  </si>
  <si>
    <t>extra workload</t>
  </si>
  <si>
    <t>Stress relief after tough phase</t>
  </si>
  <si>
    <t>Feeling relaxed</t>
  </si>
  <si>
    <t>Clear backlogs with full effor</t>
  </si>
  <si>
    <t>Avoid lending money</t>
  </si>
  <si>
    <t>Risk of financial loss</t>
  </si>
  <si>
    <t>Career openings</t>
  </si>
  <si>
    <t>Relief from children worries</t>
  </si>
  <si>
    <t xml:space="preserve"> Plan calmly, avoid haste</t>
  </si>
  <si>
    <t>Productive and optimistic</t>
  </si>
  <si>
    <t>https://www.youtube.com/watch?v=Vdd7OKeXLKs</t>
  </si>
  <si>
    <t>Stress reduces gradually / Feel mentally relaxed / Spend quality time with family / Good for clearing backlog / Sudden family expenses possible</t>
  </si>
  <si>
    <t>Avoid health impact from stress / Maintain calm and patience / Avoid over-exertion</t>
  </si>
  <si>
    <t>Avoid important decisions / Avoid unnecessary arguments / Stick to routine calmly / Day not auspicious for major steps</t>
  </si>
  <si>
    <t>Day starts stressful / Things improve by evening / Feel satisfaction after task completion / Enthusiasm helps complete tasks</t>
  </si>
  <si>
    <t>Complete old tasks / Take important decisions / Sweet speech helps resolve challenges / Family support assured</t>
  </si>
  <si>
    <t>Experience stress / Use intelligence and planning to overcome / May plan travel or social events / Preparation and spending expected</t>
  </si>
  <si>
    <t>Avoid random actions / Stick to planning / Avoid laziness / Good day if disciplined</t>
  </si>
  <si>
    <t>More social and family responsibilities / Lucky day / Stock market calculations may succeed / Financial gain possible</t>
  </si>
  <si>
    <t>Super positive day / Clear all backlog / Make key decisions / Great family support / Actions match calculations</t>
  </si>
  <si>
    <t>Adverse situations dominate / Financial management needed / Avoid unnecessary spending / Be cautious with money</t>
  </si>
  <si>
    <t>Children's worries reducing / Avoid haste / Plan calmly / More benefits with patience</t>
  </si>
  <si>
    <t>Reduced struggle / Support from friends and family / Favorable for foreign-related tasks / Be emotionally cautious</t>
  </si>
  <si>
    <t>no major decision</t>
  </si>
  <si>
    <t>Day filled with joy and enthusiasm</t>
  </si>
  <si>
    <t>Great for finishing pending work</t>
  </si>
  <si>
    <t>Family and friends will be supportive</t>
  </si>
  <si>
    <t>New career opportunities may arise</t>
  </si>
  <si>
    <t>energetic issues</t>
  </si>
  <si>
    <t>children solutions</t>
  </si>
  <si>
    <t>unexpected solution</t>
  </si>
  <si>
    <t>keep your toungue sweet</t>
  </si>
  <si>
    <t>running around in day</t>
  </si>
  <si>
    <t>workload/ also feel less burden as your pending work will end</t>
  </si>
  <si>
    <t>family responsibility</t>
  </si>
  <si>
    <t>https://www.youtube.com/watch?v=b1fyJxiiJL8</t>
  </si>
  <si>
    <t>spend the day in calm</t>
  </si>
  <si>
    <t>no satisfaction</t>
  </si>
  <si>
    <t>be carefull with family and friends some may try to provoke you</t>
  </si>
  <si>
    <t>Rahu’s illusionary impact</t>
  </si>
  <si>
    <t>Health problems</t>
  </si>
  <si>
    <t>Self-meditation suggested</t>
  </si>
  <si>
    <t>Work may not go as planned</t>
  </si>
  <si>
    <t>Sweet speech needed</t>
  </si>
  <si>
    <t>Delay in tasks</t>
  </si>
  <si>
    <t>Be calm</t>
  </si>
  <si>
    <t>Good time to mend family ties</t>
  </si>
  <si>
    <t>Help staff members</t>
  </si>
  <si>
    <t>Be generous</t>
  </si>
  <si>
    <t>can be health issues</t>
  </si>
  <si>
    <t>avoid decisions</t>
  </si>
  <si>
    <t>postpone any money related transactions</t>
  </si>
  <si>
    <t>00:02:56</t>
  </si>
  <si>
    <t>00:03:50</t>
  </si>
  <si>
    <t>Risky period; avoid arguments and conflicts.</t>
  </si>
  <si>
    <t>Avoid risky decisions and travel.</t>
  </si>
  <si>
    <t>Health precautions needed.</t>
  </si>
  <si>
    <t>Ketu + Mars = 'Pishach Yoga'" effect."</t>
  </si>
  <si>
    <t>avoid risk work</t>
  </si>
  <si>
    <t>avoid risky decisions</t>
  </si>
  <si>
    <t>avoid quarrel and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</si>
</sst>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hh:mm:ss"/>
    <numFmt numFmtId="166" formatCode="dd/mm/yyyy"/>
    <numFmt numFmtId="167" formatCode="dd/mm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0" fontId="1" fillId="0" borderId="0" xfId="0" applyFont="1"/>
    <xf numFmtId="166" fontId="1" fillId="0" borderId="0" xfId="0" applyNumberFormat="1" applyFont="1" applyAlignment="1"/>
    <xf numFmtId="0" fontId="1" fillId="0" borderId="0" xfId="0" quotePrefix="1" applyFont="1" applyAlignme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loqeQ5EMYbo" TargetMode="External"/><Relationship Id="rId299" Type="http://schemas.openxmlformats.org/officeDocument/2006/relationships/hyperlink" Target="https://www.youtube.com/live/rBwHYGtOVWE" TargetMode="External"/><Relationship Id="rId21" Type="http://schemas.openxmlformats.org/officeDocument/2006/relationships/hyperlink" Target="https://www.youtube.com/watch?v=PyWf124qV4A" TargetMode="External"/><Relationship Id="rId63" Type="http://schemas.openxmlformats.org/officeDocument/2006/relationships/hyperlink" Target="https://www.youtube.com/watch?v=dvzg_yf_DZg" TargetMode="External"/><Relationship Id="rId159" Type="http://schemas.openxmlformats.org/officeDocument/2006/relationships/hyperlink" Target="https://www.youtube.com/watch?v=dHxG05SfisM" TargetMode="External"/><Relationship Id="rId324" Type="http://schemas.openxmlformats.org/officeDocument/2006/relationships/hyperlink" Target="https://www.youtube.com/watch?v=dEKcCsQogKE" TargetMode="External"/><Relationship Id="rId170" Type="http://schemas.openxmlformats.org/officeDocument/2006/relationships/hyperlink" Target="https://www.youtube.com/live/hzxXKCjJDdI" TargetMode="External"/><Relationship Id="rId226" Type="http://schemas.openxmlformats.org/officeDocument/2006/relationships/hyperlink" Target="https://www.youtube.com/watch?v=f7Y0TTqIcx0" TargetMode="External"/><Relationship Id="rId268" Type="http://schemas.openxmlformats.org/officeDocument/2006/relationships/hyperlink" Target="https://www.youtube.com/watch?v=FE5vUERucjE" TargetMode="External"/><Relationship Id="rId32" Type="http://schemas.openxmlformats.org/officeDocument/2006/relationships/hyperlink" Target="https://www.youtube.com/watch?v=PyWf124qV4A" TargetMode="External"/><Relationship Id="rId74" Type="http://schemas.openxmlformats.org/officeDocument/2006/relationships/hyperlink" Target="https://www.youtube.com/watch?v=qbE2ZsNLThM&amp;list=PLyF1y80RciUme5FBqwFEhrKaOchsa_M5r&amp;index=149" TargetMode="External"/><Relationship Id="rId128" Type="http://schemas.openxmlformats.org/officeDocument/2006/relationships/hyperlink" Target="https://www.youtube.com/watch?v=uRgeXRLmNnw" TargetMode="External"/><Relationship Id="rId335" Type="http://schemas.openxmlformats.org/officeDocument/2006/relationships/hyperlink" Target="https://www.youtube.com/watch?v=Vdd7OKeXLKs" TargetMode="External"/><Relationship Id="rId5" Type="http://schemas.openxmlformats.org/officeDocument/2006/relationships/hyperlink" Target="https://www.youtube.com/watch?v=NcxQwKsYvEA" TargetMode="External"/><Relationship Id="rId181" Type="http://schemas.openxmlformats.org/officeDocument/2006/relationships/hyperlink" Target="https://www.youtube.com/live/hzxXKCjJDdI" TargetMode="External"/><Relationship Id="rId237" Type="http://schemas.openxmlformats.org/officeDocument/2006/relationships/hyperlink" Target="https://www.youtube.com/watch?v=dUDusce883o" TargetMode="External"/><Relationship Id="rId279" Type="http://schemas.openxmlformats.org/officeDocument/2006/relationships/hyperlink" Target="https://www.youtube.com/watch?v=r2qLJIZy4Yc" TargetMode="External"/><Relationship Id="rId43" Type="http://schemas.openxmlformats.org/officeDocument/2006/relationships/hyperlink" Target="https://www.youtube.com/live/uNSw0xq2OFU" TargetMode="External"/><Relationship Id="rId139" Type="http://schemas.openxmlformats.org/officeDocument/2006/relationships/hyperlink" Target="https://www.youtube.com/watch?v=uRgeXRLmNnw" TargetMode="External"/><Relationship Id="rId290" Type="http://schemas.openxmlformats.org/officeDocument/2006/relationships/hyperlink" Target="https://www.youtube.com/watch?v=r2qLJIZy4Yc" TargetMode="External"/><Relationship Id="rId304" Type="http://schemas.openxmlformats.org/officeDocument/2006/relationships/hyperlink" Target="https://www.youtube.com/live/rBwHYGtOVWE" TargetMode="External"/><Relationship Id="rId346" Type="http://schemas.openxmlformats.org/officeDocument/2006/relationships/hyperlink" Target="https://www.youtube.com/watch?v=NcxQwKsYvEA" TargetMode="External"/><Relationship Id="rId85" Type="http://schemas.openxmlformats.org/officeDocument/2006/relationships/hyperlink" Target="https://www.youtube.com/watch?v=PBUEYeosdms&amp;t=116s" TargetMode="External"/><Relationship Id="rId150" Type="http://schemas.openxmlformats.org/officeDocument/2006/relationships/hyperlink" Target="https://www.youtube.com/embed/fWGtTvP5N4E?si=Vwwhs6b_Luv4VQPI" TargetMode="External"/><Relationship Id="rId192" Type="http://schemas.openxmlformats.org/officeDocument/2006/relationships/hyperlink" Target="https://www.youtube.com/live/hzxXKCjJDdI" TargetMode="External"/><Relationship Id="rId206" Type="http://schemas.openxmlformats.org/officeDocument/2006/relationships/hyperlink" Target="https://www.youtube.com/watch?v=ucdMnsWtAtg" TargetMode="External"/><Relationship Id="rId248" Type="http://schemas.openxmlformats.org/officeDocument/2006/relationships/hyperlink" Target="https://www.youtube.com/watch?v=dUDusce883o" TargetMode="External"/><Relationship Id="rId12" Type="http://schemas.openxmlformats.org/officeDocument/2006/relationships/hyperlink" Target="https://www.youtube.com/watch?v=b1fyJxiiJL4" TargetMode="External"/><Relationship Id="rId108" Type="http://schemas.openxmlformats.org/officeDocument/2006/relationships/hyperlink" Target="https://www.youtube.com/live/Sl-f3_6BoMg" TargetMode="External"/><Relationship Id="rId315" Type="http://schemas.openxmlformats.org/officeDocument/2006/relationships/hyperlink" Target="https://www.youtube.com/live/PrFDzOrHAvM" TargetMode="External"/><Relationship Id="rId357" Type="http://schemas.openxmlformats.org/officeDocument/2006/relationships/hyperlink" Target="https://www.youtube.com/live/uNSw0xq2OFU" TargetMode="External"/><Relationship Id="rId54" Type="http://schemas.openxmlformats.org/officeDocument/2006/relationships/hyperlink" Target="https://www.youtube.com/watch?v=cVWrIyNeZyE&amp;list=PLyF1y80RciUme5FBqwFEhrKaOchsa_M5r&amp;index=142&amp;pp=iAQB" TargetMode="External"/><Relationship Id="rId96" Type="http://schemas.openxmlformats.org/officeDocument/2006/relationships/hyperlink" Target="https://www.youtube.com/watch?v=PBUEYeosdms&amp;t=116s" TargetMode="External"/><Relationship Id="rId161" Type="http://schemas.openxmlformats.org/officeDocument/2006/relationships/hyperlink" Target="https://www.youtube.com/watch?v=dHxG05SfisM" TargetMode="External"/><Relationship Id="rId217" Type="http://schemas.openxmlformats.org/officeDocument/2006/relationships/hyperlink" Target="https://www.youtube.com/watch?v=zsLJuFP2P0g" TargetMode="External"/><Relationship Id="rId259" Type="http://schemas.openxmlformats.org/officeDocument/2006/relationships/hyperlink" Target="https://www.youtube.com/watch?v=R_Gb3hnirtc" TargetMode="External"/><Relationship Id="rId23" Type="http://schemas.openxmlformats.org/officeDocument/2006/relationships/hyperlink" Target="https://www.youtube.com/watch?v=PyWf124qV4A" TargetMode="External"/><Relationship Id="rId119" Type="http://schemas.openxmlformats.org/officeDocument/2006/relationships/hyperlink" Target="https://www.youtube.com/watch?v=loqeQ5EMYbo" TargetMode="External"/><Relationship Id="rId270" Type="http://schemas.openxmlformats.org/officeDocument/2006/relationships/hyperlink" Target="https://www.youtube.com/watch?v=FE5vUERucjE" TargetMode="External"/><Relationship Id="rId326" Type="http://schemas.openxmlformats.org/officeDocument/2006/relationships/hyperlink" Target="https://www.youtube.com/watch?v=dEKcCsQogKE" TargetMode="External"/><Relationship Id="rId65" Type="http://schemas.openxmlformats.org/officeDocument/2006/relationships/hyperlink" Target="https://www.youtube.com/watch?v=dvzg_yf_DZg" TargetMode="External"/><Relationship Id="rId130" Type="http://schemas.openxmlformats.org/officeDocument/2006/relationships/hyperlink" Target="https://www.youtube.com/watch?v=uRgeXRLmNnw" TargetMode="External"/><Relationship Id="rId172" Type="http://schemas.openxmlformats.org/officeDocument/2006/relationships/hyperlink" Target="https://www.youtube.com/live/hzxXKCjJDdI" TargetMode="External"/><Relationship Id="rId228" Type="http://schemas.openxmlformats.org/officeDocument/2006/relationships/hyperlink" Target="https://www.youtube.com/watch?v=f7Y0TTqIcx0" TargetMode="External"/><Relationship Id="rId281" Type="http://schemas.openxmlformats.org/officeDocument/2006/relationships/hyperlink" Target="https://www.youtube.com/watch?v=r2qLJIZy4Yc" TargetMode="External"/><Relationship Id="rId337" Type="http://schemas.openxmlformats.org/officeDocument/2006/relationships/hyperlink" Target="https://www.youtube.com/watch?v=Vdd7OKeXLKs" TargetMode="External"/><Relationship Id="rId34" Type="http://schemas.openxmlformats.org/officeDocument/2006/relationships/hyperlink" Target="https://www.youtube.com/watch?v=PyWf124qV4A" TargetMode="External"/><Relationship Id="rId76" Type="http://schemas.openxmlformats.org/officeDocument/2006/relationships/hyperlink" Target="https://www.youtube.com/watch?v=qbE2ZsNLThM&amp;list=PLyF1y80RciUme5FBqwFEhrKaOchsa_M5r&amp;index=151" TargetMode="External"/><Relationship Id="rId141" Type="http://schemas.openxmlformats.org/officeDocument/2006/relationships/hyperlink" Target="https://www.youtube.com/embed/fWGtTvP5N4E?si=Vwwhs6b_Luv4VQPI" TargetMode="External"/><Relationship Id="rId7" Type="http://schemas.openxmlformats.org/officeDocument/2006/relationships/hyperlink" Target="https://www.youtube.com/watch?v=NcxQwKsYvEA" TargetMode="External"/><Relationship Id="rId183" Type="http://schemas.openxmlformats.org/officeDocument/2006/relationships/hyperlink" Target="https://www.youtube.com/live/hzxXKCjJDdI" TargetMode="External"/><Relationship Id="rId239" Type="http://schemas.openxmlformats.org/officeDocument/2006/relationships/hyperlink" Target="https://www.youtube.com/watch?v=dUDusce883o" TargetMode="External"/><Relationship Id="rId250" Type="http://schemas.openxmlformats.org/officeDocument/2006/relationships/hyperlink" Target="https://www.youtube.com/watch?v=R_Gb3hnirtc" TargetMode="External"/><Relationship Id="rId292" Type="http://schemas.openxmlformats.org/officeDocument/2006/relationships/hyperlink" Target="https://www.youtube.com/live/rBwHYGtOVWE" TargetMode="External"/><Relationship Id="rId306" Type="http://schemas.openxmlformats.org/officeDocument/2006/relationships/hyperlink" Target="https://www.youtube.com/live/PrFDzOrHAvM" TargetMode="External"/><Relationship Id="rId45" Type="http://schemas.openxmlformats.org/officeDocument/2006/relationships/hyperlink" Target="https://www.youtube.com/live/uNSw0xq2OFU" TargetMode="External"/><Relationship Id="rId87" Type="http://schemas.openxmlformats.org/officeDocument/2006/relationships/hyperlink" Target="https://www.youtube.com/watch?v=PBUEYeosdms&amp;t=116s" TargetMode="External"/><Relationship Id="rId110" Type="http://schemas.openxmlformats.org/officeDocument/2006/relationships/hyperlink" Target="https://www.youtube.com/live/Sl-f3_6BoMg" TargetMode="External"/><Relationship Id="rId348" Type="http://schemas.openxmlformats.org/officeDocument/2006/relationships/hyperlink" Target="https://www.youtube.com/watch?v=NcxQwKsYvEA" TargetMode="External"/><Relationship Id="rId152" Type="http://schemas.openxmlformats.org/officeDocument/2006/relationships/hyperlink" Target="https://www.youtube.com/embed/fWGtTvP5N4E?si=Vwwhs6b_Luv4VQPI" TargetMode="External"/><Relationship Id="rId194" Type="http://schemas.openxmlformats.org/officeDocument/2006/relationships/hyperlink" Target="https://www.youtube.com/watch?v=ucdMnsWtAtg" TargetMode="External"/><Relationship Id="rId208" Type="http://schemas.openxmlformats.org/officeDocument/2006/relationships/hyperlink" Target="https://www.youtube.com/watch?v=zsLJuFP2P0g" TargetMode="External"/><Relationship Id="rId261" Type="http://schemas.openxmlformats.org/officeDocument/2006/relationships/hyperlink" Target="https://www.youtube.com/watch?v=R_Gb3hnirtc" TargetMode="External"/><Relationship Id="rId14" Type="http://schemas.openxmlformats.org/officeDocument/2006/relationships/hyperlink" Target="https://www.youtube.com/watch?v=b1fyJxiiJL6" TargetMode="External"/><Relationship Id="rId56" Type="http://schemas.openxmlformats.org/officeDocument/2006/relationships/hyperlink" Target="https://www.youtube.com/watch?v=cVWrIyNeZyE&amp;list=PLyF1y80RciUme5FBqwFEhrKaOchsa_M5r&amp;index=142&amp;pp=iAQB" TargetMode="External"/><Relationship Id="rId317" Type="http://schemas.openxmlformats.org/officeDocument/2006/relationships/hyperlink" Target="https://www.youtube.com/live/PrFDzOrHAvM" TargetMode="External"/><Relationship Id="rId98" Type="http://schemas.openxmlformats.org/officeDocument/2006/relationships/hyperlink" Target="https://www.youtube.com/live/Sl-f3_6BoMg" TargetMode="External"/><Relationship Id="rId121" Type="http://schemas.openxmlformats.org/officeDocument/2006/relationships/hyperlink" Target="https://www.youtube.com/watch?v=loqeQ5EMYbo" TargetMode="External"/><Relationship Id="rId163" Type="http://schemas.openxmlformats.org/officeDocument/2006/relationships/hyperlink" Target="https://www.youtube.com/watch?v=dHxG05SfisM" TargetMode="External"/><Relationship Id="rId219" Type="http://schemas.openxmlformats.org/officeDocument/2006/relationships/hyperlink" Target="https://www.youtube.com/watch?v=zsLJuFP2P0g" TargetMode="External"/><Relationship Id="rId230" Type="http://schemas.openxmlformats.org/officeDocument/2006/relationships/hyperlink" Target="https://www.youtube.com/watch?v=f7Y0TTqIcx0" TargetMode="External"/><Relationship Id="rId25" Type="http://schemas.openxmlformats.org/officeDocument/2006/relationships/hyperlink" Target="https://www.youtube.com/watch?v=NcxQwKsYvEA" TargetMode="External"/><Relationship Id="rId46" Type="http://schemas.openxmlformats.org/officeDocument/2006/relationships/hyperlink" Target="https://www.youtube.com/live/uNSw0xq2OFU" TargetMode="External"/><Relationship Id="rId67" Type="http://schemas.openxmlformats.org/officeDocument/2006/relationships/hyperlink" Target="https://www.youtube.com/watch?v=dvzg_yf_DZg" TargetMode="External"/><Relationship Id="rId272" Type="http://schemas.openxmlformats.org/officeDocument/2006/relationships/hyperlink" Target="https://www.youtube.com/watch?v=FE5vUERucjE" TargetMode="External"/><Relationship Id="rId293" Type="http://schemas.openxmlformats.org/officeDocument/2006/relationships/hyperlink" Target="https://www.youtube.com/live/rBwHYGtOVWE" TargetMode="External"/><Relationship Id="rId307" Type="http://schemas.openxmlformats.org/officeDocument/2006/relationships/hyperlink" Target="https://www.youtube.com/live/PrFDzOrHAvM" TargetMode="External"/><Relationship Id="rId328" Type="http://schemas.openxmlformats.org/officeDocument/2006/relationships/hyperlink" Target="https://www.youtube.com/watch?v=dEKcCsQogKE" TargetMode="External"/><Relationship Id="rId349" Type="http://schemas.openxmlformats.org/officeDocument/2006/relationships/hyperlink" Target="https://www.youtube.com/watch?v=NcxQwKsYvEA" TargetMode="External"/><Relationship Id="rId88" Type="http://schemas.openxmlformats.org/officeDocument/2006/relationships/hyperlink" Target="https://www.youtube.com/watch?v=PBUEYeosdms&amp;t=116s" TargetMode="External"/><Relationship Id="rId111" Type="http://schemas.openxmlformats.org/officeDocument/2006/relationships/hyperlink" Target="https://www.youtube.com/live/Sl-f3_6BoMg" TargetMode="External"/><Relationship Id="rId132" Type="http://schemas.openxmlformats.org/officeDocument/2006/relationships/hyperlink" Target="https://www.youtube.com/watch?v=uRgeXRLmNnw" TargetMode="External"/><Relationship Id="rId153" Type="http://schemas.openxmlformats.org/officeDocument/2006/relationships/hyperlink" Target="https://www.youtube.com/embed/fWGtTvP5N4E?si=Vwwhs6b_Luv4VQPI" TargetMode="External"/><Relationship Id="rId174" Type="http://schemas.openxmlformats.org/officeDocument/2006/relationships/hyperlink" Target="https://www.youtube.com/live/hzxXKCjJDdI" TargetMode="External"/><Relationship Id="rId195" Type="http://schemas.openxmlformats.org/officeDocument/2006/relationships/hyperlink" Target="https://www.youtube.com/watch?v=ucdMnsWtAtg" TargetMode="External"/><Relationship Id="rId209" Type="http://schemas.openxmlformats.org/officeDocument/2006/relationships/hyperlink" Target="https://www.youtube.com/watch?v=zsLJuFP2P0g" TargetMode="External"/><Relationship Id="rId220" Type="http://schemas.openxmlformats.org/officeDocument/2006/relationships/hyperlink" Target="https://www.youtube.com/watch?v=zsLJuFP2P0g" TargetMode="External"/><Relationship Id="rId241" Type="http://schemas.openxmlformats.org/officeDocument/2006/relationships/hyperlink" Target="https://www.youtube.com/watch?v=dUDusce883o" TargetMode="External"/><Relationship Id="rId15" Type="http://schemas.openxmlformats.org/officeDocument/2006/relationships/hyperlink" Target="https://www.youtube.com/watch?v=b1fyJxiiJL7" TargetMode="External"/><Relationship Id="rId36" Type="http://schemas.openxmlformats.org/officeDocument/2006/relationships/hyperlink" Target="https://www.youtube.com/live/uNSw0xq2OFU" TargetMode="External"/><Relationship Id="rId57" Type="http://schemas.openxmlformats.org/officeDocument/2006/relationships/hyperlink" Target="https://www.youtube.com/watch?v=dvzg_yf_DZg" TargetMode="External"/><Relationship Id="rId262" Type="http://schemas.openxmlformats.org/officeDocument/2006/relationships/hyperlink" Target="https://www.youtube.com/watch?v=R_Gb3hnirtc" TargetMode="External"/><Relationship Id="rId283" Type="http://schemas.openxmlformats.org/officeDocument/2006/relationships/hyperlink" Target="https://www.youtube.com/watch?v=r2qLJIZy4Yc" TargetMode="External"/><Relationship Id="rId318" Type="http://schemas.openxmlformats.org/officeDocument/2006/relationships/hyperlink" Target="https://www.youtube.com/live/PrFDzOrHAvM" TargetMode="External"/><Relationship Id="rId339" Type="http://schemas.openxmlformats.org/officeDocument/2006/relationships/hyperlink" Target="https://www.youtube.com/watch?v=Vdd7OKeXLKs" TargetMode="External"/><Relationship Id="rId78" Type="http://schemas.openxmlformats.org/officeDocument/2006/relationships/hyperlink" Target="https://www.youtube.com/watch?v=qbE2ZsNLThM&amp;list=PLyF1y80RciUme5FBqwFEhrKaOchsa_M5r&amp;index=153" TargetMode="External"/><Relationship Id="rId99" Type="http://schemas.openxmlformats.org/officeDocument/2006/relationships/hyperlink" Target="https://www.youtube.com/live/Sl-f3_6BoMg" TargetMode="External"/><Relationship Id="rId101" Type="http://schemas.openxmlformats.org/officeDocument/2006/relationships/hyperlink" Target="https://www.youtube.com/live/Sl-f3_6BoMg" TargetMode="External"/><Relationship Id="rId122" Type="http://schemas.openxmlformats.org/officeDocument/2006/relationships/hyperlink" Target="https://www.youtube.com/watch?v=loqeQ5EMYbo" TargetMode="External"/><Relationship Id="rId143" Type="http://schemas.openxmlformats.org/officeDocument/2006/relationships/hyperlink" Target="https://www.youtube.com/embed/fWGtTvP5N4E?si=Vwwhs6b_Luv4VQPI" TargetMode="External"/><Relationship Id="rId164" Type="http://schemas.openxmlformats.org/officeDocument/2006/relationships/hyperlink" Target="https://www.youtube.com/watch?v=dHxG05SfisM" TargetMode="External"/><Relationship Id="rId185" Type="http://schemas.openxmlformats.org/officeDocument/2006/relationships/hyperlink" Target="https://www.youtube.com/live/hzxXKCjJDdI" TargetMode="External"/><Relationship Id="rId350" Type="http://schemas.openxmlformats.org/officeDocument/2006/relationships/hyperlink" Target="https://www.youtube.com/watch?v=b1fyJxiiJL0" TargetMode="External"/><Relationship Id="rId9" Type="http://schemas.openxmlformats.org/officeDocument/2006/relationships/hyperlink" Target="https://www.youtube.com/watch?v=b1fyJxiiJL1" TargetMode="External"/><Relationship Id="rId210" Type="http://schemas.openxmlformats.org/officeDocument/2006/relationships/hyperlink" Target="https://www.youtube.com/watch?v=zsLJuFP2P0g" TargetMode="External"/><Relationship Id="rId26" Type="http://schemas.openxmlformats.org/officeDocument/2006/relationships/hyperlink" Target="https://www.youtube.com/watch?v=NcxQwKsYvEA" TargetMode="External"/><Relationship Id="rId231" Type="http://schemas.openxmlformats.org/officeDocument/2006/relationships/hyperlink" Target="https://www.youtube.com/watch?v=f7Y0TTqIcx0" TargetMode="External"/><Relationship Id="rId252" Type="http://schemas.openxmlformats.org/officeDocument/2006/relationships/hyperlink" Target="https://www.youtube.com/watch?v=R_Gb3hnirtc" TargetMode="External"/><Relationship Id="rId273" Type="http://schemas.openxmlformats.org/officeDocument/2006/relationships/hyperlink" Target="https://www.youtube.com/watch?v=FE5vUERucjE" TargetMode="External"/><Relationship Id="rId294" Type="http://schemas.openxmlformats.org/officeDocument/2006/relationships/hyperlink" Target="https://www.youtube.com/live/rBwHYGtOVWE" TargetMode="External"/><Relationship Id="rId308" Type="http://schemas.openxmlformats.org/officeDocument/2006/relationships/hyperlink" Target="https://www.youtube.com/live/PrFDzOrHAvM" TargetMode="External"/><Relationship Id="rId329" Type="http://schemas.openxmlformats.org/officeDocument/2006/relationships/hyperlink" Target="https://www.youtube.com/watch?v=dEKcCsQogKE" TargetMode="External"/><Relationship Id="rId47" Type="http://schemas.openxmlformats.org/officeDocument/2006/relationships/hyperlink" Target="https://www.youtube.com/watch?v=cVWrIyNeZyE&amp;list=PLyF1y80RciUme5FBqwFEhrKaOchsa_M5r&amp;index=142&amp;pp=iAQB" TargetMode="External"/><Relationship Id="rId68" Type="http://schemas.openxmlformats.org/officeDocument/2006/relationships/hyperlink" Target="https://www.youtube.com/watch?v=dvzg_yf_DZg" TargetMode="External"/><Relationship Id="rId89" Type="http://schemas.openxmlformats.org/officeDocument/2006/relationships/hyperlink" Target="https://www.youtube.com/watch?v=PBUEYeosdms&amp;t=116s" TargetMode="External"/><Relationship Id="rId112" Type="http://schemas.openxmlformats.org/officeDocument/2006/relationships/hyperlink" Target="https://www.youtube.com/watch?v=loqeQ5EMYbo" TargetMode="External"/><Relationship Id="rId133" Type="http://schemas.openxmlformats.org/officeDocument/2006/relationships/hyperlink" Target="https://www.youtube.com/watch?v=uRgeXRLmNnw" TargetMode="External"/><Relationship Id="rId154" Type="http://schemas.openxmlformats.org/officeDocument/2006/relationships/hyperlink" Target="https://www.youtube.com/watch?v=dHxG05SfisM" TargetMode="External"/><Relationship Id="rId175" Type="http://schemas.openxmlformats.org/officeDocument/2006/relationships/hyperlink" Target="https://www.youtube.com/live/hzxXKCjJDdI" TargetMode="External"/><Relationship Id="rId340" Type="http://schemas.openxmlformats.org/officeDocument/2006/relationships/hyperlink" Target="https://www.youtube.com/watch?v=Vdd7OKeXLKs" TargetMode="External"/><Relationship Id="rId196" Type="http://schemas.openxmlformats.org/officeDocument/2006/relationships/hyperlink" Target="https://www.youtube.com/watch?v=ucdMnsWtAtg" TargetMode="External"/><Relationship Id="rId200" Type="http://schemas.openxmlformats.org/officeDocument/2006/relationships/hyperlink" Target="https://www.youtube.com/watch?v=ucdMnsWtAtg" TargetMode="External"/><Relationship Id="rId16" Type="http://schemas.openxmlformats.org/officeDocument/2006/relationships/hyperlink" Target="https://www.youtube.com/watch?v=b1fyJxiiJL9" TargetMode="External"/><Relationship Id="rId221" Type="http://schemas.openxmlformats.org/officeDocument/2006/relationships/hyperlink" Target="https://www.youtube.com/watch?v=f7Y0TTqIcx0" TargetMode="External"/><Relationship Id="rId242" Type="http://schemas.openxmlformats.org/officeDocument/2006/relationships/hyperlink" Target="https://www.youtube.com/watch?v=dUDusce883o" TargetMode="External"/><Relationship Id="rId263" Type="http://schemas.openxmlformats.org/officeDocument/2006/relationships/hyperlink" Target="https://www.youtube.com/watch?v=FE5vUERucjE" TargetMode="External"/><Relationship Id="rId284" Type="http://schemas.openxmlformats.org/officeDocument/2006/relationships/hyperlink" Target="https://www.youtube.com/watch?v=r2qLJIZy4Yc" TargetMode="External"/><Relationship Id="rId319" Type="http://schemas.openxmlformats.org/officeDocument/2006/relationships/hyperlink" Target="https://www.youtube.com/watch?v=dEKcCsQogKE" TargetMode="External"/><Relationship Id="rId37" Type="http://schemas.openxmlformats.org/officeDocument/2006/relationships/hyperlink" Target="https://www.youtube.com/live/uNSw0xq2OFU" TargetMode="External"/><Relationship Id="rId58" Type="http://schemas.openxmlformats.org/officeDocument/2006/relationships/hyperlink" Target="https://www.youtube.com/watch?v=dvzg_yf_DZg" TargetMode="External"/><Relationship Id="rId79" Type="http://schemas.openxmlformats.org/officeDocument/2006/relationships/hyperlink" Target="https://www.youtube.com/watch?v=qbE2ZsNLThM&amp;list=PLyF1y80RciUme5FBqwFEhrKaOchsa_M5r&amp;index=154" TargetMode="External"/><Relationship Id="rId102" Type="http://schemas.openxmlformats.org/officeDocument/2006/relationships/hyperlink" Target="https://www.youtube.com/live/Sl-f3_6BoMg" TargetMode="External"/><Relationship Id="rId123" Type="http://schemas.openxmlformats.org/officeDocument/2006/relationships/hyperlink" Target="https://www.youtube.com/watch?v=loqeQ5EMYbo" TargetMode="External"/><Relationship Id="rId144" Type="http://schemas.openxmlformats.org/officeDocument/2006/relationships/hyperlink" Target="https://www.youtube.com/embed/fWGtTvP5N4E?si=Vwwhs6b_Luv4VQPI" TargetMode="External"/><Relationship Id="rId330" Type="http://schemas.openxmlformats.org/officeDocument/2006/relationships/hyperlink" Target="https://www.youtube.com/watch?v=dEKcCsQogKE" TargetMode="External"/><Relationship Id="rId90" Type="http://schemas.openxmlformats.org/officeDocument/2006/relationships/hyperlink" Target="https://www.youtube.com/watch?v=PBUEYeosdms&amp;t=116s" TargetMode="External"/><Relationship Id="rId165" Type="http://schemas.openxmlformats.org/officeDocument/2006/relationships/hyperlink" Target="https://www.youtube.com/watch?v=dHxG05SfisM" TargetMode="External"/><Relationship Id="rId186" Type="http://schemas.openxmlformats.org/officeDocument/2006/relationships/hyperlink" Target="https://www.youtube.com/live/hzxXKCjJDdI" TargetMode="External"/><Relationship Id="rId351" Type="http://schemas.openxmlformats.org/officeDocument/2006/relationships/hyperlink" Target="https://www.youtube.com/watch?v=b1fyJxiiJL8" TargetMode="External"/><Relationship Id="rId211" Type="http://schemas.openxmlformats.org/officeDocument/2006/relationships/hyperlink" Target="https://www.youtube.com/watch?v=zsLJuFP2P0g" TargetMode="External"/><Relationship Id="rId232" Type="http://schemas.openxmlformats.org/officeDocument/2006/relationships/hyperlink" Target="https://www.youtube.com/watch?v=f7Y0TTqIcx0" TargetMode="External"/><Relationship Id="rId253" Type="http://schemas.openxmlformats.org/officeDocument/2006/relationships/hyperlink" Target="https://www.youtube.com/watch?v=R_Gb3hnirtc" TargetMode="External"/><Relationship Id="rId274" Type="http://schemas.openxmlformats.org/officeDocument/2006/relationships/hyperlink" Target="https://www.youtube.com/watch?v=FE5vUERucjE" TargetMode="External"/><Relationship Id="rId295" Type="http://schemas.openxmlformats.org/officeDocument/2006/relationships/hyperlink" Target="https://www.youtube.com/live/rBwHYGtOVWE" TargetMode="External"/><Relationship Id="rId309" Type="http://schemas.openxmlformats.org/officeDocument/2006/relationships/hyperlink" Target="https://www.youtube.com/live/PrFDzOrHAvM" TargetMode="External"/><Relationship Id="rId27" Type="http://schemas.openxmlformats.org/officeDocument/2006/relationships/hyperlink" Target="https://www.youtube.com/watch?v=NcxQwKsYvEA" TargetMode="External"/><Relationship Id="rId48" Type="http://schemas.openxmlformats.org/officeDocument/2006/relationships/hyperlink" Target="https://www.youtube.com/watch?v=cVWrIyNeZyE&amp;list=PLyF1y80RciUme5FBqwFEhrKaOchsa_M5r&amp;index=142&amp;pp=iAQB" TargetMode="External"/><Relationship Id="rId69" Type="http://schemas.openxmlformats.org/officeDocument/2006/relationships/hyperlink" Target="https://www.youtube.com/watch?v=dvzg_yf_DZg" TargetMode="External"/><Relationship Id="rId113" Type="http://schemas.openxmlformats.org/officeDocument/2006/relationships/hyperlink" Target="https://www.youtube.com/watch?v=loqeQ5EMYbo" TargetMode="External"/><Relationship Id="rId134" Type="http://schemas.openxmlformats.org/officeDocument/2006/relationships/hyperlink" Target="https://www.youtube.com/watch?v=uRgeXRLmNnw" TargetMode="External"/><Relationship Id="rId320" Type="http://schemas.openxmlformats.org/officeDocument/2006/relationships/hyperlink" Target="https://www.youtube.com/watch?v=dEKcCsQogKE" TargetMode="External"/><Relationship Id="rId80" Type="http://schemas.openxmlformats.org/officeDocument/2006/relationships/hyperlink" Target="https://www.youtube.com/watch?v=qbE2ZsNLThM&amp;list=PLyF1y80RciUme5FBqwFEhrKaOchsa_M5r&amp;index=155" TargetMode="External"/><Relationship Id="rId155" Type="http://schemas.openxmlformats.org/officeDocument/2006/relationships/hyperlink" Target="https://www.youtube.com/watch?v=dHxG05SfisM" TargetMode="External"/><Relationship Id="rId176" Type="http://schemas.openxmlformats.org/officeDocument/2006/relationships/hyperlink" Target="https://www.youtube.com/live/hzxXKCjJDdI" TargetMode="External"/><Relationship Id="rId197" Type="http://schemas.openxmlformats.org/officeDocument/2006/relationships/hyperlink" Target="https://www.youtube.com/watch?v=ucdMnsWtAtg" TargetMode="External"/><Relationship Id="rId341" Type="http://schemas.openxmlformats.org/officeDocument/2006/relationships/hyperlink" Target="https://www.youtube.com/watch?v=Vdd7OKeXLKs" TargetMode="External"/><Relationship Id="rId201" Type="http://schemas.openxmlformats.org/officeDocument/2006/relationships/hyperlink" Target="https://www.youtube.com/watch?v=ucdMnsWtAtg" TargetMode="External"/><Relationship Id="rId222" Type="http://schemas.openxmlformats.org/officeDocument/2006/relationships/hyperlink" Target="https://www.youtube.com/watch?v=f7Y0TTqIcx0" TargetMode="External"/><Relationship Id="rId243" Type="http://schemas.openxmlformats.org/officeDocument/2006/relationships/hyperlink" Target="https://www.youtube.com/watch?v=dUDusce883o" TargetMode="External"/><Relationship Id="rId264" Type="http://schemas.openxmlformats.org/officeDocument/2006/relationships/hyperlink" Target="https://www.youtube.com/watch?v=FE5vUERucjE" TargetMode="External"/><Relationship Id="rId285" Type="http://schemas.openxmlformats.org/officeDocument/2006/relationships/hyperlink" Target="https://www.youtube.com/watch?v=r2qLJIZy4Yc" TargetMode="External"/><Relationship Id="rId17" Type="http://schemas.openxmlformats.org/officeDocument/2006/relationships/hyperlink" Target="https://www.youtube.com/watch?v=b1fyJxiiJL10" TargetMode="External"/><Relationship Id="rId38" Type="http://schemas.openxmlformats.org/officeDocument/2006/relationships/hyperlink" Target="https://www.youtube.com/live/uNSw0xq2OFU" TargetMode="External"/><Relationship Id="rId59" Type="http://schemas.openxmlformats.org/officeDocument/2006/relationships/hyperlink" Target="https://www.youtube.com/watch?v=dvzg_yf_DZg" TargetMode="External"/><Relationship Id="rId103" Type="http://schemas.openxmlformats.org/officeDocument/2006/relationships/hyperlink" Target="https://www.youtube.com/live/Sl-f3_6BoMg" TargetMode="External"/><Relationship Id="rId124" Type="http://schemas.openxmlformats.org/officeDocument/2006/relationships/hyperlink" Target="https://www.youtube.com/watch?v=loqeQ5EMYbo" TargetMode="External"/><Relationship Id="rId310" Type="http://schemas.openxmlformats.org/officeDocument/2006/relationships/hyperlink" Target="https://www.youtube.com/live/PrFDzOrHAvM" TargetMode="External"/><Relationship Id="rId70" Type="http://schemas.openxmlformats.org/officeDocument/2006/relationships/hyperlink" Target="https://www.youtube.com/watch?v=qbE2ZsNLThM&amp;list=PLyF1y80RciUme5FBqwFEhrKaOchsa_M5r&amp;index=145" TargetMode="External"/><Relationship Id="rId91" Type="http://schemas.openxmlformats.org/officeDocument/2006/relationships/hyperlink" Target="https://www.youtube.com/watch?v=PBUEYeosdms&amp;t=116s" TargetMode="External"/><Relationship Id="rId145" Type="http://schemas.openxmlformats.org/officeDocument/2006/relationships/hyperlink" Target="https://www.youtube.com/embed/fWGtTvP5N4E?si=Vwwhs6b_Luv4VQPI" TargetMode="External"/><Relationship Id="rId166" Type="http://schemas.openxmlformats.org/officeDocument/2006/relationships/hyperlink" Target="https://www.youtube.com/watch?v=dHxG05SfisM" TargetMode="External"/><Relationship Id="rId187" Type="http://schemas.openxmlformats.org/officeDocument/2006/relationships/hyperlink" Target="https://www.youtube.com/live/hzxXKCjJDdI" TargetMode="External"/><Relationship Id="rId331" Type="http://schemas.openxmlformats.org/officeDocument/2006/relationships/hyperlink" Target="https://www.youtube.com/watch?v=dEKcCsQogKE" TargetMode="External"/><Relationship Id="rId352" Type="http://schemas.openxmlformats.org/officeDocument/2006/relationships/hyperlink" Target="https://www.youtube.com/watch?v=PyWf124qV4A" TargetMode="External"/><Relationship Id="rId1" Type="http://schemas.openxmlformats.org/officeDocument/2006/relationships/hyperlink" Target="https://www.youtube.com/watch?v=NcxQwKsYvEA" TargetMode="External"/><Relationship Id="rId212" Type="http://schemas.openxmlformats.org/officeDocument/2006/relationships/hyperlink" Target="https://www.youtube.com/watch?v=zsLJuFP2P0g" TargetMode="External"/><Relationship Id="rId233" Type="http://schemas.openxmlformats.org/officeDocument/2006/relationships/hyperlink" Target="https://www.youtube.com/watch?v=f7Y0TTqIcx0" TargetMode="External"/><Relationship Id="rId254" Type="http://schemas.openxmlformats.org/officeDocument/2006/relationships/hyperlink" Target="https://www.youtube.com/watch?v=R_Gb3hnirtc" TargetMode="External"/><Relationship Id="rId28" Type="http://schemas.openxmlformats.org/officeDocument/2006/relationships/hyperlink" Target="https://www.youtube.com/watch?v=PyWf124qV4A" TargetMode="External"/><Relationship Id="rId49" Type="http://schemas.openxmlformats.org/officeDocument/2006/relationships/hyperlink" Target="https://www.youtube.com/watch?v=cVWrIyNeZyE&amp;list=PLyF1y80RciUme5FBqwFEhrKaOchsa_M5r&amp;index=142&amp;pp=iAQB" TargetMode="External"/><Relationship Id="rId114" Type="http://schemas.openxmlformats.org/officeDocument/2006/relationships/hyperlink" Target="https://www.youtube.com/watch?v=loqeQ5EMYbo" TargetMode="External"/><Relationship Id="rId275" Type="http://schemas.openxmlformats.org/officeDocument/2006/relationships/hyperlink" Target="https://www.youtube.com/watch?v=FE5vUERucjE" TargetMode="External"/><Relationship Id="rId296" Type="http://schemas.openxmlformats.org/officeDocument/2006/relationships/hyperlink" Target="https://www.youtube.com/live/rBwHYGtOVWE" TargetMode="External"/><Relationship Id="rId300" Type="http://schemas.openxmlformats.org/officeDocument/2006/relationships/hyperlink" Target="https://www.youtube.com/live/rBwHYGtOVWE" TargetMode="External"/><Relationship Id="rId60" Type="http://schemas.openxmlformats.org/officeDocument/2006/relationships/hyperlink" Target="https://www.youtube.com/watch?v=dvzg_yf_DZg" TargetMode="External"/><Relationship Id="rId81" Type="http://schemas.openxmlformats.org/officeDocument/2006/relationships/hyperlink" Target="https://www.youtube.com/watch?v=qbE2ZsNLThM&amp;list=PLyF1y80RciUme5FBqwFEhrKaOchsa_M5r&amp;index=156" TargetMode="External"/><Relationship Id="rId135" Type="http://schemas.openxmlformats.org/officeDocument/2006/relationships/hyperlink" Target="https://www.youtube.com/watch?v=uRgeXRLmNnw" TargetMode="External"/><Relationship Id="rId156" Type="http://schemas.openxmlformats.org/officeDocument/2006/relationships/hyperlink" Target="https://www.youtube.com/watch?v=dHxG05SfisM" TargetMode="External"/><Relationship Id="rId177" Type="http://schemas.openxmlformats.org/officeDocument/2006/relationships/hyperlink" Target="https://www.youtube.com/live/hzxXKCjJDdI" TargetMode="External"/><Relationship Id="rId198" Type="http://schemas.openxmlformats.org/officeDocument/2006/relationships/hyperlink" Target="https://www.youtube.com/watch?v=ucdMnsWtAtg" TargetMode="External"/><Relationship Id="rId321" Type="http://schemas.openxmlformats.org/officeDocument/2006/relationships/hyperlink" Target="https://www.youtube.com/watch?v=dEKcCsQogKE" TargetMode="External"/><Relationship Id="rId342" Type="http://schemas.openxmlformats.org/officeDocument/2006/relationships/hyperlink" Target="https://www.youtube.com/watch?v=Vdd7OKeXLKs" TargetMode="External"/><Relationship Id="rId202" Type="http://schemas.openxmlformats.org/officeDocument/2006/relationships/hyperlink" Target="https://www.youtube.com/watch?v=ucdMnsWtAtg" TargetMode="External"/><Relationship Id="rId223" Type="http://schemas.openxmlformats.org/officeDocument/2006/relationships/hyperlink" Target="https://www.youtube.com/watch?v=f7Y0TTqIcx0" TargetMode="External"/><Relationship Id="rId244" Type="http://schemas.openxmlformats.org/officeDocument/2006/relationships/hyperlink" Target="https://www.youtube.com/watch?v=dUDusce883o" TargetMode="External"/><Relationship Id="rId18" Type="http://schemas.openxmlformats.org/officeDocument/2006/relationships/hyperlink" Target="https://www.youtube.com/watch?v=b1fyJxiiJL11" TargetMode="External"/><Relationship Id="rId39" Type="http://schemas.openxmlformats.org/officeDocument/2006/relationships/hyperlink" Target="https://www.youtube.com/live/uNSw0xq2OFU" TargetMode="External"/><Relationship Id="rId265" Type="http://schemas.openxmlformats.org/officeDocument/2006/relationships/hyperlink" Target="https://www.youtube.com/watch?v=FE5vUERucjE" TargetMode="External"/><Relationship Id="rId286" Type="http://schemas.openxmlformats.org/officeDocument/2006/relationships/hyperlink" Target="https://www.youtube.com/watch?v=r2qLJIZy4Yc" TargetMode="External"/><Relationship Id="rId50" Type="http://schemas.openxmlformats.org/officeDocument/2006/relationships/hyperlink" Target="https://www.youtube.com/watch?v=cVWrIyNeZyE&amp;list=PLyF1y80RciUme5FBqwFEhrKaOchsa_M5r&amp;index=142&amp;pp=iAQB" TargetMode="External"/><Relationship Id="rId104" Type="http://schemas.openxmlformats.org/officeDocument/2006/relationships/hyperlink" Target="https://www.youtube.com/live/Sl-f3_6BoMg" TargetMode="External"/><Relationship Id="rId125" Type="http://schemas.openxmlformats.org/officeDocument/2006/relationships/hyperlink" Target="https://www.youtube.com/watch?v=loqeQ5EMYbo" TargetMode="External"/><Relationship Id="rId146" Type="http://schemas.openxmlformats.org/officeDocument/2006/relationships/hyperlink" Target="https://www.youtube.com/embed/fWGtTvP5N4E?si=Vwwhs6b_Luv4VQPI" TargetMode="External"/><Relationship Id="rId167" Type="http://schemas.openxmlformats.org/officeDocument/2006/relationships/hyperlink" Target="https://www.youtube.com/live/hzxXKCjJDdI" TargetMode="External"/><Relationship Id="rId188" Type="http://schemas.openxmlformats.org/officeDocument/2006/relationships/hyperlink" Target="https://www.youtube.com/live/hzxXKCjJDdI" TargetMode="External"/><Relationship Id="rId311" Type="http://schemas.openxmlformats.org/officeDocument/2006/relationships/hyperlink" Target="https://www.youtube.com/live/PrFDzOrHAvM" TargetMode="External"/><Relationship Id="rId332" Type="http://schemas.openxmlformats.org/officeDocument/2006/relationships/hyperlink" Target="https://www.youtube.com/watch?v=dEKcCsQogKE" TargetMode="External"/><Relationship Id="rId353" Type="http://schemas.openxmlformats.org/officeDocument/2006/relationships/hyperlink" Target="https://www.youtube.com/watch?v=PyWf124qV4A" TargetMode="External"/><Relationship Id="rId71" Type="http://schemas.openxmlformats.org/officeDocument/2006/relationships/hyperlink" Target="https://www.youtube.com/watch?v=qbE2ZsNLThM&amp;list=PLyF1y80RciUme5FBqwFEhrKaOchsa_M5r&amp;index=146" TargetMode="External"/><Relationship Id="rId92" Type="http://schemas.openxmlformats.org/officeDocument/2006/relationships/hyperlink" Target="https://www.youtube.com/watch?v=PBUEYeosdms&amp;t=116s" TargetMode="External"/><Relationship Id="rId213" Type="http://schemas.openxmlformats.org/officeDocument/2006/relationships/hyperlink" Target="https://www.youtube.com/watch?v=zsLJuFP2P0g" TargetMode="External"/><Relationship Id="rId234" Type="http://schemas.openxmlformats.org/officeDocument/2006/relationships/hyperlink" Target="https://www.youtube.com/watch?v=f7Y0TTqIcx0" TargetMode="External"/><Relationship Id="rId2" Type="http://schemas.openxmlformats.org/officeDocument/2006/relationships/hyperlink" Target="https://www.youtube.com/watch?v=NcxQwKsYvEA" TargetMode="External"/><Relationship Id="rId29" Type="http://schemas.openxmlformats.org/officeDocument/2006/relationships/hyperlink" Target="https://www.youtube.com/watch?v=dHxG05SfisM" TargetMode="External"/><Relationship Id="rId255" Type="http://schemas.openxmlformats.org/officeDocument/2006/relationships/hyperlink" Target="https://www.youtube.com/watch?v=R_Gb3hnirtc" TargetMode="External"/><Relationship Id="rId276" Type="http://schemas.openxmlformats.org/officeDocument/2006/relationships/hyperlink" Target="https://www.youtube.com/watch?v=FE5vUERucjE" TargetMode="External"/><Relationship Id="rId297" Type="http://schemas.openxmlformats.org/officeDocument/2006/relationships/hyperlink" Target="https://www.youtube.com/live/rBwHYGtOVWE" TargetMode="External"/><Relationship Id="rId40" Type="http://schemas.openxmlformats.org/officeDocument/2006/relationships/hyperlink" Target="https://www.youtube.com/live/uNSw0xq2OFU" TargetMode="External"/><Relationship Id="rId115" Type="http://schemas.openxmlformats.org/officeDocument/2006/relationships/hyperlink" Target="https://www.youtube.com/watch?v=loqeQ5EMYbo" TargetMode="External"/><Relationship Id="rId136" Type="http://schemas.openxmlformats.org/officeDocument/2006/relationships/hyperlink" Target="https://www.youtube.com/watch?v=uRgeXRLmNnw" TargetMode="External"/><Relationship Id="rId157" Type="http://schemas.openxmlformats.org/officeDocument/2006/relationships/hyperlink" Target="https://www.youtube.com/watch?v=dHxG05SfisM" TargetMode="External"/><Relationship Id="rId178" Type="http://schemas.openxmlformats.org/officeDocument/2006/relationships/hyperlink" Target="https://www.youtube.com/live/hzxXKCjJDdI" TargetMode="External"/><Relationship Id="rId301" Type="http://schemas.openxmlformats.org/officeDocument/2006/relationships/hyperlink" Target="https://www.youtube.com/live/rBwHYGtOVWE" TargetMode="External"/><Relationship Id="rId322" Type="http://schemas.openxmlformats.org/officeDocument/2006/relationships/hyperlink" Target="https://www.youtube.com/watch?v=dEKcCsQogKE" TargetMode="External"/><Relationship Id="rId343" Type="http://schemas.openxmlformats.org/officeDocument/2006/relationships/hyperlink" Target="https://www.youtube.com/watch?v=Vdd7OKeXLKs" TargetMode="External"/><Relationship Id="rId61" Type="http://schemas.openxmlformats.org/officeDocument/2006/relationships/hyperlink" Target="https://www.youtube.com/watch?v=dvzg_yf_DZg" TargetMode="External"/><Relationship Id="rId82" Type="http://schemas.openxmlformats.org/officeDocument/2006/relationships/hyperlink" Target="https://www.youtube.com/watch?v=qbE2ZsNLThM&amp;list=PLyF1y80RciUme5FBqwFEhrKaOchsa_M5r&amp;index=157" TargetMode="External"/><Relationship Id="rId199" Type="http://schemas.openxmlformats.org/officeDocument/2006/relationships/hyperlink" Target="https://www.youtube.com/watch?v=ucdMnsWtAtg" TargetMode="External"/><Relationship Id="rId203" Type="http://schemas.openxmlformats.org/officeDocument/2006/relationships/hyperlink" Target="https://www.youtube.com/watch?v=ucdMnsWtAtg" TargetMode="External"/><Relationship Id="rId19" Type="http://schemas.openxmlformats.org/officeDocument/2006/relationships/hyperlink" Target="https://www.youtube.com/watch?v=b1fyJxiiJL11" TargetMode="External"/><Relationship Id="rId224" Type="http://schemas.openxmlformats.org/officeDocument/2006/relationships/hyperlink" Target="https://www.youtube.com/watch?v=f7Y0TTqIcx0" TargetMode="External"/><Relationship Id="rId245" Type="http://schemas.openxmlformats.org/officeDocument/2006/relationships/hyperlink" Target="https://www.youtube.com/watch?v=dUDusce883o" TargetMode="External"/><Relationship Id="rId266" Type="http://schemas.openxmlformats.org/officeDocument/2006/relationships/hyperlink" Target="https://www.youtube.com/watch?v=FE5vUERucjE" TargetMode="External"/><Relationship Id="rId287" Type="http://schemas.openxmlformats.org/officeDocument/2006/relationships/hyperlink" Target="https://www.youtube.com/watch?v=r2qLJIZy4Yc" TargetMode="External"/><Relationship Id="rId30" Type="http://schemas.openxmlformats.org/officeDocument/2006/relationships/hyperlink" Target="https://www.youtube.com/watch?v=ucdMnsWtAtg" TargetMode="External"/><Relationship Id="rId105" Type="http://schemas.openxmlformats.org/officeDocument/2006/relationships/hyperlink" Target="https://www.youtube.com/live/Sl-f3_6BoMg" TargetMode="External"/><Relationship Id="rId126" Type="http://schemas.openxmlformats.org/officeDocument/2006/relationships/hyperlink" Target="https://www.youtube.com/watch?v=uRgeXRLmNnw" TargetMode="External"/><Relationship Id="rId147" Type="http://schemas.openxmlformats.org/officeDocument/2006/relationships/hyperlink" Target="https://www.youtube.com/embed/fWGtTvP5N4E?si=Vwwhs6b_Luv4VQPI" TargetMode="External"/><Relationship Id="rId168" Type="http://schemas.openxmlformats.org/officeDocument/2006/relationships/hyperlink" Target="https://www.youtube.com/live/hzxXKCjJDdI" TargetMode="External"/><Relationship Id="rId312" Type="http://schemas.openxmlformats.org/officeDocument/2006/relationships/hyperlink" Target="https://www.youtube.com/live/PrFDzOrHAvM" TargetMode="External"/><Relationship Id="rId333" Type="http://schemas.openxmlformats.org/officeDocument/2006/relationships/hyperlink" Target="https://www.youtube.com/watch?v=Vdd7OKeXLKs" TargetMode="External"/><Relationship Id="rId354" Type="http://schemas.openxmlformats.org/officeDocument/2006/relationships/hyperlink" Target="https://www.youtube.com/watch?v=PyWf124qV4A" TargetMode="External"/><Relationship Id="rId51" Type="http://schemas.openxmlformats.org/officeDocument/2006/relationships/hyperlink" Target="https://www.youtube.com/watch?v=cVWrIyNeZyE&amp;list=PLyF1y80RciUme5FBqwFEhrKaOchsa_M5r&amp;index=142&amp;pp=iAQB" TargetMode="External"/><Relationship Id="rId72" Type="http://schemas.openxmlformats.org/officeDocument/2006/relationships/hyperlink" Target="https://www.youtube.com/watch?v=qbE2ZsNLThM&amp;list=PLyF1y80RciUme5FBqwFEhrKaOchsa_M5r&amp;index=147" TargetMode="External"/><Relationship Id="rId93" Type="http://schemas.openxmlformats.org/officeDocument/2006/relationships/hyperlink" Target="https://www.youtube.com/watch?v=PBUEYeosdms&amp;t=116s" TargetMode="External"/><Relationship Id="rId189" Type="http://schemas.openxmlformats.org/officeDocument/2006/relationships/hyperlink" Target="https://www.youtube.com/live/hzxXKCjJDdI" TargetMode="External"/><Relationship Id="rId3" Type="http://schemas.openxmlformats.org/officeDocument/2006/relationships/hyperlink" Target="https://www.youtube.com/watch?v=NcxQwKsYvEA" TargetMode="External"/><Relationship Id="rId214" Type="http://schemas.openxmlformats.org/officeDocument/2006/relationships/hyperlink" Target="https://www.youtube.com/watch?v=zsLJuFP2P0g" TargetMode="External"/><Relationship Id="rId235" Type="http://schemas.openxmlformats.org/officeDocument/2006/relationships/hyperlink" Target="https://www.youtube.com/watch?v=dUDusce883o" TargetMode="External"/><Relationship Id="rId256" Type="http://schemas.openxmlformats.org/officeDocument/2006/relationships/hyperlink" Target="https://www.youtube.com/watch?v=R_Gb3hnirtc" TargetMode="External"/><Relationship Id="rId277" Type="http://schemas.openxmlformats.org/officeDocument/2006/relationships/hyperlink" Target="https://www.youtube.com/watch?v=r2qLJIZy4Yc" TargetMode="External"/><Relationship Id="rId298" Type="http://schemas.openxmlformats.org/officeDocument/2006/relationships/hyperlink" Target="https://www.youtube.com/live/rBwHYGtOVWE" TargetMode="External"/><Relationship Id="rId116" Type="http://schemas.openxmlformats.org/officeDocument/2006/relationships/hyperlink" Target="https://www.youtube.com/watch?v=loqeQ5EMYbo" TargetMode="External"/><Relationship Id="rId137" Type="http://schemas.openxmlformats.org/officeDocument/2006/relationships/hyperlink" Target="https://www.youtube.com/watch?v=uRgeXRLmNnw" TargetMode="External"/><Relationship Id="rId158" Type="http://schemas.openxmlformats.org/officeDocument/2006/relationships/hyperlink" Target="https://www.youtube.com/watch?v=dHxG05SfisM" TargetMode="External"/><Relationship Id="rId302" Type="http://schemas.openxmlformats.org/officeDocument/2006/relationships/hyperlink" Target="https://www.youtube.com/live/rBwHYGtOVWE" TargetMode="External"/><Relationship Id="rId323" Type="http://schemas.openxmlformats.org/officeDocument/2006/relationships/hyperlink" Target="https://www.youtube.com/watch?v=dEKcCsQogKE" TargetMode="External"/><Relationship Id="rId344" Type="http://schemas.openxmlformats.org/officeDocument/2006/relationships/hyperlink" Target="https://www.youtube.com/watch?v=Vdd7OKeXLKs" TargetMode="External"/><Relationship Id="rId20" Type="http://schemas.openxmlformats.org/officeDocument/2006/relationships/hyperlink" Target="https://www.youtube.com/watch?v=PyWf124qV4A" TargetMode="External"/><Relationship Id="rId41" Type="http://schemas.openxmlformats.org/officeDocument/2006/relationships/hyperlink" Target="https://www.youtube.com/live/uNSw0xq2OFU" TargetMode="External"/><Relationship Id="rId62" Type="http://schemas.openxmlformats.org/officeDocument/2006/relationships/hyperlink" Target="https://www.youtube.com/watch?v=dvzg_yf_DZg" TargetMode="External"/><Relationship Id="rId83" Type="http://schemas.openxmlformats.org/officeDocument/2006/relationships/hyperlink" Target="https://www.youtube.com/watch?v=qbE2ZsNLThM&amp;list=PLyF1y80RciUme5FBqwFEhrKaOchsa_M5r&amp;index=158" TargetMode="External"/><Relationship Id="rId179" Type="http://schemas.openxmlformats.org/officeDocument/2006/relationships/hyperlink" Target="https://www.youtube.com/live/hzxXKCjJDdI" TargetMode="External"/><Relationship Id="rId190" Type="http://schemas.openxmlformats.org/officeDocument/2006/relationships/hyperlink" Target="https://www.youtube.com/live/hzxXKCjJDdI" TargetMode="External"/><Relationship Id="rId204" Type="http://schemas.openxmlformats.org/officeDocument/2006/relationships/hyperlink" Target="https://www.youtube.com/watch?v=ucdMnsWtAtg" TargetMode="External"/><Relationship Id="rId225" Type="http://schemas.openxmlformats.org/officeDocument/2006/relationships/hyperlink" Target="https://www.youtube.com/watch?v=f7Y0TTqIcx0" TargetMode="External"/><Relationship Id="rId246" Type="http://schemas.openxmlformats.org/officeDocument/2006/relationships/hyperlink" Target="https://www.youtube.com/watch?v=dUDusce883o" TargetMode="External"/><Relationship Id="rId267" Type="http://schemas.openxmlformats.org/officeDocument/2006/relationships/hyperlink" Target="https://www.youtube.com/watch?v=FE5vUERucjE" TargetMode="External"/><Relationship Id="rId288" Type="http://schemas.openxmlformats.org/officeDocument/2006/relationships/hyperlink" Target="https://www.youtube.com/watch?v=r2qLJIZy4Yc" TargetMode="External"/><Relationship Id="rId106" Type="http://schemas.openxmlformats.org/officeDocument/2006/relationships/hyperlink" Target="https://www.youtube.com/live/Sl-f3_6BoMg" TargetMode="External"/><Relationship Id="rId127" Type="http://schemas.openxmlformats.org/officeDocument/2006/relationships/hyperlink" Target="https://www.youtube.com/watch?v=uRgeXRLmNnw" TargetMode="External"/><Relationship Id="rId313" Type="http://schemas.openxmlformats.org/officeDocument/2006/relationships/hyperlink" Target="https://www.youtube.com/live/PrFDzOrHAvM" TargetMode="External"/><Relationship Id="rId10" Type="http://schemas.openxmlformats.org/officeDocument/2006/relationships/hyperlink" Target="https://www.youtube.com/watch?v=b1fyJxiiJL2" TargetMode="External"/><Relationship Id="rId31" Type="http://schemas.openxmlformats.org/officeDocument/2006/relationships/hyperlink" Target="https://www.youtube.com/watch?v=PyWf124qV4A" TargetMode="External"/><Relationship Id="rId52" Type="http://schemas.openxmlformats.org/officeDocument/2006/relationships/hyperlink" Target="https://www.youtube.com/watch?v=cVWrIyNeZyE&amp;list=PLyF1y80RciUme5FBqwFEhrKaOchsa_M5r&amp;index=142&amp;pp=iAQB" TargetMode="External"/><Relationship Id="rId73" Type="http://schemas.openxmlformats.org/officeDocument/2006/relationships/hyperlink" Target="https://www.youtube.com/watch?v=qbE2ZsNLThM&amp;list=PLyF1y80RciUme5FBqwFEhrKaOchsa_M5r&amp;index=148" TargetMode="External"/><Relationship Id="rId94" Type="http://schemas.openxmlformats.org/officeDocument/2006/relationships/hyperlink" Target="https://www.youtube.com/watch?v=PBUEYeosdms&amp;t=116s" TargetMode="External"/><Relationship Id="rId148" Type="http://schemas.openxmlformats.org/officeDocument/2006/relationships/hyperlink" Target="https://www.youtube.com/embed/fWGtTvP5N4E?si=Vwwhs6b_Luv4VQPI" TargetMode="External"/><Relationship Id="rId169" Type="http://schemas.openxmlformats.org/officeDocument/2006/relationships/hyperlink" Target="https://www.youtube.com/live/hzxXKCjJDdI" TargetMode="External"/><Relationship Id="rId334" Type="http://schemas.openxmlformats.org/officeDocument/2006/relationships/hyperlink" Target="https://www.youtube.com/watch?v=Vdd7OKeXLKs" TargetMode="External"/><Relationship Id="rId355" Type="http://schemas.openxmlformats.org/officeDocument/2006/relationships/hyperlink" Target="https://www.youtube.com/live/uNSw0xq2OFU" TargetMode="External"/><Relationship Id="rId4" Type="http://schemas.openxmlformats.org/officeDocument/2006/relationships/hyperlink" Target="https://www.youtube.com/watch?v=NcxQwKsYvEA" TargetMode="External"/><Relationship Id="rId180" Type="http://schemas.openxmlformats.org/officeDocument/2006/relationships/hyperlink" Target="https://www.youtube.com/live/hzxXKCjJDdI" TargetMode="External"/><Relationship Id="rId215" Type="http://schemas.openxmlformats.org/officeDocument/2006/relationships/hyperlink" Target="https://www.youtube.com/watch?v=zsLJuFP2P0g" TargetMode="External"/><Relationship Id="rId236" Type="http://schemas.openxmlformats.org/officeDocument/2006/relationships/hyperlink" Target="https://www.youtube.com/watch?v=dUDusce883o" TargetMode="External"/><Relationship Id="rId257" Type="http://schemas.openxmlformats.org/officeDocument/2006/relationships/hyperlink" Target="https://www.youtube.com/watch?v=R_Gb3hnirtc" TargetMode="External"/><Relationship Id="rId278" Type="http://schemas.openxmlformats.org/officeDocument/2006/relationships/hyperlink" Target="https://www.youtube.com/watch?v=r2qLJIZy4Yc" TargetMode="External"/><Relationship Id="rId303" Type="http://schemas.openxmlformats.org/officeDocument/2006/relationships/hyperlink" Target="https://www.youtube.com/live/rBwHYGtOVWE" TargetMode="External"/><Relationship Id="rId42" Type="http://schemas.openxmlformats.org/officeDocument/2006/relationships/hyperlink" Target="https://www.youtube.com/live/uNSw0xq2OFU" TargetMode="External"/><Relationship Id="rId84" Type="http://schemas.openxmlformats.org/officeDocument/2006/relationships/hyperlink" Target="https://www.youtube.com/watch?v=PBUEYeosdms&amp;t=116s" TargetMode="External"/><Relationship Id="rId138" Type="http://schemas.openxmlformats.org/officeDocument/2006/relationships/hyperlink" Target="https://www.youtube.com/watch?v=uRgeXRLmNnw" TargetMode="External"/><Relationship Id="rId345" Type="http://schemas.openxmlformats.org/officeDocument/2006/relationships/hyperlink" Target="https://www.youtube.com/watch?v=Vdd7OKeXLKs" TargetMode="External"/><Relationship Id="rId191" Type="http://schemas.openxmlformats.org/officeDocument/2006/relationships/hyperlink" Target="https://www.youtube.com/live/hzxXKCjJDdI" TargetMode="External"/><Relationship Id="rId205" Type="http://schemas.openxmlformats.org/officeDocument/2006/relationships/hyperlink" Target="https://www.youtube.com/watch?v=ucdMnsWtAtg" TargetMode="External"/><Relationship Id="rId247" Type="http://schemas.openxmlformats.org/officeDocument/2006/relationships/hyperlink" Target="https://www.youtube.com/watch?v=dUDusce883o" TargetMode="External"/><Relationship Id="rId107" Type="http://schemas.openxmlformats.org/officeDocument/2006/relationships/hyperlink" Target="https://www.youtube.com/live/Sl-f3_6BoMg" TargetMode="External"/><Relationship Id="rId289" Type="http://schemas.openxmlformats.org/officeDocument/2006/relationships/hyperlink" Target="https://www.youtube.com/watch?v=r2qLJIZy4Yc" TargetMode="External"/><Relationship Id="rId11" Type="http://schemas.openxmlformats.org/officeDocument/2006/relationships/hyperlink" Target="https://www.youtube.com/watch?v=b1fyJxiiJL3" TargetMode="External"/><Relationship Id="rId53" Type="http://schemas.openxmlformats.org/officeDocument/2006/relationships/hyperlink" Target="https://www.youtube.com/watch?v=cVWrIyNeZyE&amp;list=PLyF1y80RciUme5FBqwFEhrKaOchsa_M5r&amp;index=142&amp;pp=iAQB" TargetMode="External"/><Relationship Id="rId149" Type="http://schemas.openxmlformats.org/officeDocument/2006/relationships/hyperlink" Target="https://www.youtube.com/embed/fWGtTvP5N4E?si=Vwwhs6b_Luv4VQPI" TargetMode="External"/><Relationship Id="rId314" Type="http://schemas.openxmlformats.org/officeDocument/2006/relationships/hyperlink" Target="https://www.youtube.com/live/PrFDzOrHAvM" TargetMode="External"/><Relationship Id="rId356" Type="http://schemas.openxmlformats.org/officeDocument/2006/relationships/hyperlink" Target="https://www.youtube.com/watch?v=cVWrIyNeZyE&amp;list=PLyF1y80RciUme5FBqwFEhrKaOchsa_M5r&amp;index=142&amp;pp=iAQB" TargetMode="External"/><Relationship Id="rId95" Type="http://schemas.openxmlformats.org/officeDocument/2006/relationships/hyperlink" Target="https://www.youtube.com/watch?v=PBUEYeosdms&amp;t=116s" TargetMode="External"/><Relationship Id="rId160" Type="http://schemas.openxmlformats.org/officeDocument/2006/relationships/hyperlink" Target="https://www.youtube.com/watch?v=dHxG05SfisM" TargetMode="External"/><Relationship Id="rId216" Type="http://schemas.openxmlformats.org/officeDocument/2006/relationships/hyperlink" Target="https://www.youtube.com/watch?v=zsLJuFP2P0g" TargetMode="External"/><Relationship Id="rId258" Type="http://schemas.openxmlformats.org/officeDocument/2006/relationships/hyperlink" Target="https://www.youtube.com/watch?v=R_Gb3hnirtc" TargetMode="External"/><Relationship Id="rId22" Type="http://schemas.openxmlformats.org/officeDocument/2006/relationships/hyperlink" Target="https://www.youtube.com/watch?v=PyWf124qV4A" TargetMode="External"/><Relationship Id="rId64" Type="http://schemas.openxmlformats.org/officeDocument/2006/relationships/hyperlink" Target="https://www.youtube.com/watch?v=dvzg_yf_DZg" TargetMode="External"/><Relationship Id="rId118" Type="http://schemas.openxmlformats.org/officeDocument/2006/relationships/hyperlink" Target="https://www.youtube.com/watch?v=loqeQ5EMYbo" TargetMode="External"/><Relationship Id="rId325" Type="http://schemas.openxmlformats.org/officeDocument/2006/relationships/hyperlink" Target="https://www.youtube.com/watch?v=dEKcCsQogKE" TargetMode="External"/><Relationship Id="rId171" Type="http://schemas.openxmlformats.org/officeDocument/2006/relationships/hyperlink" Target="https://www.youtube.com/live/hzxXKCjJDdI" TargetMode="External"/><Relationship Id="rId227" Type="http://schemas.openxmlformats.org/officeDocument/2006/relationships/hyperlink" Target="https://www.youtube.com/watch?v=f7Y0TTqIcx0" TargetMode="External"/><Relationship Id="rId269" Type="http://schemas.openxmlformats.org/officeDocument/2006/relationships/hyperlink" Target="https://www.youtube.com/watch?v=FE5vUERucjE" TargetMode="External"/><Relationship Id="rId33" Type="http://schemas.openxmlformats.org/officeDocument/2006/relationships/hyperlink" Target="https://www.youtube.com/watch?v=PyWf124qV4A" TargetMode="External"/><Relationship Id="rId129" Type="http://schemas.openxmlformats.org/officeDocument/2006/relationships/hyperlink" Target="https://www.youtube.com/watch?v=uRgeXRLmNnw" TargetMode="External"/><Relationship Id="rId280" Type="http://schemas.openxmlformats.org/officeDocument/2006/relationships/hyperlink" Target="https://www.youtube.com/watch?v=r2qLJIZy4Yc" TargetMode="External"/><Relationship Id="rId336" Type="http://schemas.openxmlformats.org/officeDocument/2006/relationships/hyperlink" Target="https://www.youtube.com/watch?v=Vdd7OKeXLKs" TargetMode="External"/><Relationship Id="rId75" Type="http://schemas.openxmlformats.org/officeDocument/2006/relationships/hyperlink" Target="https://www.youtube.com/watch?v=qbE2ZsNLThM&amp;list=PLyF1y80RciUme5FBqwFEhrKaOchsa_M5r&amp;index=150" TargetMode="External"/><Relationship Id="rId140" Type="http://schemas.openxmlformats.org/officeDocument/2006/relationships/hyperlink" Target="https://www.youtube.com/embed/fWGtTvP5N4E?si=Vwwhs6b_Luv4VQPI" TargetMode="External"/><Relationship Id="rId182" Type="http://schemas.openxmlformats.org/officeDocument/2006/relationships/hyperlink" Target="https://www.youtube.com/live/hzxXKCjJDdI" TargetMode="External"/><Relationship Id="rId6" Type="http://schemas.openxmlformats.org/officeDocument/2006/relationships/hyperlink" Target="https://www.youtube.com/watch?v=NcxQwKsYvEA" TargetMode="External"/><Relationship Id="rId238" Type="http://schemas.openxmlformats.org/officeDocument/2006/relationships/hyperlink" Target="https://www.youtube.com/watch?v=dUDusce883o" TargetMode="External"/><Relationship Id="rId291" Type="http://schemas.openxmlformats.org/officeDocument/2006/relationships/hyperlink" Target="https://www.youtube.com/live/rBwHYGtOVWE" TargetMode="External"/><Relationship Id="rId305" Type="http://schemas.openxmlformats.org/officeDocument/2006/relationships/hyperlink" Target="https://www.youtube.com/live/PrFDzOrHAvM" TargetMode="External"/><Relationship Id="rId347" Type="http://schemas.openxmlformats.org/officeDocument/2006/relationships/hyperlink" Target="https://www.youtube.com/watch?v=dvzg_yf_DZg" TargetMode="External"/><Relationship Id="rId44" Type="http://schemas.openxmlformats.org/officeDocument/2006/relationships/hyperlink" Target="https://www.youtube.com/live/uNSw0xq2OFU" TargetMode="External"/><Relationship Id="rId86" Type="http://schemas.openxmlformats.org/officeDocument/2006/relationships/hyperlink" Target="https://www.youtube.com/watch?v=PBUEYeosdms&amp;t=116s" TargetMode="External"/><Relationship Id="rId151" Type="http://schemas.openxmlformats.org/officeDocument/2006/relationships/hyperlink" Target="https://www.youtube.com/embed/fWGtTvP5N4E?si=Vwwhs6b_Luv4VQPI" TargetMode="External"/><Relationship Id="rId193" Type="http://schemas.openxmlformats.org/officeDocument/2006/relationships/hyperlink" Target="https://www.youtube.com/live/hzxXKCjJDdI" TargetMode="External"/><Relationship Id="rId207" Type="http://schemas.openxmlformats.org/officeDocument/2006/relationships/hyperlink" Target="https://www.youtube.com/watch?v=zsLJuFP2P0g" TargetMode="External"/><Relationship Id="rId249" Type="http://schemas.openxmlformats.org/officeDocument/2006/relationships/hyperlink" Target="https://www.youtube.com/watch?v=R_Gb3hnirtc" TargetMode="External"/><Relationship Id="rId13" Type="http://schemas.openxmlformats.org/officeDocument/2006/relationships/hyperlink" Target="https://www.youtube.com/watch?v=b1fyJxiiJL5" TargetMode="External"/><Relationship Id="rId109" Type="http://schemas.openxmlformats.org/officeDocument/2006/relationships/hyperlink" Target="https://www.youtube.com/live/Sl-f3_6BoMg" TargetMode="External"/><Relationship Id="rId260" Type="http://schemas.openxmlformats.org/officeDocument/2006/relationships/hyperlink" Target="https://www.youtube.com/watch?v=R_Gb3hnirtc" TargetMode="External"/><Relationship Id="rId316" Type="http://schemas.openxmlformats.org/officeDocument/2006/relationships/hyperlink" Target="https://www.youtube.com/live/PrFDzOrHAvM" TargetMode="External"/><Relationship Id="rId55" Type="http://schemas.openxmlformats.org/officeDocument/2006/relationships/hyperlink" Target="https://www.youtube.com/watch?v=cVWrIyNeZyE&amp;list=PLyF1y80RciUme5FBqwFEhrKaOchsa_M5r&amp;index=142&amp;pp=iAQB" TargetMode="External"/><Relationship Id="rId97" Type="http://schemas.openxmlformats.org/officeDocument/2006/relationships/hyperlink" Target="https://www.youtube.com/watch?v=PBUEYeosdms&amp;t=116s" TargetMode="External"/><Relationship Id="rId120" Type="http://schemas.openxmlformats.org/officeDocument/2006/relationships/hyperlink" Target="https://www.youtube.com/watch?v=loqeQ5EMYbo" TargetMode="External"/><Relationship Id="rId358" Type="http://schemas.openxmlformats.org/officeDocument/2006/relationships/hyperlink" Target="https://www.youtube.com/watch?v=cVWrIyNeZyE&amp;list=PLyF1y80RciUme5FBqwFEhrKaOchsa_M5r&amp;index=142&amp;pp=iAQB" TargetMode="External"/><Relationship Id="rId162" Type="http://schemas.openxmlformats.org/officeDocument/2006/relationships/hyperlink" Target="https://www.youtube.com/watch?v=dHxG05SfisM" TargetMode="External"/><Relationship Id="rId218" Type="http://schemas.openxmlformats.org/officeDocument/2006/relationships/hyperlink" Target="https://www.youtube.com/watch?v=zsLJuFP2P0g" TargetMode="External"/><Relationship Id="rId271" Type="http://schemas.openxmlformats.org/officeDocument/2006/relationships/hyperlink" Target="https://www.youtube.com/watch?v=FE5vUERucjE" TargetMode="External"/><Relationship Id="rId24" Type="http://schemas.openxmlformats.org/officeDocument/2006/relationships/hyperlink" Target="https://www.youtube.com/watch?v=PyWf124qV4A" TargetMode="External"/><Relationship Id="rId66" Type="http://schemas.openxmlformats.org/officeDocument/2006/relationships/hyperlink" Target="https://www.youtube.com/watch?v=dvzg_yf_DZg" TargetMode="External"/><Relationship Id="rId131" Type="http://schemas.openxmlformats.org/officeDocument/2006/relationships/hyperlink" Target="https://www.youtube.com/watch?v=uRgeXRLmNnw" TargetMode="External"/><Relationship Id="rId327" Type="http://schemas.openxmlformats.org/officeDocument/2006/relationships/hyperlink" Target="https://www.youtube.com/watch?v=dEKcCsQogKE" TargetMode="External"/><Relationship Id="rId173" Type="http://schemas.openxmlformats.org/officeDocument/2006/relationships/hyperlink" Target="https://www.youtube.com/live/hzxXKCjJDdI" TargetMode="External"/><Relationship Id="rId229" Type="http://schemas.openxmlformats.org/officeDocument/2006/relationships/hyperlink" Target="https://www.youtube.com/watch?v=f7Y0TTqIcx0" TargetMode="External"/><Relationship Id="rId240" Type="http://schemas.openxmlformats.org/officeDocument/2006/relationships/hyperlink" Target="https://www.youtube.com/watch?v=dUDusce883o" TargetMode="External"/><Relationship Id="rId35" Type="http://schemas.openxmlformats.org/officeDocument/2006/relationships/hyperlink" Target="https://www.youtube.com/watch?v=PyWf124qV4A" TargetMode="External"/><Relationship Id="rId77" Type="http://schemas.openxmlformats.org/officeDocument/2006/relationships/hyperlink" Target="https://www.youtube.com/watch?v=qbE2ZsNLThM&amp;list=PLyF1y80RciUme5FBqwFEhrKaOchsa_M5r&amp;index=152" TargetMode="External"/><Relationship Id="rId100" Type="http://schemas.openxmlformats.org/officeDocument/2006/relationships/hyperlink" Target="https://www.youtube.com/live/Sl-f3_6BoMg" TargetMode="External"/><Relationship Id="rId282" Type="http://schemas.openxmlformats.org/officeDocument/2006/relationships/hyperlink" Target="https://www.youtube.com/watch?v=r2qLJIZy4Yc" TargetMode="External"/><Relationship Id="rId338" Type="http://schemas.openxmlformats.org/officeDocument/2006/relationships/hyperlink" Target="https://www.youtube.com/watch?v=Vdd7OKeXLKs" TargetMode="External"/><Relationship Id="rId8" Type="http://schemas.openxmlformats.org/officeDocument/2006/relationships/hyperlink" Target="https://www.youtube.com/watch?v=b1fyJxiiJL0" TargetMode="External"/><Relationship Id="rId142" Type="http://schemas.openxmlformats.org/officeDocument/2006/relationships/hyperlink" Target="https://www.youtube.com/embed/fWGtTvP5N4E?si=Vwwhs6b_Luv4VQPI" TargetMode="External"/><Relationship Id="rId184" Type="http://schemas.openxmlformats.org/officeDocument/2006/relationships/hyperlink" Target="https://www.youtube.com/live/hzxXKCjJDdI" TargetMode="External"/><Relationship Id="rId251" Type="http://schemas.openxmlformats.org/officeDocument/2006/relationships/hyperlink" Target="https://www.youtube.com/watch?v=R_Gb3hnir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364"/>
  <sheetViews>
    <sheetView tabSelected="1" topLeftCell="A354" workbookViewId="0">
      <selection activeCell="B363" sqref="B363"/>
    </sheetView>
  </sheetViews>
  <sheetFormatPr defaultColWidth="12.6640625" defaultRowHeight="15.75" customHeight="1" x14ac:dyDescent="0.25"/>
  <cols>
    <col min="25" max="25" width="23.88671875" customWidth="1"/>
    <col min="26" max="26" width="25.109375" customWidth="1"/>
    <col min="29" max="29" width="29.7773437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 s="1">
        <v>1</v>
      </c>
      <c r="B2" s="1" t="s">
        <v>56</v>
      </c>
      <c r="C2" s="2">
        <v>45819</v>
      </c>
      <c r="D2" s="2">
        <v>45819</v>
      </c>
      <c r="E2" s="1">
        <v>0</v>
      </c>
      <c r="F2" s="1">
        <v>1</v>
      </c>
      <c r="G2" s="3" t="s">
        <v>57</v>
      </c>
      <c r="H2" s="4">
        <v>7.4305555555555557E-3</v>
      </c>
      <c r="I2" s="4">
        <v>0</v>
      </c>
      <c r="J2" s="4">
        <v>1.2037037037037038E-3</v>
      </c>
      <c r="K2" s="1" t="s">
        <v>58</v>
      </c>
      <c r="L2" s="1" t="s">
        <v>59</v>
      </c>
      <c r="M2" s="1" t="s">
        <v>60</v>
      </c>
      <c r="N2" s="1" t="s">
        <v>60</v>
      </c>
      <c r="O2" s="1" t="s">
        <v>61</v>
      </c>
      <c r="P2" s="1" t="s">
        <v>61</v>
      </c>
      <c r="Q2" s="1" t="s">
        <v>61</v>
      </c>
      <c r="R2" s="1" t="s">
        <v>61</v>
      </c>
      <c r="S2" s="1" t="s">
        <v>61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AB2" s="1"/>
      <c r="AC2" s="5" t="str">
        <f ca="1">IFERROR(__xludf.DUMMYFUNCTION("IF(Y2 = """", """", GOOGLETRANSLATE(Y2, ""en"", ""hi""))
"),"")</f>
        <v/>
      </c>
      <c r="AD2" s="5" t="str">
        <f ca="1">IFERROR(__xludf.DUMMYFUNCTION("IF(Z2 = """", """", GOOGLETRANSLATE(Z2, ""en"", ""hi""))"),"")</f>
        <v/>
      </c>
      <c r="AE2" s="5" t="str">
        <f ca="1">IFERROR(__xludf.DUMMYFUNCTION("IF(AA2 = """", """", GOOGLETRANSLATE(AA2, ""en"", ""hi""))"),"")</f>
        <v/>
      </c>
      <c r="AF2" s="5" t="str">
        <f ca="1">IFERROR(__xludf.DUMMYFUNCTION("IF(AB2 = """", """", GOOGLETRANSLATE(AB2, ""en"", ""hi""))"),"")</f>
        <v/>
      </c>
      <c r="AG2" s="5" t="str">
        <f ca="1">IFERROR(__xludf.DUMMYFUNCTION("IF(Y2 = """", """", GOOGLETRANSLATE(Y2, ""en"", ""mr""))"),"")</f>
        <v/>
      </c>
      <c r="AH2" s="5" t="str">
        <f ca="1">IFERROR(__xludf.DUMMYFUNCTION("IF(Z2 = """", """", GOOGLETRANSLATE(Z2, ""en"", ""mr""))"),"")</f>
        <v/>
      </c>
      <c r="AI2" s="5" t="str">
        <f ca="1">IFERROR(__xludf.DUMMYFUNCTION("IF(AA2 = """", """", GOOGLETRANSLATE(AA2, ""en"", ""mr""))"),"")</f>
        <v/>
      </c>
      <c r="AJ2" s="5" t="str">
        <f ca="1">IFERROR(__xludf.DUMMYFUNCTION("IF(AB2 = """", """", GOOGLETRANSLATE(AB2, ""en"", ""mr""))"),"")</f>
        <v/>
      </c>
      <c r="AK2" s="5" t="str">
        <f ca="1">IFERROR(__xludf.DUMMYFUNCTION("IF(Y2 = """", """", GOOGLETRANSLATE(Y2, ""en"", ""gu""))"),"")</f>
        <v/>
      </c>
      <c r="AL2" s="5" t="str">
        <f ca="1">IFERROR(__xludf.DUMMYFUNCTION("IF(Z2 = """", """", GOOGLETRANSLATE(Z2, ""en"", ""gu""))"),"")</f>
        <v/>
      </c>
      <c r="AM2" s="5" t="str">
        <f ca="1">IFERROR(__xludf.DUMMYFUNCTION("IF(AA2 = """", """", GOOGLETRANSLATE(AA2, ""en"", ""gu""))"),"")</f>
        <v/>
      </c>
      <c r="AN2" s="5" t="str">
        <f ca="1">IFERROR(__xludf.DUMMYFUNCTION("IF(AB2 = """", """", GOOGLETRANSLATE(AB2, ""en"", ""gu""))"),"")</f>
        <v/>
      </c>
      <c r="AO2" s="5" t="str">
        <f ca="1">IFERROR(__xludf.DUMMYFUNCTION("IF(Y2 = """", """", GOOGLETRANSLATE(Y2, ""en"", ""bn""))"),"")</f>
        <v/>
      </c>
      <c r="AP2" s="5" t="str">
        <f ca="1">IFERROR(__xludf.DUMMYFUNCTION("IF(Z2 = """", """", GOOGLETRANSLATE(Z2, ""en"", ""bn""))"),"")</f>
        <v/>
      </c>
      <c r="AQ2" s="5" t="str">
        <f ca="1">IFERROR(__xludf.DUMMYFUNCTION("IF(AA2 = """", """", GOOGLETRANSLATE(AA2, ""en"", ""bn""))"),"")</f>
        <v/>
      </c>
      <c r="AR2" s="5" t="str">
        <f ca="1">IFERROR(__xludf.DUMMYFUNCTION("IF(AB2 = """", """", GOOGLETRANSLATE(AB2, ""en"", ""bn""))"),"")</f>
        <v/>
      </c>
      <c r="AS2" s="1" t="s">
        <v>62</v>
      </c>
      <c r="AT2" s="1" t="s">
        <v>63</v>
      </c>
      <c r="AU2" s="5" t="str">
        <f ca="1">IFERROR(__xludf.DUMMYFUNCTION("IF(Y2 = """", """", GOOGLETRANSLATE(Y2, ""en"", ""te""))"),"")</f>
        <v/>
      </c>
      <c r="AV2" s="5" t="str">
        <f ca="1">IFERROR(__xludf.DUMMYFUNCTION("IF(Z2 = """", """", GOOGLETRANSLATE(Z2, ""en"", ""te""))"),"")</f>
        <v/>
      </c>
      <c r="AW2" s="5" t="str">
        <f ca="1">IFERROR(__xludf.DUMMYFUNCTION("IF(AA2 = """", """", GOOGLETRANSLATE(AA2, ""en"", ""te""))"),"")</f>
        <v/>
      </c>
      <c r="AX2" s="5" t="str">
        <f ca="1">IFERROR(__xludf.DUMMYFUNCTION("IF(AB2 = """", """", GOOGLETRANSLATE(AB2, ""en"", ""te""))"),"")</f>
        <v/>
      </c>
    </row>
    <row r="3" spans="1:56" x14ac:dyDescent="0.25">
      <c r="A3" s="1">
        <v>8</v>
      </c>
      <c r="B3" s="1" t="s">
        <v>56</v>
      </c>
      <c r="C3" s="2">
        <v>45819</v>
      </c>
      <c r="D3" s="2">
        <v>45819</v>
      </c>
      <c r="E3" s="1">
        <v>7</v>
      </c>
      <c r="F3" s="1">
        <v>1</v>
      </c>
      <c r="G3" s="3" t="s">
        <v>57</v>
      </c>
      <c r="H3" s="4">
        <v>7.4305555555555557E-3</v>
      </c>
      <c r="I3" s="4">
        <v>4.3750000000000004E-3</v>
      </c>
      <c r="J3" s="4">
        <v>4.7337962962962967E-3</v>
      </c>
      <c r="K3" s="1" t="s">
        <v>58</v>
      </c>
      <c r="L3" s="1" t="s">
        <v>64</v>
      </c>
      <c r="M3" s="1" t="s">
        <v>14</v>
      </c>
      <c r="O3" s="1" t="s">
        <v>61</v>
      </c>
      <c r="P3" s="1" t="s">
        <v>61</v>
      </c>
      <c r="Q3" s="1" t="s">
        <v>61</v>
      </c>
      <c r="R3" s="1" t="s">
        <v>61</v>
      </c>
      <c r="S3" s="1" t="s">
        <v>61</v>
      </c>
      <c r="T3" s="1" t="s">
        <v>61</v>
      </c>
      <c r="V3" s="1" t="s">
        <v>61</v>
      </c>
      <c r="W3" s="1" t="s">
        <v>61</v>
      </c>
      <c r="X3" s="1" t="s">
        <v>61</v>
      </c>
      <c r="Y3" s="1" t="s">
        <v>65</v>
      </c>
      <c r="Z3" s="1" t="s">
        <v>66</v>
      </c>
      <c r="AA3" s="1" t="s">
        <v>16</v>
      </c>
      <c r="AB3" s="1" t="s">
        <v>67</v>
      </c>
      <c r="AC3" s="5" t="str">
        <f ca="1">IFERROR(__xludf.DUMMYFUNCTION("IF(Y3 = """", """", GOOGLETRANSLATE(Y3, ""en"", ""hi""))
"),"तनाव को कम करें")</f>
        <v>तनाव को कम करें</v>
      </c>
      <c r="AD3" s="5" t="str">
        <f ca="1">IFERROR(__xludf.DUMMYFUNCTION("IF(Z3 = """", """", GOOGLETRANSLATE(Z3, ""en"", ""hi""))"),"मान सम्मान में उत्पादक वृद्धि")</f>
        <v>मान सम्मान में उत्पादक वृद्धि</v>
      </c>
      <c r="AE3" s="5" t="str">
        <f ca="1">IFERROR(__xludf.DUMMYFUNCTION("IF(AA3 = """", """", GOOGLETRANSLATE(AA3, ""en"", ""hi""))"),"भाग्यशाली")</f>
        <v>भाग्यशाली</v>
      </c>
      <c r="AF3" s="5" t="str">
        <f ca="1">IFERROR(__xludf.DUMMYFUNCTION("IF(AB3 = """", """", GOOGLETRANSLATE(AB3, ""en"", ""hi""))"),"अच्छी खबर")</f>
        <v>अच्छी खबर</v>
      </c>
      <c r="AG3" s="5" t="str">
        <f ca="1">IFERROR(__xludf.DUMMYFUNCTION("IF(Y3 = """", """", GOOGLETRANSLATE(Y3, ""en"", ""mr""))"),"तणाव कमी करा")</f>
        <v>तणाव कमी करा</v>
      </c>
      <c r="AH3" s="5" t="str">
        <f ca="1">IFERROR(__xludf.DUMMYFUNCTION("IF(Z3 = """", """", GOOGLETRANSLATE(Z3, ""en"", ""mr""))"),"मान सन्मान (सन्मान) मध्ये उत्पादक वाढ")</f>
        <v>मान सन्मान (सन्मान) मध्ये उत्पादक वाढ</v>
      </c>
      <c r="AI3" s="5" t="str">
        <f ca="1">IFERROR(__xludf.DUMMYFUNCTION("IF(AA3 = """", """", GOOGLETRANSLATE(AA3, ""en"", ""mr""))"),"भाग्यवान")</f>
        <v>भाग्यवान</v>
      </c>
      <c r="AJ3" s="5" t="str">
        <f ca="1">IFERROR(__xludf.DUMMYFUNCTION("IF(AB3 = """", """", GOOGLETRANSLATE(AB3, ""en"", ""mr""))"),"चांगली बातमी")</f>
        <v>चांगली बातमी</v>
      </c>
      <c r="AK3" s="5" t="str">
        <f ca="1">IFERROR(__xludf.DUMMYFUNCTION("IF(Y3 = """", """", GOOGLETRANSLATE(Y3, ""en"", ""gu""))"),"તણાવ ઓછો કરો")</f>
        <v>તણાવ ઓછો કરો</v>
      </c>
      <c r="AL3" s="5" t="str">
        <f ca="1">IFERROR(__xludf.DUMMYFUNCTION("IF(Z3 = """", """", GOOGLETRANSLATE(Z3, ""en"", ""gu""))"),"માન સન્માન (સન્માન) માં ઉત્પાદક વધારો")</f>
        <v>માન સન્માન (સન્માન) માં ઉત્પાદક વધારો</v>
      </c>
      <c r="AM3" s="5" t="str">
        <f ca="1">IFERROR(__xludf.DUMMYFUNCTION("IF(AA3 = """", """", GOOGLETRANSLATE(AA3, ""en"", ""gu""))"),"નસીબદાર")</f>
        <v>નસીબદાર</v>
      </c>
      <c r="AN3" s="5" t="str">
        <f ca="1">IFERROR(__xludf.DUMMYFUNCTION("IF(AB3 = """", """", GOOGLETRANSLATE(AB3, ""en"", ""gu""))"),"સારા સમાચાર")</f>
        <v>સારા સમાચાર</v>
      </c>
      <c r="AO3" s="5" t="str">
        <f ca="1">IFERROR(__xludf.DUMMYFUNCTION("IF(Y3 = """", """", GOOGLETRANSLATE(Y3, ""en"", ""bn""))"),"চাপ কমাতে")</f>
        <v>চাপ কমাতে</v>
      </c>
      <c r="AP3" s="5" t="str">
        <f ca="1">IFERROR(__xludf.DUMMYFUNCTION("IF(Z3 = """", """", GOOGLETRANSLATE(Z3, ""en"", ""bn""))"),"মান সম্মানে উত্পাদনশীল বৃদ্ধি (সম্মান)")</f>
        <v>মান সম্মানে উত্পাদনশীল বৃদ্ধি (সম্মান)</v>
      </c>
      <c r="AQ3" s="5" t="str">
        <f ca="1">IFERROR(__xludf.DUMMYFUNCTION("IF(AA3 = """", """", GOOGLETRANSLATE(AA3, ""en"", ""bn""))"),"ভাগ্যবান")</f>
        <v>ভাগ্যবান</v>
      </c>
      <c r="AR3" s="5" t="str">
        <f ca="1">IFERROR(__xludf.DUMMYFUNCTION("IF(AB3 = """", """", GOOGLETRANSLATE(AB3, ""en"", ""bn""))"),"ভালো খবর")</f>
        <v>ভালো খবর</v>
      </c>
      <c r="AS3" s="1" t="s">
        <v>62</v>
      </c>
      <c r="AT3" s="1" t="s">
        <v>63</v>
      </c>
      <c r="AU3" s="5" t="str">
        <f ca="1">IFERROR(__xludf.DUMMYFUNCTION("IF(Y3 = """", """", GOOGLETRANSLATE(Y3, ""en"", ""te""))"),"ఒత్తిడిని తగ్గిస్తాయి")</f>
        <v>ఒత్తిడిని తగ్గిస్తాయి</v>
      </c>
      <c r="AV3" s="5" t="str">
        <f ca="1">IFERROR(__xludf.DUMMYFUNCTION("IF(Z3 = """", """", GOOGLETRANSLATE(Z3, ""en"", ""te""))"),"మాన్ సమ్మాన్ (గౌరవం)లో ఉత్పాదక పెరుగుదల")</f>
        <v>మాన్ సమ్మాన్ (గౌరవం)లో ఉత్పాదక పెరుగుదల</v>
      </c>
      <c r="AW3" s="5" t="str">
        <f ca="1">IFERROR(__xludf.DUMMYFUNCTION("IF(AA3 = """", """", GOOGLETRANSLATE(AA3, ""en"", ""te""))"),"అదృష్టవంతుడు")</f>
        <v>అదృష్టవంతుడు</v>
      </c>
      <c r="AX3" s="5" t="str">
        <f ca="1">IFERROR(__xludf.DUMMYFUNCTION("IF(AB3 = """", """", GOOGLETRANSLATE(AB3, ""en"", ""te""))"),"మంచి న్యూజ్")</f>
        <v>మంచి న్యూజ్</v>
      </c>
    </row>
    <row r="4" spans="1:56" x14ac:dyDescent="0.25">
      <c r="A4" s="1">
        <v>9</v>
      </c>
      <c r="B4" s="1" t="s">
        <v>56</v>
      </c>
      <c r="C4" s="2">
        <v>45819</v>
      </c>
      <c r="D4" s="2">
        <v>45819</v>
      </c>
      <c r="E4" s="1">
        <v>8</v>
      </c>
      <c r="F4" s="1">
        <v>1</v>
      </c>
      <c r="G4" s="3" t="s">
        <v>57</v>
      </c>
      <c r="H4" s="4">
        <v>7.4305555555555557E-3</v>
      </c>
      <c r="I4" s="4">
        <v>4.7337962962962967E-3</v>
      </c>
      <c r="J4" s="4">
        <v>5.4166666666666669E-3</v>
      </c>
      <c r="K4" s="1" t="s">
        <v>58</v>
      </c>
      <c r="L4" s="1" t="s">
        <v>68</v>
      </c>
      <c r="M4" s="1" t="s">
        <v>14</v>
      </c>
      <c r="O4" s="1" t="s">
        <v>61</v>
      </c>
      <c r="P4" s="1" t="s">
        <v>61</v>
      </c>
      <c r="Q4" s="1" t="s">
        <v>61</v>
      </c>
      <c r="R4" s="1" t="s">
        <v>61</v>
      </c>
      <c r="S4" s="1" t="s">
        <v>61</v>
      </c>
      <c r="T4" s="1" t="s">
        <v>61</v>
      </c>
      <c r="V4" s="1" t="s">
        <v>61</v>
      </c>
      <c r="W4" s="1" t="s">
        <v>61</v>
      </c>
      <c r="X4" s="1" t="s">
        <v>61</v>
      </c>
      <c r="Y4" s="1" t="s">
        <v>69</v>
      </c>
      <c r="Z4" s="1" t="s">
        <v>70</v>
      </c>
      <c r="AA4" s="1" t="s">
        <v>71</v>
      </c>
      <c r="AB4" s="1"/>
      <c r="AC4" s="5" t="str">
        <f ca="1">IFERROR(__xludf.DUMMYFUNCTION("IF(Y4 = """", """", GOOGLETRANSLATE(Y4, ""en"", ""hi""))
"),"लंबित कार्यों को पूरा करने का प्रयास करें")</f>
        <v>लंबित कार्यों को पूरा करने का प्रयास करें</v>
      </c>
      <c r="AD4" s="5" t="str">
        <f ca="1">IFERROR(__xludf.DUMMYFUNCTION("IF(Z4 = """", """", GOOGLETRANSLATE(Z4, ""en"", ""hi""))"),"अतिरिक्त कार्यभार")</f>
        <v>अतिरिक्त कार्यभार</v>
      </c>
      <c r="AE4" s="5" t="str">
        <f ca="1">IFERROR(__xludf.DUMMYFUNCTION("IF(AA4 = """", """", GOOGLETRANSLATE(AA4, ""en"", ""hi""))"),"काम पूरा करने के लिए ऊर्जावान महसूस करेंगे")</f>
        <v>काम पूरा करने के लिए ऊर्जावान महसूस करेंगे</v>
      </c>
      <c r="AG4" s="5" t="str">
        <f ca="1">IFERROR(__xludf.DUMMYFUNCTION("IF(Y4 = """", """", GOOGLETRANSLATE(Y4, ""en"", ""mr""))"),"प्रलंबित कामे पूर्ण करण्याचा प्रयत्न करा")</f>
        <v>प्रलंबित कामे पूर्ण करण्याचा प्रयत्न करा</v>
      </c>
      <c r="AH4" s="5" t="str">
        <f ca="1">IFERROR(__xludf.DUMMYFUNCTION("IF(Z4 = """", """", GOOGLETRANSLATE(Z4, ""en"", ""mr""))"),"अतिरिक्त कामाचा ताण")</f>
        <v>अतिरिक्त कामाचा ताण</v>
      </c>
      <c r="AI4" s="5" t="str">
        <f ca="1">IFERROR(__xludf.DUMMYFUNCTION("IF(AA4 = """", """", GOOGLETRANSLATE(AA4, ""en"", ""mr""))"),"काम पूर्ण करण्यासाठी उत्साही वाटेल")</f>
        <v>काम पूर्ण करण्यासाठी उत्साही वाटेल</v>
      </c>
      <c r="AJ4" s="5" t="str">
        <f ca="1">IFERROR(__xludf.DUMMYFUNCTION("IF(AB4 = """", """", GOOGLETRANSLATE(AB4, ""en"", ""mr""))"),"")</f>
        <v/>
      </c>
      <c r="AK4" s="5" t="str">
        <f ca="1">IFERROR(__xludf.DUMMYFUNCTION("IF(Y4 = """", """", GOOGLETRANSLATE(Y4, ""en"", ""gu""))"),"બાકી કામો પૂરા કરવાનો પ્રયાસ કરો")</f>
        <v>બાકી કામો પૂરા કરવાનો પ્રયાસ કરો</v>
      </c>
      <c r="AL4" s="5" t="str">
        <f ca="1">IFERROR(__xludf.DUMMYFUNCTION("IF(Z4 = """", """", GOOGLETRANSLATE(Z4, ""en"", ""gu""))"),"વધારાના વર્કલોડ")</f>
        <v>વધારાના વર્કલોડ</v>
      </c>
      <c r="AM4" s="5" t="str">
        <f ca="1">IFERROR(__xludf.DUMMYFUNCTION("IF(AA4 = """", """", GOOGLETRANSLATE(AA4, ""en"", ""gu""))"),"કાર્ય પૂર્ણ કરવા માટે ઉત્સાહ અનુભવશો")</f>
        <v>કાર્ય પૂર્ણ કરવા માટે ઉત્સાહ અનુભવશો</v>
      </c>
      <c r="AN4" s="5" t="str">
        <f ca="1">IFERROR(__xludf.DUMMYFUNCTION("IF(AB4 = """", """", GOOGLETRANSLATE(AB4, ""en"", ""gu""))"),"")</f>
        <v/>
      </c>
      <c r="AO4" s="5" t="str">
        <f ca="1">IFERROR(__xludf.DUMMYFUNCTION("IF(Y4 = """", """", GOOGLETRANSLATE(Y4, ""en"", ""bn""))"),"মুলতুবি কাজগুলি সম্পূর্ণ করার চেষ্টা করুন")</f>
        <v>মুলতুবি কাজগুলি সম্পূর্ণ করার চেষ্টা করুন</v>
      </c>
      <c r="AP4" s="5" t="str">
        <f ca="1">IFERROR(__xludf.DUMMYFUNCTION("IF(Z4 = """", """", GOOGLETRANSLATE(Z4, ""en"", ""bn""))"),"অতিরিক্ত কাজের চাপ")</f>
        <v>অতিরিক্ত কাজের চাপ</v>
      </c>
      <c r="AQ4" s="5" t="str">
        <f ca="1">IFERROR(__xludf.DUMMYFUNCTION("IF(AA4 = """", """", GOOGLETRANSLATE(AA4, ""en"", ""bn""))"),"কাজ সম্পূর্ণ করতে উদ্যমী বোধ করবেন")</f>
        <v>কাজ সম্পূর্ণ করতে উদ্যমী বোধ করবেন</v>
      </c>
      <c r="AR4" s="5" t="str">
        <f ca="1">IFERROR(__xludf.DUMMYFUNCTION("IF(AB4 = """", """", GOOGLETRANSLATE(AB4, ""en"", ""bn""))"),"")</f>
        <v/>
      </c>
      <c r="AS4" s="1" t="s">
        <v>62</v>
      </c>
      <c r="AT4" s="1" t="s">
        <v>63</v>
      </c>
      <c r="AU4" s="5" t="str">
        <f ca="1">IFERROR(__xludf.DUMMYFUNCTION("IF(Y4 = """", """", GOOGLETRANSLATE(Y4, ""en"", ""te""))"),"పెండింగ్‌ పనులు పూర్తి చేసేందుకు ప్రయత్నిస్తారు")</f>
        <v>పెండింగ్‌ పనులు పూర్తి చేసేందుకు ప్రయత్నిస్తారు</v>
      </c>
      <c r="AV4" s="5" t="str">
        <f ca="1">IFERROR(__xludf.DUMMYFUNCTION("IF(Z4 = """", """", GOOGLETRANSLATE(Z4, ""en"", ""te""))"),"అదనపు పనిభారం")</f>
        <v>అదనపు పనిభారం</v>
      </c>
      <c r="AW4" s="5" t="str">
        <f ca="1">IFERROR(__xludf.DUMMYFUNCTION("IF(AA4 = """", """", GOOGLETRANSLATE(AA4, ""en"", ""te""))"),"పని పూర్తి చేయడానికి శక్తివంతంగా భావిస్తారు")</f>
        <v>పని పూర్తి చేయడానికి శక్తివంతంగా భావిస్తారు</v>
      </c>
      <c r="AX4" s="5" t="str">
        <f ca="1">IFERROR(__xludf.DUMMYFUNCTION("IF(AB4 = """", """", GOOGLETRANSLATE(AB4, ""en"", ""te""))"),"")</f>
        <v/>
      </c>
    </row>
    <row r="5" spans="1:56" x14ac:dyDescent="0.25">
      <c r="A5" s="1">
        <v>10</v>
      </c>
      <c r="B5" s="1" t="s">
        <v>56</v>
      </c>
      <c r="C5" s="2">
        <v>45819</v>
      </c>
      <c r="D5" s="2">
        <v>45819</v>
      </c>
      <c r="E5" s="1">
        <v>9</v>
      </c>
      <c r="F5" s="1">
        <v>1</v>
      </c>
      <c r="G5" s="3" t="s">
        <v>57</v>
      </c>
      <c r="H5" s="4">
        <v>7.4305555555555557E-3</v>
      </c>
      <c r="I5" s="4">
        <v>5.4166666666666669E-3</v>
      </c>
      <c r="J5" s="4">
        <v>5.8333333333333336E-3</v>
      </c>
      <c r="K5" s="1" t="s">
        <v>58</v>
      </c>
      <c r="L5" s="1" t="s">
        <v>72</v>
      </c>
      <c r="M5" s="1" t="s">
        <v>19</v>
      </c>
      <c r="O5" s="1" t="s">
        <v>61</v>
      </c>
      <c r="P5" s="1" t="s">
        <v>61</v>
      </c>
      <c r="Q5" s="1" t="s">
        <v>61</v>
      </c>
      <c r="R5" s="1" t="s">
        <v>61</v>
      </c>
      <c r="S5" s="1" t="s">
        <v>61</v>
      </c>
      <c r="T5" s="1" t="s">
        <v>61</v>
      </c>
      <c r="V5" s="1" t="s">
        <v>61</v>
      </c>
      <c r="W5" s="1" t="s">
        <v>61</v>
      </c>
      <c r="X5" s="1" t="s">
        <v>61</v>
      </c>
      <c r="Y5" s="1" t="s">
        <v>73</v>
      </c>
      <c r="Z5" s="1" t="s">
        <v>74</v>
      </c>
      <c r="AA5" s="1" t="s">
        <v>75</v>
      </c>
      <c r="AB5" s="1"/>
      <c r="AC5" s="5" t="str">
        <f ca="1">IFERROR(__xludf.DUMMYFUNCTION("IF(Y5 = """", """", GOOGLETRANSLATE(Y5, ""en"", ""hi""))
"),"अराजक स्थिति")</f>
        <v>अराजक स्थिति</v>
      </c>
      <c r="AD5" s="5" t="str">
        <f ca="1">IFERROR(__xludf.DUMMYFUNCTION("IF(Z5 = """", """", GOOGLETRANSLATE(Z5, ""en"", ""hi""))"),"पूरी तरह देख - रेख करो")</f>
        <v>पूरी तरह देख - रेख करो</v>
      </c>
      <c r="AE5" s="5" t="str">
        <f ca="1">IFERROR(__xludf.DUMMYFUNCTION("IF(AA5 = """", """", GOOGLETRANSLATE(AA5, ""en"", ""hi""))"),"सामाजिक और पारिवारिक जिम्मेदारियों पर ध्यान")</f>
        <v>सामाजिक और पारिवारिक जिम्मेदारियों पर ध्यान</v>
      </c>
      <c r="AG5" s="5" t="str">
        <f ca="1">IFERROR(__xludf.DUMMYFUNCTION("IF(Y5 = """", """", GOOGLETRANSLATE(Y5, ""en"", ""mr""))"),"गोंधळलेली परिस्थिती")</f>
        <v>गोंधळलेली परिस्थिती</v>
      </c>
      <c r="AH5" s="5" t="str">
        <f ca="1">IFERROR(__xludf.DUMMYFUNCTION("IF(Z5 = """", """", GOOGLETRANSLATE(Z5, ""en"", ""mr""))"),"खूप ठेवा")</f>
        <v>खूप ठेवा</v>
      </c>
      <c r="AI5" s="5" t="str">
        <f ca="1">IFERROR(__xludf.DUMMYFUNCTION("IF(AA5 = """", """", GOOGLETRANSLATE(AA5, ""en"", ""mr""))"),"सामाजिक आणि कौटुंबिक जबाबदाऱ्यांकडे लक्ष द्या")</f>
        <v>सामाजिक आणि कौटुंबिक जबाबदाऱ्यांकडे लक्ष द्या</v>
      </c>
      <c r="AJ5" s="5" t="str">
        <f ca="1">IFERROR(__xludf.DUMMYFUNCTION("IF(AB5 = """", """", GOOGLETRANSLATE(AB5, ""en"", ""mr""))"),"")</f>
        <v/>
      </c>
      <c r="AK5" s="5" t="str">
        <f ca="1">IFERROR(__xludf.DUMMYFUNCTION("IF(Y5 = """", """", GOOGLETRANSLATE(Y5, ""en"", ""gu""))"),"અસ્તવ્યસ્ત પરિસ્થિતિ")</f>
        <v>અસ્તવ્યસ્ત પરિસ્થિતિ</v>
      </c>
      <c r="AL5" s="5" t="str">
        <f ca="1">IFERROR(__xludf.DUMMYFUNCTION("IF(Z5 = """", """", GOOGLETRANSLATE(Z5, ""en"", ""gu""))"),"તદ્દન રાખો")</f>
        <v>તદ્દન રાખો</v>
      </c>
      <c r="AM5" s="5" t="str">
        <f ca="1">IFERROR(__xludf.DUMMYFUNCTION("IF(AA5 = """", """", GOOGLETRANSLATE(AA5, ""en"", ""gu""))"),"સામાજિક અને પારિવારિક જવાબદારીઓ તરફ ધ્યાન આપો")</f>
        <v>સામાજિક અને પારિવારિક જવાબદારીઓ તરફ ધ્યાન આપો</v>
      </c>
      <c r="AN5" s="5" t="str">
        <f ca="1">IFERROR(__xludf.DUMMYFUNCTION("IF(AB5 = """", """", GOOGLETRANSLATE(AB5, ""en"", ""gu""))"),"")</f>
        <v/>
      </c>
      <c r="AO5" s="5" t="str">
        <f ca="1">IFERROR(__xludf.DUMMYFUNCTION("IF(Y5 = """", """", GOOGLETRANSLATE(Y5, ""en"", ""bn""))"),"বিশৃঙ্খল পরিস্থিতি")</f>
        <v>বিশৃঙ্খল পরিস্থিতি</v>
      </c>
      <c r="AP5" s="5" t="str">
        <f ca="1">IFERROR(__xludf.DUMMYFUNCTION("IF(Z5 = """", """", GOOGLETRANSLATE(Z5, ""en"", ""bn""))"),"বেশ রাখা")</f>
        <v>বেশ রাখা</v>
      </c>
      <c r="AQ5" s="5" t="str">
        <f ca="1">IFERROR(__xludf.DUMMYFUNCTION("IF(AA5 = """", """", GOOGLETRANSLATE(AA5, ""en"", ""bn""))"),"সামাজিক এবং পারিবারিক দায়িত্বের প্রতি মনোযোগ")</f>
        <v>সামাজিক এবং পারিবারিক দায়িত্বের প্রতি মনোযোগ</v>
      </c>
      <c r="AR5" s="5" t="str">
        <f ca="1">IFERROR(__xludf.DUMMYFUNCTION("IF(AB5 = """", """", GOOGLETRANSLATE(AB5, ""en"", ""bn""))"),"")</f>
        <v/>
      </c>
      <c r="AS5" s="1" t="s">
        <v>62</v>
      </c>
      <c r="AT5" s="1" t="s">
        <v>63</v>
      </c>
      <c r="AU5" s="5" t="str">
        <f ca="1">IFERROR(__xludf.DUMMYFUNCTION("IF(Y5 = """", """", GOOGLETRANSLATE(Y5, ""en"", ""te""))"),"అస్తవ్యస్త పరిస్థితి")</f>
        <v>అస్తవ్యస్త పరిస్థితి</v>
      </c>
      <c r="AV5" s="5" t="str">
        <f ca="1">IFERROR(__xludf.DUMMYFUNCTION("IF(Z5 = """", """", GOOGLETRANSLATE(Z5, ""en"", ""te""))"),"చాలా ఉంచండి")</f>
        <v>చాలా ఉంచండి</v>
      </c>
      <c r="AW5" s="5" t="str">
        <f ca="1">IFERROR(__xludf.DUMMYFUNCTION("IF(AA5 = """", """", GOOGLETRANSLATE(AA5, ""en"", ""te""))"),"సామాజిక మరియు కుటుంబ బాధ్యతలపై శ్రద్ధ")</f>
        <v>సామాజిక మరియు కుటుంబ బాధ్యతలపై శ్రద్ధ</v>
      </c>
      <c r="AX5" s="5" t="str">
        <f ca="1">IFERROR(__xludf.DUMMYFUNCTION("IF(AB5 = """", """", GOOGLETRANSLATE(AB5, ""en"", ""te""))"),"")</f>
        <v/>
      </c>
    </row>
    <row r="6" spans="1:56" x14ac:dyDescent="0.25">
      <c r="A6" s="1">
        <v>11</v>
      </c>
      <c r="B6" s="1" t="s">
        <v>56</v>
      </c>
      <c r="C6" s="2">
        <v>45819</v>
      </c>
      <c r="D6" s="2">
        <v>45819</v>
      </c>
      <c r="E6" s="1">
        <v>10</v>
      </c>
      <c r="F6" s="1">
        <v>1</v>
      </c>
      <c r="G6" s="3" t="s">
        <v>57</v>
      </c>
      <c r="H6" s="4">
        <v>7.4305555555555557E-3</v>
      </c>
      <c r="I6" s="4">
        <v>5.8333333333333336E-3</v>
      </c>
      <c r="J6" s="4">
        <v>6.4699074074074077E-3</v>
      </c>
      <c r="K6" s="1" t="s">
        <v>58</v>
      </c>
      <c r="L6" s="1" t="s">
        <v>76</v>
      </c>
      <c r="M6" s="1" t="s">
        <v>14</v>
      </c>
      <c r="O6" s="1" t="s">
        <v>61</v>
      </c>
      <c r="P6" s="1" t="s">
        <v>61</v>
      </c>
      <c r="Q6" s="1" t="s">
        <v>61</v>
      </c>
      <c r="R6" s="1" t="s">
        <v>61</v>
      </c>
      <c r="S6" s="1" t="s">
        <v>61</v>
      </c>
      <c r="T6" s="1" t="s">
        <v>61</v>
      </c>
      <c r="V6" s="1" t="s">
        <v>61</v>
      </c>
      <c r="W6" s="1" t="s">
        <v>61</v>
      </c>
      <c r="X6" s="1" t="s">
        <v>61</v>
      </c>
      <c r="Y6" s="1" t="s">
        <v>77</v>
      </c>
      <c r="Z6" s="1" t="s">
        <v>78</v>
      </c>
      <c r="AB6" s="1"/>
      <c r="AC6" s="5" t="str">
        <f ca="1">IFERROR(__xludf.DUMMYFUNCTION("IF(Y6 = """", """", GOOGLETRANSLATE(Y6, ""en"", ""hi""))
"),"सावधान रहें, वादा न करें")</f>
        <v>सावधान रहें, वादा न करें</v>
      </c>
      <c r="AD6" s="5" t="str">
        <f ca="1">IFERROR(__xludf.DUMMYFUNCTION("IF(Z6 = """", """", GOOGLETRANSLATE(Z6, ""en"", ""hi""))"),"कानूनी मुद्दों")</f>
        <v>कानूनी मुद्दों</v>
      </c>
      <c r="AE6" s="5" t="str">
        <f ca="1">IFERROR(__xludf.DUMMYFUNCTION("IF(AA6 = """", """", GOOGLETRANSLATE(AA6, ""en"", ""hi""))"),"")</f>
        <v/>
      </c>
      <c r="AG6" s="5" t="str">
        <f ca="1">IFERROR(__xludf.DUMMYFUNCTION("IF(Y6 = """", """", GOOGLETRANSLATE(Y6, ""en"", ""mr""))"),"सावधगिरीचे वचन देऊ नका")</f>
        <v>सावधगिरीचे वचन देऊ नका</v>
      </c>
      <c r="AH6" s="5" t="str">
        <f ca="1">IFERROR(__xludf.DUMMYFUNCTION("IF(Z6 = """", """", GOOGLETRANSLATE(Z6, ""en"", ""mr""))"),"कायदेशीर समस्या")</f>
        <v>कायदेशीर समस्या</v>
      </c>
      <c r="AI6" s="5" t="str">
        <f ca="1">IFERROR(__xludf.DUMMYFUNCTION("IF(AA6 = """", """", GOOGLETRANSLATE(AA6, ""en"", ""mr""))"),"")</f>
        <v/>
      </c>
      <c r="AJ6" s="5" t="str">
        <f ca="1">IFERROR(__xludf.DUMMYFUNCTION("IF(AB6 = """", """", GOOGLETRANSLATE(AB6, ""en"", ""mr""))"),"")</f>
        <v/>
      </c>
      <c r="AK6" s="5" t="str">
        <f ca="1">IFERROR(__xludf.DUMMYFUNCTION("IF(Y6 = """", """", GOOGLETRANSLATE(Y6, ""en"", ""gu""))"),"સાવચેતી વચન આપશો નહીં")</f>
        <v>સાવચેતી વચન આપશો નહીં</v>
      </c>
      <c r="AL6" s="5" t="str">
        <f ca="1">IFERROR(__xludf.DUMMYFUNCTION("IF(Z6 = """", """", GOOGLETRANSLATE(Z6, ""en"", ""gu""))"),"કાનૂની મુદ્દાઓ")</f>
        <v>કાનૂની મુદ્દાઓ</v>
      </c>
      <c r="AM6" s="5" t="str">
        <f ca="1">IFERROR(__xludf.DUMMYFUNCTION("IF(AA6 = """", """", GOOGLETRANSLATE(AA6, ""en"", ""gu""))"),"")</f>
        <v/>
      </c>
      <c r="AN6" s="5" t="str">
        <f ca="1">IFERROR(__xludf.DUMMYFUNCTION("IF(AB6 = """", """", GOOGLETRANSLATE(AB6, ""en"", ""gu""))"),"")</f>
        <v/>
      </c>
      <c r="AO6" s="5" t="str">
        <f ca="1">IFERROR(__xludf.DUMMYFUNCTION("IF(Y6 = """", """", GOOGLETRANSLATE(Y6, ""en"", ""bn""))"),"সতর্কতা প্রতিশ্রুতি দেয় না")</f>
        <v>সতর্কতা প্রতিশ্রুতি দেয় না</v>
      </c>
      <c r="AP6" s="5" t="str">
        <f ca="1">IFERROR(__xludf.DUMMYFUNCTION("IF(Z6 = """", """", GOOGLETRANSLATE(Z6, ""en"", ""bn""))"),"আইনি সমস্যা")</f>
        <v>আইনি সমস্যা</v>
      </c>
      <c r="AQ6" s="5" t="str">
        <f ca="1">IFERROR(__xludf.DUMMYFUNCTION("IF(AA6 = """", """", GOOGLETRANSLATE(AA6, ""en"", ""bn""))"),"")</f>
        <v/>
      </c>
      <c r="AR6" s="5" t="str">
        <f ca="1">IFERROR(__xludf.DUMMYFUNCTION("IF(AB6 = """", """", GOOGLETRANSLATE(AB6, ""en"", ""bn""))"),"")</f>
        <v/>
      </c>
      <c r="AS6" s="1" t="s">
        <v>62</v>
      </c>
      <c r="AT6" s="1" t="s">
        <v>63</v>
      </c>
      <c r="AU6" s="5" t="str">
        <f ca="1">IFERROR(__xludf.DUMMYFUNCTION("IF(Y6 = """", """", GOOGLETRANSLATE(Y6, ""en"", ""te""))"),"జాగ్రత్త వాగ్దానం చేయవద్దు")</f>
        <v>జాగ్రత్త వాగ్దానం చేయవద్దు</v>
      </c>
      <c r="AV6" s="5" t="str">
        <f ca="1">IFERROR(__xludf.DUMMYFUNCTION("IF(Z6 = """", """", GOOGLETRANSLATE(Z6, ""en"", ""te""))"),"చట్టపరమైన సమస్యలు")</f>
        <v>చట్టపరమైన సమస్యలు</v>
      </c>
      <c r="AW6" s="5" t="str">
        <f ca="1">IFERROR(__xludf.DUMMYFUNCTION("IF(AA6 = """", """", GOOGLETRANSLATE(AA6, ""en"", ""te""))"),"")</f>
        <v/>
      </c>
      <c r="AX6" s="5" t="str">
        <f ca="1">IFERROR(__xludf.DUMMYFUNCTION("IF(AB6 = """", """", GOOGLETRANSLATE(AB6, ""en"", ""te""))"),"")</f>
        <v/>
      </c>
    </row>
    <row r="7" spans="1:56" x14ac:dyDescent="0.25">
      <c r="A7" s="1">
        <v>12</v>
      </c>
      <c r="B7" s="1" t="s">
        <v>56</v>
      </c>
      <c r="C7" s="2">
        <v>45819</v>
      </c>
      <c r="D7" s="2">
        <v>45819</v>
      </c>
      <c r="E7" s="1">
        <v>11</v>
      </c>
      <c r="F7" s="1">
        <v>1</v>
      </c>
      <c r="G7" s="3" t="s">
        <v>57</v>
      </c>
      <c r="H7" s="4">
        <v>7.4305555555555557E-3</v>
      </c>
      <c r="I7" s="4">
        <v>6.4699074074074077E-3</v>
      </c>
      <c r="J7" s="4">
        <v>6.8402777777777776E-3</v>
      </c>
      <c r="K7" s="1" t="s">
        <v>58</v>
      </c>
      <c r="L7" s="1" t="s">
        <v>79</v>
      </c>
      <c r="M7" s="1" t="s">
        <v>14</v>
      </c>
      <c r="O7" s="1" t="s">
        <v>61</v>
      </c>
      <c r="P7" s="1" t="s">
        <v>61</v>
      </c>
      <c r="Q7" s="1" t="s">
        <v>61</v>
      </c>
      <c r="R7" s="1" t="s">
        <v>61</v>
      </c>
      <c r="S7" s="1" t="s">
        <v>61</v>
      </c>
      <c r="T7" s="1" t="s">
        <v>61</v>
      </c>
      <c r="V7" s="1" t="s">
        <v>61</v>
      </c>
      <c r="W7" s="1" t="s">
        <v>61</v>
      </c>
      <c r="X7" s="1" t="s">
        <v>61</v>
      </c>
      <c r="Y7" s="1" t="s">
        <v>70</v>
      </c>
      <c r="Z7" s="1" t="s">
        <v>80</v>
      </c>
      <c r="AB7" s="1"/>
      <c r="AC7" s="5" t="str">
        <f ca="1">IFERROR(__xludf.DUMMYFUNCTION("IF(Y7 = """", """", GOOGLETRANSLATE(Y7, ""en"", ""hi""))
"),"अतिरिक्त कार्यभार")</f>
        <v>अतिरिक्त कार्यभार</v>
      </c>
      <c r="AD7" s="5" t="str">
        <f ca="1">IFERROR(__xludf.DUMMYFUNCTION("IF(Z7 = """", """", GOOGLETRANSLATE(Z7, ""en"", ""hi""))"),"संतुष्टि के साथ थका देने वाला दिन")</f>
        <v>संतुष्टि के साथ थका देने वाला दिन</v>
      </c>
      <c r="AE7" s="5" t="str">
        <f ca="1">IFERROR(__xludf.DUMMYFUNCTION("IF(AA7 = """", """", GOOGLETRANSLATE(AA7, ""en"", ""hi""))"),"")</f>
        <v/>
      </c>
      <c r="AG7" s="5" t="str">
        <f ca="1">IFERROR(__xludf.DUMMYFUNCTION("IF(Y7 = """", """", GOOGLETRANSLATE(Y7, ""en"", ""mr""))"),"अतिरिक्त कामाचा ताण")</f>
        <v>अतिरिक्त कामाचा ताण</v>
      </c>
      <c r="AH7" s="5" t="str">
        <f ca="1">IFERROR(__xludf.DUMMYFUNCTION("IF(Z7 = """", """", GOOGLETRANSLATE(Z7, ""en"", ""mr""))"),"समाधानाने थकवणारा दिवस")</f>
        <v>समाधानाने थकवणारा दिवस</v>
      </c>
      <c r="AI7" s="5" t="str">
        <f ca="1">IFERROR(__xludf.DUMMYFUNCTION("IF(AA7 = """", """", GOOGLETRANSLATE(AA7, ""en"", ""mr""))"),"")</f>
        <v/>
      </c>
      <c r="AJ7" s="5" t="str">
        <f ca="1">IFERROR(__xludf.DUMMYFUNCTION("IF(AB7 = """", """", GOOGLETRANSLATE(AB7, ""en"", ""mr""))"),"")</f>
        <v/>
      </c>
      <c r="AK7" s="5" t="str">
        <f ca="1">IFERROR(__xludf.DUMMYFUNCTION("IF(Y7 = """", """", GOOGLETRANSLATE(Y7, ""en"", ""gu""))"),"વધારાના વર્કલોડ")</f>
        <v>વધારાના વર્કલોડ</v>
      </c>
      <c r="AL7" s="5" t="str">
        <f ca="1">IFERROR(__xludf.DUMMYFUNCTION("IF(Z7 = """", """", GOOGLETRANSLATE(Z7, ""en"", ""gu""))"),"સંતોષ સાથે કંટાળાજનક દિવસ")</f>
        <v>સંતોષ સાથે કંટાળાજનક દિવસ</v>
      </c>
      <c r="AM7" s="5" t="str">
        <f ca="1">IFERROR(__xludf.DUMMYFUNCTION("IF(AA7 = """", """", GOOGLETRANSLATE(AA7, ""en"", ""gu""))"),"")</f>
        <v/>
      </c>
      <c r="AN7" s="5" t="str">
        <f ca="1">IFERROR(__xludf.DUMMYFUNCTION("IF(AB7 = """", """", GOOGLETRANSLATE(AB7, ""en"", ""gu""))"),"")</f>
        <v/>
      </c>
      <c r="AO7" s="5" t="str">
        <f ca="1">IFERROR(__xludf.DUMMYFUNCTION("IF(Y7 = """", """", GOOGLETRANSLATE(Y7, ""en"", ""bn""))"),"অতিরিক্ত কাজের চাপ")</f>
        <v>অতিরিক্ত কাজের চাপ</v>
      </c>
      <c r="AP7" s="5" t="str">
        <f ca="1">IFERROR(__xludf.DUMMYFUNCTION("IF(Z7 = """", """", GOOGLETRANSLATE(Z7, ""en"", ""bn""))"),"তৃপ্তির সাথে ক্লান্তিকর দিন")</f>
        <v>তৃপ্তির সাথে ক্লান্তিকর দিন</v>
      </c>
      <c r="AQ7" s="5" t="str">
        <f ca="1">IFERROR(__xludf.DUMMYFUNCTION("IF(AA7 = """", """", GOOGLETRANSLATE(AA7, ""en"", ""bn""))"),"")</f>
        <v/>
      </c>
      <c r="AR7" s="5" t="str">
        <f ca="1">IFERROR(__xludf.DUMMYFUNCTION("IF(AB7 = """", """", GOOGLETRANSLATE(AB7, ""en"", ""bn""))"),"")</f>
        <v/>
      </c>
      <c r="AS7" s="1" t="s">
        <v>62</v>
      </c>
      <c r="AT7" s="1" t="s">
        <v>63</v>
      </c>
      <c r="AU7" s="5" t="str">
        <f ca="1">IFERROR(__xludf.DUMMYFUNCTION("IF(Y7 = """", """", GOOGLETRANSLATE(Y7, ""en"", ""te""))"),"అదనపు పనిభారం")</f>
        <v>అదనపు పనిభారం</v>
      </c>
      <c r="AV7" s="5" t="str">
        <f ca="1">IFERROR(__xludf.DUMMYFUNCTION("IF(Z7 = """", """", GOOGLETRANSLATE(Z7, ""en"", ""te""))"),"సంతృప్తితో అలసిపోయే రోజు")</f>
        <v>సంతృప్తితో అలసిపోయే రోజు</v>
      </c>
      <c r="AW7" s="5" t="str">
        <f ca="1">IFERROR(__xludf.DUMMYFUNCTION("IF(AA7 = """", """", GOOGLETRANSLATE(AA7, ""en"", ""te""))"),"")</f>
        <v/>
      </c>
      <c r="AX7" s="5" t="str">
        <f ca="1">IFERROR(__xludf.DUMMYFUNCTION("IF(AB7 = """", """", GOOGLETRANSLATE(AB7, ""en"", ""te""))"),"")</f>
        <v/>
      </c>
    </row>
    <row r="8" spans="1:56" x14ac:dyDescent="0.25">
      <c r="A8" s="1">
        <v>13</v>
      </c>
      <c r="B8" s="1" t="s">
        <v>56</v>
      </c>
      <c r="C8" s="2">
        <v>45819</v>
      </c>
      <c r="D8" s="2">
        <v>45819</v>
      </c>
      <c r="E8" s="1">
        <v>12</v>
      </c>
      <c r="F8" s="1">
        <v>1</v>
      </c>
      <c r="G8" s="3" t="s">
        <v>57</v>
      </c>
      <c r="H8" s="4">
        <v>7.4305555555555557E-3</v>
      </c>
      <c r="I8" s="4">
        <v>6.8402777777777776E-3</v>
      </c>
      <c r="J8" s="4">
        <v>7.4305555555555557E-3</v>
      </c>
      <c r="K8" s="1" t="s">
        <v>58</v>
      </c>
      <c r="L8" s="1" t="s">
        <v>81</v>
      </c>
      <c r="M8" s="1" t="s">
        <v>82</v>
      </c>
      <c r="O8" s="1" t="s">
        <v>61</v>
      </c>
      <c r="P8" s="1" t="s">
        <v>61</v>
      </c>
      <c r="Q8" s="1" t="s">
        <v>61</v>
      </c>
      <c r="R8" s="1" t="s">
        <v>61</v>
      </c>
      <c r="S8" s="1" t="s">
        <v>61</v>
      </c>
      <c r="T8" s="1" t="s">
        <v>61</v>
      </c>
      <c r="V8" s="1" t="s">
        <v>61</v>
      </c>
      <c r="W8" s="1" t="s">
        <v>61</v>
      </c>
      <c r="X8" s="1" t="s">
        <v>61</v>
      </c>
      <c r="Y8" s="1" t="s">
        <v>70</v>
      </c>
      <c r="Z8" s="1" t="s">
        <v>83</v>
      </c>
      <c r="AA8" s="1" t="s">
        <v>84</v>
      </c>
      <c r="AB8" s="1"/>
      <c r="AC8" s="5" t="str">
        <f ca="1">IFERROR(__xludf.DUMMYFUNCTION("IF(Y8 = """", """", GOOGLETRANSLATE(Y8, ""en"", ""hi""))
"),"अतिरिक्त कार्यभार")</f>
        <v>अतिरिक्त कार्यभार</v>
      </c>
      <c r="AD8" s="5" t="str">
        <f ca="1">IFERROR(__xludf.DUMMYFUNCTION("IF(Z8 = """", """", GOOGLETRANSLATE(Z8, ""en"", ""hi""))"),"लंबित कार्य")</f>
        <v>लंबित कार्य</v>
      </c>
      <c r="AE8" s="5" t="str">
        <f ca="1">IFERROR(__xludf.DUMMYFUNCTION("IF(AA8 = """", """", GOOGLETRANSLATE(AA8, ""en"", ""hi""))"),"थकाऊ दिन")</f>
        <v>थकाऊ दिन</v>
      </c>
      <c r="AG8" s="5" t="str">
        <f ca="1">IFERROR(__xludf.DUMMYFUNCTION("IF(Y8 = """", """", GOOGLETRANSLATE(Y8, ""en"", ""mr""))"),"अतिरिक्त कामाचा ताण")</f>
        <v>अतिरिक्त कामाचा ताण</v>
      </c>
      <c r="AH8" s="5" t="str">
        <f ca="1">IFERROR(__xludf.DUMMYFUNCTION("IF(Z8 = """", """", GOOGLETRANSLATE(Z8, ""en"", ""mr""))"),"प्रलंबित कामे")</f>
        <v>प्रलंबित कामे</v>
      </c>
      <c r="AI8" s="5" t="str">
        <f ca="1">IFERROR(__xludf.DUMMYFUNCTION("IF(AA8 = """", """", GOOGLETRANSLATE(AA8, ""en"", ""mr""))"),"थकवणारा दिवस")</f>
        <v>थकवणारा दिवस</v>
      </c>
      <c r="AJ8" s="5" t="str">
        <f ca="1">IFERROR(__xludf.DUMMYFUNCTION("IF(AB8 = """", """", GOOGLETRANSLATE(AB8, ""en"", ""mr""))"),"")</f>
        <v/>
      </c>
      <c r="AK8" s="5" t="str">
        <f ca="1">IFERROR(__xludf.DUMMYFUNCTION("IF(Y8 = """", """", GOOGLETRANSLATE(Y8, ""en"", ""gu""))"),"વધારાના વર્કલોડ")</f>
        <v>વધારાના વર્કલોડ</v>
      </c>
      <c r="AL8" s="5" t="str">
        <f ca="1">IFERROR(__xludf.DUMMYFUNCTION("IF(Z8 = """", """", GOOGLETRANSLATE(Z8, ""en"", ""gu""))"),"બાકી કામો")</f>
        <v>બાકી કામો</v>
      </c>
      <c r="AM8" s="5" t="str">
        <f ca="1">IFERROR(__xludf.DUMMYFUNCTION("IF(AA8 = """", """", GOOGLETRANSLATE(AA8, ""en"", ""gu""))"),"કંટાળાજનક દિવસ")</f>
        <v>કંટાળાજનક દિવસ</v>
      </c>
      <c r="AN8" s="5" t="str">
        <f ca="1">IFERROR(__xludf.DUMMYFUNCTION("IF(AB8 = """", """", GOOGLETRANSLATE(AB8, ""en"", ""gu""))"),"")</f>
        <v/>
      </c>
      <c r="AO8" s="5" t="str">
        <f ca="1">IFERROR(__xludf.DUMMYFUNCTION("IF(Y8 = """", """", GOOGLETRANSLATE(Y8, ""en"", ""bn""))"),"অতিরিক্ত কাজের চাপ")</f>
        <v>অতিরিক্ত কাজের চাপ</v>
      </c>
      <c r="AP8" s="5" t="str">
        <f ca="1">IFERROR(__xludf.DUMMYFUNCTION("IF(Z8 = """", """", GOOGLETRANSLATE(Z8, ""en"", ""bn""))"),"মুলতুবি কাজ")</f>
        <v>মুলতুবি কাজ</v>
      </c>
      <c r="AQ8" s="5" t="str">
        <f ca="1">IFERROR(__xludf.DUMMYFUNCTION("IF(AA8 = """", """", GOOGLETRANSLATE(AA8, ""en"", ""bn""))"),"ক্লান্তিকর দিন")</f>
        <v>ক্লান্তিকর দিন</v>
      </c>
      <c r="AR8" s="5" t="str">
        <f ca="1">IFERROR(__xludf.DUMMYFUNCTION("IF(AB8 = """", """", GOOGLETRANSLATE(AB8, ""en"", ""bn""))"),"")</f>
        <v/>
      </c>
      <c r="AS8" s="1" t="s">
        <v>62</v>
      </c>
      <c r="AT8" s="1" t="s">
        <v>63</v>
      </c>
      <c r="AU8" s="5" t="str">
        <f ca="1">IFERROR(__xludf.DUMMYFUNCTION("IF(Y8 = """", """", GOOGLETRANSLATE(Y8, ""en"", ""te""))"),"అదనపు పనిభారం")</f>
        <v>అదనపు పనిభారం</v>
      </c>
      <c r="AV8" s="5" t="str">
        <f ca="1">IFERROR(__xludf.DUMMYFUNCTION("IF(Z8 = """", """", GOOGLETRANSLATE(Z8, ""en"", ""te""))"),"పెండింగ్ పనులు")</f>
        <v>పెండింగ్ పనులు</v>
      </c>
      <c r="AW8" s="5" t="str">
        <f ca="1">IFERROR(__xludf.DUMMYFUNCTION("IF(AA8 = """", """", GOOGLETRANSLATE(AA8, ""en"", ""te""))"),"అలసిపోయే రోజు")</f>
        <v>అలసిపోయే రోజు</v>
      </c>
      <c r="AX8" s="5" t="str">
        <f ca="1">IFERROR(__xludf.DUMMYFUNCTION("IF(AB8 = """", """", GOOGLETRANSLATE(AB8, ""en"", ""te""))"),"")</f>
        <v/>
      </c>
    </row>
    <row r="9" spans="1:56" x14ac:dyDescent="0.25">
      <c r="A9" s="1">
        <v>14</v>
      </c>
      <c r="B9" s="1" t="s">
        <v>56</v>
      </c>
      <c r="C9" s="6">
        <v>45823</v>
      </c>
      <c r="D9" s="6">
        <v>45823</v>
      </c>
      <c r="E9" s="1">
        <v>0</v>
      </c>
      <c r="F9" s="1">
        <v>1</v>
      </c>
      <c r="G9" s="3" t="s">
        <v>85</v>
      </c>
      <c r="H9" s="4">
        <v>8.2291666666666659E-3</v>
      </c>
      <c r="I9" s="4">
        <v>0</v>
      </c>
      <c r="J9" s="7" t="s">
        <v>86</v>
      </c>
      <c r="L9" s="1" t="s">
        <v>59</v>
      </c>
      <c r="O9" s="1" t="s">
        <v>61</v>
      </c>
      <c r="P9" s="1" t="s">
        <v>61</v>
      </c>
      <c r="Q9" s="1" t="s">
        <v>61</v>
      </c>
      <c r="R9" s="1" t="s">
        <v>61</v>
      </c>
      <c r="S9" s="1" t="s">
        <v>61</v>
      </c>
      <c r="T9" s="1" t="s">
        <v>61</v>
      </c>
      <c r="V9" s="1" t="s">
        <v>61</v>
      </c>
      <c r="W9" s="1" t="s">
        <v>61</v>
      </c>
      <c r="X9" s="1" t="s">
        <v>61</v>
      </c>
      <c r="AB9" s="1"/>
      <c r="AC9" s="5" t="str">
        <f ca="1">IFERROR(__xludf.DUMMYFUNCTION("IF(Y9 = """", """", GOOGLETRANSLATE(Y9, ""en"", ""hi""))
"),"")</f>
        <v/>
      </c>
      <c r="AD9" s="5" t="str">
        <f ca="1">IFERROR(__xludf.DUMMYFUNCTION("IF(Z9 = """", """", GOOGLETRANSLATE(Z9, ""en"", ""hi""))"),"")</f>
        <v/>
      </c>
      <c r="AE9" s="5" t="str">
        <f ca="1">IFERROR(__xludf.DUMMYFUNCTION("IF(AA9 = """", """", GOOGLETRANSLATE(AA9, ""en"", ""hi""))"),"")</f>
        <v/>
      </c>
      <c r="AG9" s="5" t="str">
        <f ca="1">IFERROR(__xludf.DUMMYFUNCTION("IF(Y9 = """", """", GOOGLETRANSLATE(Y9, ""en"", ""mr""))"),"")</f>
        <v/>
      </c>
      <c r="AH9" s="5" t="str">
        <f ca="1">IFERROR(__xludf.DUMMYFUNCTION("IF(Z9 = """", """", GOOGLETRANSLATE(Z9, ""en"", ""mr""))"),"")</f>
        <v/>
      </c>
      <c r="AI9" s="5" t="str">
        <f ca="1">IFERROR(__xludf.DUMMYFUNCTION("IF(AA9 = """", """", GOOGLETRANSLATE(AA9, ""en"", ""mr""))"),"")</f>
        <v/>
      </c>
      <c r="AJ9" s="5" t="str">
        <f ca="1">IFERROR(__xludf.DUMMYFUNCTION("IF(AB9 = """", """", GOOGLETRANSLATE(AB9, ""en"", ""mr""))"),"")</f>
        <v/>
      </c>
      <c r="AK9" s="5" t="str">
        <f ca="1">IFERROR(__xludf.DUMMYFUNCTION("IF(Y9 = """", """", GOOGLETRANSLATE(Y9, ""en"", ""gu""))"),"")</f>
        <v/>
      </c>
      <c r="AL9" s="5" t="str">
        <f ca="1">IFERROR(__xludf.DUMMYFUNCTION("IF(Z9 = """", """", GOOGLETRANSLATE(Z9, ""en"", ""gu""))"),"")</f>
        <v/>
      </c>
      <c r="AM9" s="5" t="str">
        <f ca="1">IFERROR(__xludf.DUMMYFUNCTION("IF(AA9 = """", """", GOOGLETRANSLATE(AA9, ""en"", ""gu""))"),"")</f>
        <v/>
      </c>
      <c r="AN9" s="5" t="str">
        <f ca="1">IFERROR(__xludf.DUMMYFUNCTION("IF(AB9 = """", """", GOOGLETRANSLATE(AB9, ""en"", ""gu""))"),"")</f>
        <v/>
      </c>
      <c r="AO9" s="5" t="str">
        <f ca="1">IFERROR(__xludf.DUMMYFUNCTION("IF(Y9 = """", """", GOOGLETRANSLATE(Y9, ""en"", ""bn""))"),"")</f>
        <v/>
      </c>
      <c r="AP9" s="5" t="str">
        <f ca="1">IFERROR(__xludf.DUMMYFUNCTION("IF(Z9 = """", """", GOOGLETRANSLATE(Z9, ""en"", ""bn""))"),"")</f>
        <v/>
      </c>
      <c r="AQ9" s="5" t="str">
        <f ca="1">IFERROR(__xludf.DUMMYFUNCTION("IF(AA9 = """", """", GOOGLETRANSLATE(AA9, ""en"", ""bn""))"),"")</f>
        <v/>
      </c>
      <c r="AR9" s="5" t="str">
        <f ca="1">IFERROR(__xludf.DUMMYFUNCTION("IF(AB9 = """", """", GOOGLETRANSLATE(AB9, ""en"", ""bn""))"),"")</f>
        <v/>
      </c>
      <c r="AS9" s="1" t="s">
        <v>62</v>
      </c>
      <c r="AT9" s="1" t="s">
        <v>63</v>
      </c>
      <c r="AU9" s="5" t="str">
        <f ca="1">IFERROR(__xludf.DUMMYFUNCTION("IF(Y9 = """", """", GOOGLETRANSLATE(Y9, ""en"", ""te""))"),"")</f>
        <v/>
      </c>
      <c r="AV9" s="5" t="str">
        <f ca="1">IFERROR(__xludf.DUMMYFUNCTION("IF(Z9 = """", """", GOOGLETRANSLATE(Z9, ""en"", ""te""))"),"")</f>
        <v/>
      </c>
      <c r="AW9" s="5" t="str">
        <f ca="1">IFERROR(__xludf.DUMMYFUNCTION("IF(AA9 = """", """", GOOGLETRANSLATE(AA9, ""en"", ""te""))"),"")</f>
        <v/>
      </c>
      <c r="AX9" s="5" t="str">
        <f ca="1">IFERROR(__xludf.DUMMYFUNCTION("IF(AB9 = """", """", GOOGLETRANSLATE(AB9, ""en"", ""te""))"),"")</f>
        <v/>
      </c>
    </row>
    <row r="10" spans="1:56" x14ac:dyDescent="0.25">
      <c r="A10" s="1">
        <v>16</v>
      </c>
      <c r="B10" s="1" t="s">
        <v>56</v>
      </c>
      <c r="C10" s="6">
        <v>45823</v>
      </c>
      <c r="D10" s="6">
        <v>45823</v>
      </c>
      <c r="E10" s="1">
        <v>2</v>
      </c>
      <c r="F10" s="1">
        <v>1</v>
      </c>
      <c r="G10" s="3" t="s">
        <v>87</v>
      </c>
      <c r="H10" s="4">
        <v>8.2291666666666659E-3</v>
      </c>
      <c r="I10" s="7" t="s">
        <v>88</v>
      </c>
      <c r="J10" s="7" t="s">
        <v>89</v>
      </c>
      <c r="K10" s="1" t="s">
        <v>58</v>
      </c>
      <c r="L10" s="1" t="s">
        <v>90</v>
      </c>
      <c r="O10" s="1" t="s">
        <v>91</v>
      </c>
      <c r="P10" s="1" t="s">
        <v>61</v>
      </c>
      <c r="Q10" s="1" t="s">
        <v>61</v>
      </c>
      <c r="R10" s="1" t="s">
        <v>61</v>
      </c>
      <c r="S10" s="1" t="s">
        <v>61</v>
      </c>
      <c r="T10" s="1" t="s">
        <v>61</v>
      </c>
      <c r="V10" s="1" t="s">
        <v>61</v>
      </c>
      <c r="W10" s="1" t="s">
        <v>61</v>
      </c>
      <c r="X10" s="1" t="s">
        <v>61</v>
      </c>
      <c r="Y10" s="1" t="s">
        <v>92</v>
      </c>
      <c r="Z10" s="1" t="s">
        <v>93</v>
      </c>
      <c r="AB10" s="1"/>
      <c r="AC10" s="5" t="str">
        <f ca="1">IFERROR(__xludf.DUMMYFUNCTION("IF(Y10 = """", """", GOOGLETRANSLATE(Y10, ""en"", ""hi""))
"),"दोस्तों और परिवार के साथ सैर")</f>
        <v>दोस्तों और परिवार के साथ सैर</v>
      </c>
      <c r="AD10" s="5" t="str">
        <f ca="1">IFERROR(__xludf.DUMMYFUNCTION("IF(Z10 = """", """", GOOGLETRANSLATE(Z10, ""en"", ""hi""))"),"पुराने झगड़ों को सुलझाना अच्छा है")</f>
        <v>पुराने झगड़ों को सुलझाना अच्छा है</v>
      </c>
      <c r="AE10" s="5" t="str">
        <f ca="1">IFERROR(__xludf.DUMMYFUNCTION("IF(AA10 = """", """", GOOGLETRANSLATE(AA10, ""en"", ""hi""))"),"")</f>
        <v/>
      </c>
      <c r="AG10" s="5" t="str">
        <f ca="1">IFERROR(__xludf.DUMMYFUNCTION("IF(Y10 = """", """", GOOGLETRANSLATE(Y10, ""en"", ""mr""))"),"मित्र आणि कुटुंबासह बाहेर फिरणे")</f>
        <v>मित्र आणि कुटुंबासह बाहेर फिरणे</v>
      </c>
      <c r="AH10" s="5" t="str">
        <f ca="1">IFERROR(__xludf.DUMMYFUNCTION("IF(Z10 = """", """", GOOGLETRANSLATE(Z10, ""en"", ""mr""))"),"जुनी भांडणे सोडवणे चांगले")</f>
        <v>जुनी भांडणे सोडवणे चांगले</v>
      </c>
      <c r="AI10" s="5" t="str">
        <f ca="1">IFERROR(__xludf.DUMMYFUNCTION("IF(AA10 = """", """", GOOGLETRANSLATE(AA10, ""en"", ""mr""))"),"")</f>
        <v/>
      </c>
      <c r="AJ10" s="5" t="str">
        <f ca="1">IFERROR(__xludf.DUMMYFUNCTION("IF(AB10 = """", """", GOOGLETRANSLATE(AB10, ""en"", ""mr""))"),"")</f>
        <v/>
      </c>
      <c r="AK10" s="5" t="str">
        <f ca="1">IFERROR(__xludf.DUMMYFUNCTION("IF(Y10 = """", """", GOOGLETRANSLATE(Y10, ""en"", ""gu""))"),"મિત્રો અને પરિવાર સાથે ફરવા જવું")</f>
        <v>મિત્રો અને પરિવાર સાથે ફરવા જવું</v>
      </c>
      <c r="AL10" s="5" t="str">
        <f ca="1">IFERROR(__xludf.DUMMYFUNCTION("IF(Z10 = """", """", GOOGLETRANSLATE(Z10, ""en"", ""gu""))"),"જૂના ઝઘડાઓને ઉકેલવા માટે સારું")</f>
        <v>જૂના ઝઘડાઓને ઉકેલવા માટે સારું</v>
      </c>
      <c r="AM10" s="5" t="str">
        <f ca="1">IFERROR(__xludf.DUMMYFUNCTION("IF(AA10 = """", """", GOOGLETRANSLATE(AA10, ""en"", ""gu""))"),"")</f>
        <v/>
      </c>
      <c r="AN10" s="5" t="str">
        <f ca="1">IFERROR(__xludf.DUMMYFUNCTION("IF(AB10 = """", """", GOOGLETRANSLATE(AB10, ""en"", ""gu""))"),"")</f>
        <v/>
      </c>
      <c r="AO10" s="5" t="str">
        <f ca="1">IFERROR(__xludf.DUMMYFUNCTION("IF(Y10 = """", """", GOOGLETRANSLATE(Y10, ""en"", ""bn""))"),"বন্ধু এবং পরিবারের সাথে আউটিং")</f>
        <v>বন্ধু এবং পরিবারের সাথে আউটিং</v>
      </c>
      <c r="AP10" s="5" t="str">
        <f ca="1">IFERROR(__xludf.DUMMYFUNCTION("IF(Z10 = """", """", GOOGLETRANSLATE(Z10, ""en"", ""bn""))"),"পুরানো ঝগড়া মিটিয়ে ফেলা ভাল")</f>
        <v>পুরানো ঝগড়া মিটিয়ে ফেলা ভাল</v>
      </c>
      <c r="AQ10" s="5" t="str">
        <f ca="1">IFERROR(__xludf.DUMMYFUNCTION("IF(AA10 = """", """", GOOGLETRANSLATE(AA10, ""en"", ""bn""))"),"")</f>
        <v/>
      </c>
      <c r="AR10" s="5" t="str">
        <f ca="1">IFERROR(__xludf.DUMMYFUNCTION("IF(AB10 = """", """", GOOGLETRANSLATE(AB10, ""en"", ""bn""))"),"")</f>
        <v/>
      </c>
      <c r="AS10" s="1" t="s">
        <v>62</v>
      </c>
      <c r="AT10" s="1" t="s">
        <v>94</v>
      </c>
      <c r="AU10" s="5" t="str">
        <f ca="1">IFERROR(__xludf.DUMMYFUNCTION("IF(Y10 = """", """", GOOGLETRANSLATE(Y10, ""en"", ""te""))"),"స్నేహితులు మరియు కుటుంబ సభ్యులతో విహారయాత్ర")</f>
        <v>స్నేహితులు మరియు కుటుంబ సభ్యులతో విహారయాత్ర</v>
      </c>
      <c r="AV10" s="5" t="str">
        <f ca="1">IFERROR(__xludf.DUMMYFUNCTION("IF(Z10 = """", """", GOOGLETRANSLATE(Z10, ""en"", ""te""))"),"పాత గొడవలను పరిష్కరించుకోవడం మంచిది")</f>
        <v>పాత గొడవలను పరిష్కరించుకోవడం మంచిది</v>
      </c>
      <c r="AW10" s="5" t="str">
        <f ca="1">IFERROR(__xludf.DUMMYFUNCTION("IF(AA10 = """", """", GOOGLETRANSLATE(AA10, ""en"", ""te""))"),"")</f>
        <v/>
      </c>
      <c r="AX10" s="5" t="str">
        <f ca="1">IFERROR(__xludf.DUMMYFUNCTION("IF(AB10 = """", """", GOOGLETRANSLATE(AB10, ""en"", ""te""))"),"")</f>
        <v/>
      </c>
    </row>
    <row r="11" spans="1:56" x14ac:dyDescent="0.25">
      <c r="A11" s="1">
        <v>17</v>
      </c>
      <c r="B11" s="1" t="s">
        <v>56</v>
      </c>
      <c r="C11" s="6">
        <v>45823</v>
      </c>
      <c r="D11" s="6">
        <v>45823</v>
      </c>
      <c r="E11" s="1">
        <v>3</v>
      </c>
      <c r="F11" s="1">
        <v>1</v>
      </c>
      <c r="G11" s="3" t="s">
        <v>95</v>
      </c>
      <c r="H11" s="4">
        <v>8.2291666666666659E-3</v>
      </c>
      <c r="I11" s="7" t="s">
        <v>89</v>
      </c>
      <c r="J11" s="7" t="s">
        <v>96</v>
      </c>
      <c r="K11" s="1" t="s">
        <v>58</v>
      </c>
      <c r="L11" s="1" t="s">
        <v>97</v>
      </c>
      <c r="O11" s="1" t="s">
        <v>61</v>
      </c>
      <c r="P11" s="1" t="s">
        <v>61</v>
      </c>
      <c r="Q11" s="1" t="s">
        <v>61</v>
      </c>
      <c r="R11" s="1" t="s">
        <v>61</v>
      </c>
      <c r="S11" s="1" t="s">
        <v>61</v>
      </c>
      <c r="T11" s="1" t="s">
        <v>91</v>
      </c>
      <c r="V11" s="1" t="s">
        <v>61</v>
      </c>
      <c r="W11" s="1" t="s">
        <v>61</v>
      </c>
      <c r="X11" s="1" t="s">
        <v>61</v>
      </c>
      <c r="Y11" s="1" t="s">
        <v>98</v>
      </c>
      <c r="Z11" s="1" t="s">
        <v>99</v>
      </c>
      <c r="AB11" s="1"/>
      <c r="AC11" s="5" t="str">
        <f ca="1">IFERROR(__xludf.DUMMYFUNCTION("IF(Y11 = """", """", GOOGLETRANSLATE(Y11, ""en"", ""hi""))
"),"शब्दों के साथ सावधान रहें")</f>
        <v>शब्दों के साथ सावधान रहें</v>
      </c>
      <c r="AD11" s="5" t="str">
        <f ca="1">IFERROR(__xludf.DUMMYFUNCTION("IF(Z11 = """", """", GOOGLETRANSLATE(Z11, ""en"", ""hi""))"),"स्वास्थ्य के प्रति सतर्क रहें")</f>
        <v>स्वास्थ्य के प्रति सतर्क रहें</v>
      </c>
      <c r="AE11" s="5" t="str">
        <f ca="1">IFERROR(__xludf.DUMMYFUNCTION("IF(AA11 = """", """", GOOGLETRANSLATE(AA11, ""en"", ""hi""))"),"")</f>
        <v/>
      </c>
      <c r="AG11" s="5" t="str">
        <f ca="1">IFERROR(__xludf.DUMMYFUNCTION("IF(Y11 = """", """", GOOGLETRANSLATE(Y11, ""en"", ""mr""))"),"शब्दांसह सावध रहा")</f>
        <v>शब्दांसह सावध रहा</v>
      </c>
      <c r="AH11" s="5" t="str">
        <f ca="1">IFERROR(__xludf.DUMMYFUNCTION("IF(Z11 = """", """", GOOGLETRANSLATE(Z11, ""en"", ""mr""))"),"आरोग्याबाबत सावध राहा")</f>
        <v>आरोग्याबाबत सावध राहा</v>
      </c>
      <c r="AI11" s="5" t="str">
        <f ca="1">IFERROR(__xludf.DUMMYFUNCTION("IF(AA11 = """", """", GOOGLETRANSLATE(AA11, ""en"", ""mr""))"),"")</f>
        <v/>
      </c>
      <c r="AJ11" s="5" t="str">
        <f ca="1">IFERROR(__xludf.DUMMYFUNCTION("IF(AB11 = """", """", GOOGLETRANSLATE(AB11, ""en"", ""mr""))"),"")</f>
        <v/>
      </c>
      <c r="AK11" s="5" t="str">
        <f ca="1">IFERROR(__xludf.DUMMYFUNCTION("IF(Y11 = """", """", GOOGLETRANSLATE(Y11, ""en"", ""gu""))"),"શબ્દો સાથે સાવચેત રહો")</f>
        <v>શબ્દો સાથે સાવચેત રહો</v>
      </c>
      <c r="AL11" s="5" t="str">
        <f ca="1">IFERROR(__xludf.DUMMYFUNCTION("IF(Z11 = """", """", GOOGLETRANSLATE(Z11, ""en"", ""gu""))"),"સ્વાસ્થ્ય પ્રત્યે સાવધાન રહો")</f>
        <v>સ્વાસ્થ્ય પ્રત્યે સાવધાન રહો</v>
      </c>
      <c r="AM11" s="5" t="str">
        <f ca="1">IFERROR(__xludf.DUMMYFUNCTION("IF(AA11 = """", """", GOOGLETRANSLATE(AA11, ""en"", ""gu""))"),"")</f>
        <v/>
      </c>
      <c r="AN11" s="5" t="str">
        <f ca="1">IFERROR(__xludf.DUMMYFUNCTION("IF(AB11 = """", """", GOOGLETRANSLATE(AB11, ""en"", ""gu""))"),"")</f>
        <v/>
      </c>
      <c r="AO11" s="5" t="str">
        <f ca="1">IFERROR(__xludf.DUMMYFUNCTION("IF(Y11 = """", """", GOOGLETRANSLATE(Y11, ""en"", ""bn""))"),"শব্দের সাথে সতর্ক থাকুন")</f>
        <v>শব্দের সাথে সতর্ক থাকুন</v>
      </c>
      <c r="AP11" s="5" t="str">
        <f ca="1">IFERROR(__xludf.DUMMYFUNCTION("IF(Z11 = """", """", GOOGLETRANSLATE(Z11, ""en"", ""bn""))"),"স্বাস্থ্য সম্পর্কে সতর্ক থাকুন")</f>
        <v>স্বাস্থ্য সম্পর্কে সতর্ক থাকুন</v>
      </c>
      <c r="AQ11" s="5" t="str">
        <f ca="1">IFERROR(__xludf.DUMMYFUNCTION("IF(AA11 = """", """", GOOGLETRANSLATE(AA11, ""en"", ""bn""))"),"")</f>
        <v/>
      </c>
      <c r="AR11" s="5" t="str">
        <f ca="1">IFERROR(__xludf.DUMMYFUNCTION("IF(AB11 = """", """", GOOGLETRANSLATE(AB11, ""en"", ""bn""))"),"")</f>
        <v/>
      </c>
      <c r="AS11" s="1" t="s">
        <v>62</v>
      </c>
      <c r="AT11" s="1" t="s">
        <v>94</v>
      </c>
      <c r="AU11" s="5" t="str">
        <f ca="1">IFERROR(__xludf.DUMMYFUNCTION("IF(Y11 = """", """", GOOGLETRANSLATE(Y11, ""en"", ""te""))"),"మాటలతో జాగ్రత్తగా ఉండండి")</f>
        <v>మాటలతో జాగ్రత్తగా ఉండండి</v>
      </c>
      <c r="AV11" s="5" t="str">
        <f ca="1">IFERROR(__xludf.DUMMYFUNCTION("IF(Z11 = """", """", GOOGLETRANSLATE(Z11, ""en"", ""te""))"),"ఆరోగ్యం విషయంలో జాగ్రత్తగా ఉండండి")</f>
        <v>ఆరోగ్యం విషయంలో జాగ్రత్తగా ఉండండి</v>
      </c>
      <c r="AW11" s="5" t="str">
        <f ca="1">IFERROR(__xludf.DUMMYFUNCTION("IF(AA11 = """", """", GOOGLETRANSLATE(AA11, ""en"", ""te""))"),"")</f>
        <v/>
      </c>
      <c r="AX11" s="5" t="str">
        <f ca="1">IFERROR(__xludf.DUMMYFUNCTION("IF(AB11 = """", """", GOOGLETRANSLATE(AB11, ""en"", ""te""))"),"")</f>
        <v/>
      </c>
    </row>
    <row r="12" spans="1:56" x14ac:dyDescent="0.25">
      <c r="A12" s="1">
        <v>18</v>
      </c>
      <c r="B12" s="1" t="s">
        <v>56</v>
      </c>
      <c r="C12" s="6">
        <v>45823</v>
      </c>
      <c r="D12" s="6">
        <v>45823</v>
      </c>
      <c r="E12" s="1">
        <v>4</v>
      </c>
      <c r="F12" s="1">
        <v>1</v>
      </c>
      <c r="G12" s="3" t="s">
        <v>100</v>
      </c>
      <c r="H12" s="4">
        <v>8.2291666666666659E-3</v>
      </c>
      <c r="I12" s="7" t="s">
        <v>96</v>
      </c>
      <c r="J12" s="7" t="s">
        <v>101</v>
      </c>
      <c r="K12" s="1" t="s">
        <v>58</v>
      </c>
      <c r="L12" s="1" t="s">
        <v>102</v>
      </c>
      <c r="O12" s="1" t="s">
        <v>91</v>
      </c>
      <c r="P12" s="1" t="s">
        <v>61</v>
      </c>
      <c r="Q12" s="1" t="s">
        <v>61</v>
      </c>
      <c r="R12" s="1" t="s">
        <v>61</v>
      </c>
      <c r="S12" s="1" t="s">
        <v>61</v>
      </c>
      <c r="T12" s="1" t="s">
        <v>61</v>
      </c>
      <c r="V12" s="1" t="s">
        <v>61</v>
      </c>
      <c r="W12" s="1" t="s">
        <v>61</v>
      </c>
      <c r="X12" s="1" t="s">
        <v>61</v>
      </c>
      <c r="Y12" s="1" t="s">
        <v>103</v>
      </c>
      <c r="Z12" s="1" t="s">
        <v>104</v>
      </c>
      <c r="AA12" s="1" t="s">
        <v>105</v>
      </c>
      <c r="AB12" s="1"/>
      <c r="AC12" s="5" t="str">
        <f ca="1">IFERROR(__xludf.DUMMYFUNCTION("IF(Y12 = """", """", GOOGLETRANSLATE(Y12, ""en"", ""hi""))
"),"आपका लंबित कार्य समाप्त हो जाएगा")</f>
        <v>आपका लंबित कार्य समाप्त हो जाएगा</v>
      </c>
      <c r="AD12" s="5" t="str">
        <f ca="1">IFERROR(__xludf.DUMMYFUNCTION("IF(Z12 = """", """", GOOGLETRANSLATE(Z12, ""en"", ""hi""))"),"अधिक खर्च")</f>
        <v>अधिक खर्च</v>
      </c>
      <c r="AE12" s="5" t="str">
        <f ca="1">IFERROR(__xludf.DUMMYFUNCTION("IF(AA12 = """", """", GOOGLETRANSLATE(AA12, ""en"", ""hi""))"),"समग्र सकारात्मक")</f>
        <v>समग्र सकारात्मक</v>
      </c>
      <c r="AG12" s="5" t="str">
        <f ca="1">IFERROR(__xludf.DUMMYFUNCTION("IF(Y12 = """", """", GOOGLETRANSLATE(Y12, ""en"", ""mr""))"),"तुमचे प्रलंबित काम संपेल")</f>
        <v>तुमचे प्रलंबित काम संपेल</v>
      </c>
      <c r="AH12" s="5" t="str">
        <f ca="1">IFERROR(__xludf.DUMMYFUNCTION("IF(Z12 = """", """", GOOGLETRANSLATE(Z12, ""en"", ""mr""))"),"अधिक खर्च")</f>
        <v>अधिक खर्च</v>
      </c>
      <c r="AI12" s="5" t="str">
        <f ca="1">IFERROR(__xludf.DUMMYFUNCTION("IF(AA12 = """", """", GOOGLETRANSLATE(AA12, ""en"", ""mr""))"),"एकूणच सकारात्मक")</f>
        <v>एकूणच सकारात्मक</v>
      </c>
      <c r="AJ12" s="5" t="str">
        <f ca="1">IFERROR(__xludf.DUMMYFUNCTION("IF(AB12 = """", """", GOOGLETRANSLATE(AB12, ""en"", ""mr""))"),"")</f>
        <v/>
      </c>
      <c r="AK12" s="5" t="str">
        <f ca="1">IFERROR(__xludf.DUMMYFUNCTION("IF(Y12 = """", """", GOOGLETRANSLATE(Y12, ""en"", ""gu""))"),"તમારા અટકેલા કામ પૂરા થશે")</f>
        <v>તમારા અટકેલા કામ પૂરા થશે</v>
      </c>
      <c r="AL12" s="5" t="str">
        <f ca="1">IFERROR(__xludf.DUMMYFUNCTION("IF(Z12 = """", """", GOOGLETRANSLATE(Z12, ""en"", ""gu""))"),"વધુ ખર્ચ")</f>
        <v>વધુ ખર્ચ</v>
      </c>
      <c r="AM12" s="5" t="str">
        <f ca="1">IFERROR(__xludf.DUMMYFUNCTION("IF(AA12 = """", """", GOOGLETRANSLATE(AA12, ""en"", ""gu""))"),"એકંદરે હકારાત્મક")</f>
        <v>એકંદરે હકારાત્મક</v>
      </c>
      <c r="AN12" s="5" t="str">
        <f ca="1">IFERROR(__xludf.DUMMYFUNCTION("IF(AB12 = """", """", GOOGLETRANSLATE(AB12, ""en"", ""gu""))"),"")</f>
        <v/>
      </c>
      <c r="AO12" s="5" t="str">
        <f ca="1">IFERROR(__xludf.DUMMYFUNCTION("IF(Y12 = """", """", GOOGLETRANSLATE(Y12, ""en"", ""bn""))"),"আপনার মুলতুবি কাজ শেষ হবে")</f>
        <v>আপনার মুলতুবি কাজ শেষ হবে</v>
      </c>
      <c r="AP12" s="5" t="str">
        <f ca="1">IFERROR(__xludf.DUMMYFUNCTION("IF(Z12 = """", """", GOOGLETRANSLATE(Z12, ""en"", ""bn""))"),"আরো খরচ")</f>
        <v>আরো খরচ</v>
      </c>
      <c r="AQ12" s="5" t="str">
        <f ca="1">IFERROR(__xludf.DUMMYFUNCTION("IF(AA12 = """", """", GOOGLETRANSLATE(AA12, ""en"", ""bn""))"),"সামগ্রিক ইতিবাচক")</f>
        <v>সামগ্রিক ইতিবাচক</v>
      </c>
      <c r="AR12" s="5" t="str">
        <f ca="1">IFERROR(__xludf.DUMMYFUNCTION("IF(AB12 = """", """", GOOGLETRANSLATE(AB12, ""en"", ""bn""))"),"")</f>
        <v/>
      </c>
      <c r="AS12" s="1" t="s">
        <v>62</v>
      </c>
      <c r="AT12" s="1" t="s">
        <v>94</v>
      </c>
      <c r="AU12" s="5" t="str">
        <f ca="1">IFERROR(__xludf.DUMMYFUNCTION("IF(Y12 = """", """", GOOGLETRANSLATE(Y12, ""en"", ""te""))"),"మీ పెండింగ్ పని ముగుస్తుంది")</f>
        <v>మీ పెండింగ్ పని ముగుస్తుంది</v>
      </c>
      <c r="AV12" s="5" t="str">
        <f ca="1">IFERROR(__xludf.DUMMYFUNCTION("IF(Z12 = """", """", GOOGLETRANSLATE(Z12, ""en"", ""te""))"),"ఎక్కువ ఖర్చు")</f>
        <v>ఎక్కువ ఖర్చు</v>
      </c>
      <c r="AW12" s="5" t="str">
        <f ca="1">IFERROR(__xludf.DUMMYFUNCTION("IF(AA12 = """", """", GOOGLETRANSLATE(AA12, ""en"", ""te""))"),"మొత్తం సానుకూల")</f>
        <v>మొత్తం సానుకూల</v>
      </c>
      <c r="AX12" s="5" t="str">
        <f ca="1">IFERROR(__xludf.DUMMYFUNCTION("IF(AB12 = """", """", GOOGLETRANSLATE(AB12, ""en"", ""te""))"),"")</f>
        <v/>
      </c>
    </row>
    <row r="13" spans="1:56" x14ac:dyDescent="0.25">
      <c r="A13" s="1">
        <v>19</v>
      </c>
      <c r="B13" s="1" t="s">
        <v>56</v>
      </c>
      <c r="C13" s="6">
        <v>45823</v>
      </c>
      <c r="D13" s="6">
        <v>45823</v>
      </c>
      <c r="E13" s="1">
        <v>5</v>
      </c>
      <c r="F13" s="1">
        <v>1</v>
      </c>
      <c r="G13" s="3" t="s">
        <v>106</v>
      </c>
      <c r="H13" s="4">
        <v>8.2291666666666659E-3</v>
      </c>
      <c r="I13" s="7" t="s">
        <v>101</v>
      </c>
      <c r="J13" s="7" t="s">
        <v>107</v>
      </c>
      <c r="K13" s="1" t="s">
        <v>58</v>
      </c>
      <c r="L13" s="1" t="s">
        <v>108</v>
      </c>
      <c r="O13" s="1" t="s">
        <v>61</v>
      </c>
      <c r="P13" s="1" t="s">
        <v>61</v>
      </c>
      <c r="Q13" s="1" t="s">
        <v>61</v>
      </c>
      <c r="R13" s="1" t="s">
        <v>109</v>
      </c>
      <c r="S13" s="1" t="s">
        <v>91</v>
      </c>
      <c r="T13" s="1" t="s">
        <v>61</v>
      </c>
      <c r="V13" s="1" t="s">
        <v>61</v>
      </c>
      <c r="W13" s="1" t="s">
        <v>61</v>
      </c>
      <c r="X13" s="1" t="s">
        <v>61</v>
      </c>
      <c r="Y13" s="1" t="s">
        <v>110</v>
      </c>
      <c r="Z13" s="1" t="s">
        <v>99</v>
      </c>
      <c r="AB13" s="1"/>
      <c r="AC13" s="5" t="str">
        <f ca="1">IFERROR(__xludf.DUMMYFUNCTION("IF(Y13 = """", """", GOOGLETRANSLATE(Y13, ""en"", ""hi""))
"),"क्रोध पर नियंत्रण रखें")</f>
        <v>क्रोध पर नियंत्रण रखें</v>
      </c>
      <c r="AD13" s="5" t="str">
        <f ca="1">IFERROR(__xludf.DUMMYFUNCTION("IF(Z13 = """", """", GOOGLETRANSLATE(Z13, ""en"", ""hi""))"),"स्वास्थ्य के प्रति सतर्क रहें")</f>
        <v>स्वास्थ्य के प्रति सतर्क रहें</v>
      </c>
      <c r="AE13" s="5" t="str">
        <f ca="1">IFERROR(__xludf.DUMMYFUNCTION("IF(AA13 = """", """", GOOGLETRANSLATE(AA13, ""en"", ""hi""))"),"")</f>
        <v/>
      </c>
      <c r="AG13" s="5" t="str">
        <f ca="1">IFERROR(__xludf.DUMMYFUNCTION("IF(Y13 = """", """", GOOGLETRANSLATE(Y13, ""en"", ""mr""))"),"रागावर नियंत्रण ठेवा")</f>
        <v>रागावर नियंत्रण ठेवा</v>
      </c>
      <c r="AH13" s="5" t="str">
        <f ca="1">IFERROR(__xludf.DUMMYFUNCTION("IF(Z13 = """", """", GOOGLETRANSLATE(Z13, ""en"", ""mr""))"),"आरोग्याबाबत सावध राहा")</f>
        <v>आरोग्याबाबत सावध राहा</v>
      </c>
      <c r="AI13" s="5" t="str">
        <f ca="1">IFERROR(__xludf.DUMMYFUNCTION("IF(AA13 = """", """", GOOGLETRANSLATE(AA13, ""en"", ""mr""))"),"")</f>
        <v/>
      </c>
      <c r="AJ13" s="5" t="str">
        <f ca="1">IFERROR(__xludf.DUMMYFUNCTION("IF(AB13 = """", """", GOOGLETRANSLATE(AB13, ""en"", ""mr""))"),"")</f>
        <v/>
      </c>
      <c r="AK13" s="5" t="str">
        <f ca="1">IFERROR(__xludf.DUMMYFUNCTION("IF(Y13 = """", """", GOOGLETRANSLATE(Y13, ""en"", ""gu""))"),"ગુસ્સા પર નિયંત્રણ રાખો")</f>
        <v>ગુસ્સા પર નિયંત્રણ રાખો</v>
      </c>
      <c r="AL13" s="5" t="str">
        <f ca="1">IFERROR(__xludf.DUMMYFUNCTION("IF(Z13 = """", """", GOOGLETRANSLATE(Z13, ""en"", ""gu""))"),"સ્વાસ્થ્ય પ્રત્યે સાવધાન રહો")</f>
        <v>સ્વાસ્થ્ય પ્રત્યે સાવધાન રહો</v>
      </c>
      <c r="AM13" s="5" t="str">
        <f ca="1">IFERROR(__xludf.DUMMYFUNCTION("IF(AA13 = """", """", GOOGLETRANSLATE(AA13, ""en"", ""gu""))"),"")</f>
        <v/>
      </c>
      <c r="AN13" s="5" t="str">
        <f ca="1">IFERROR(__xludf.DUMMYFUNCTION("IF(AB13 = """", """", GOOGLETRANSLATE(AB13, ""en"", ""gu""))"),"")</f>
        <v/>
      </c>
      <c r="AO13" s="5" t="str">
        <f ca="1">IFERROR(__xludf.DUMMYFUNCTION("IF(Y13 = """", """", GOOGLETRANSLATE(Y13, ""en"", ""bn""))"),"রাগ নিয়ন্ত্রণ")</f>
        <v>রাগ নিয়ন্ত্রণ</v>
      </c>
      <c r="AP13" s="5" t="str">
        <f ca="1">IFERROR(__xludf.DUMMYFUNCTION("IF(Z13 = """", """", GOOGLETRANSLATE(Z13, ""en"", ""bn""))"),"স্বাস্থ্য সম্পর্কে সতর্ক থাকুন")</f>
        <v>স্বাস্থ্য সম্পর্কে সতর্ক থাকুন</v>
      </c>
      <c r="AQ13" s="5" t="str">
        <f ca="1">IFERROR(__xludf.DUMMYFUNCTION("IF(AA13 = """", """", GOOGLETRANSLATE(AA13, ""en"", ""bn""))"),"")</f>
        <v/>
      </c>
      <c r="AR13" s="5" t="str">
        <f ca="1">IFERROR(__xludf.DUMMYFUNCTION("IF(AB13 = """", """", GOOGLETRANSLATE(AB13, ""en"", ""bn""))"),"")</f>
        <v/>
      </c>
      <c r="AS13" s="1" t="s">
        <v>62</v>
      </c>
      <c r="AT13" s="1" t="s">
        <v>94</v>
      </c>
      <c r="AU13" s="5" t="str">
        <f ca="1">IFERROR(__xludf.DUMMYFUNCTION("IF(Y13 = """", """", GOOGLETRANSLATE(Y13, ""en"", ""te""))"),"కోపాన్ని నియంత్రిస్తాయి")</f>
        <v>కోపాన్ని నియంత్రిస్తాయి</v>
      </c>
      <c r="AV13" s="5" t="str">
        <f ca="1">IFERROR(__xludf.DUMMYFUNCTION("IF(Z13 = """", """", GOOGLETRANSLATE(Z13, ""en"", ""te""))"),"ఆరోగ్యం విషయంలో జాగ్రత్తగా ఉండండి")</f>
        <v>ఆరోగ్యం విషయంలో జాగ్రత్తగా ఉండండి</v>
      </c>
      <c r="AW13" s="5" t="str">
        <f ca="1">IFERROR(__xludf.DUMMYFUNCTION("IF(AA13 = """", """", GOOGLETRANSLATE(AA13, ""en"", ""te""))"),"")</f>
        <v/>
      </c>
      <c r="AX13" s="5" t="str">
        <f ca="1">IFERROR(__xludf.DUMMYFUNCTION("IF(AB13 = """", """", GOOGLETRANSLATE(AB13, ""en"", ""te""))"),"")</f>
        <v/>
      </c>
    </row>
    <row r="14" spans="1:56" x14ac:dyDescent="0.25">
      <c r="A14" s="1">
        <v>20</v>
      </c>
      <c r="B14" s="1" t="s">
        <v>56</v>
      </c>
      <c r="C14" s="6">
        <v>45823</v>
      </c>
      <c r="D14" s="6">
        <v>45823</v>
      </c>
      <c r="E14" s="1">
        <v>6</v>
      </c>
      <c r="F14" s="1">
        <v>1</v>
      </c>
      <c r="G14" s="3" t="s">
        <v>111</v>
      </c>
      <c r="H14" s="4">
        <v>8.2291666666666659E-3</v>
      </c>
      <c r="I14" s="7" t="s">
        <v>107</v>
      </c>
      <c r="J14" s="7" t="s">
        <v>112</v>
      </c>
      <c r="K14" s="1" t="s">
        <v>58</v>
      </c>
      <c r="L14" s="1" t="s">
        <v>113</v>
      </c>
      <c r="O14" s="1" t="s">
        <v>91</v>
      </c>
      <c r="P14" s="1" t="s">
        <v>61</v>
      </c>
      <c r="Q14" s="1" t="s">
        <v>61</v>
      </c>
      <c r="R14" s="1" t="s">
        <v>61</v>
      </c>
      <c r="S14" s="1" t="s">
        <v>61</v>
      </c>
      <c r="T14" s="1" t="s">
        <v>61</v>
      </c>
      <c r="V14" s="1" t="s">
        <v>61</v>
      </c>
      <c r="W14" s="1" t="s">
        <v>61</v>
      </c>
      <c r="X14" s="1" t="s">
        <v>61</v>
      </c>
      <c r="Y14" s="1" t="s">
        <v>114</v>
      </c>
      <c r="Z14" s="1" t="s">
        <v>115</v>
      </c>
      <c r="AA14" s="1" t="s">
        <v>116</v>
      </c>
      <c r="AB14" s="1"/>
      <c r="AC14" s="5" t="str">
        <f ca="1">IFERROR(__xludf.DUMMYFUNCTION("IF(Y14 = """", """", GOOGLETRANSLATE(Y14, ""en"", ""hi""))
"),"लंबित कार्य समाप्त करने के लिए अच्छा दिन")</f>
        <v>लंबित कार्य समाप्त करने के लिए अच्छा दिन</v>
      </c>
      <c r="AD14" s="5" t="str">
        <f ca="1">IFERROR(__xludf.DUMMYFUNCTION("IF(Z14 = """", """", GOOGLETRANSLATE(Z14, ""en"", ""hi""))"),"आकस्मिक खर्च")</f>
        <v>आकस्मिक खर्च</v>
      </c>
      <c r="AE14" s="5" t="str">
        <f ca="1">IFERROR(__xludf.DUMMYFUNCTION("IF(AA14 = """", """", GOOGLETRANSLATE(AA14, ""en"", ""hi""))"),"लंबित कार्य समाप्त होने पर आराम महसूस करें")</f>
        <v>लंबित कार्य समाप्त होने पर आराम महसूस करें</v>
      </c>
      <c r="AG14" s="5" t="str">
        <f ca="1">IFERROR(__xludf.DUMMYFUNCTION("IF(Y14 = """", """", GOOGLETRANSLATE(Y14, ""en"", ""mr""))"),"प्रलंबित काम पूर्ण करण्यासाठी चांगला दिवस")</f>
        <v>प्रलंबित काम पूर्ण करण्यासाठी चांगला दिवस</v>
      </c>
      <c r="AH14" s="5" t="str">
        <f ca="1">IFERROR(__xludf.DUMMYFUNCTION("IF(Z14 = """", """", GOOGLETRANSLATE(Z14, ""en"", ""mr""))"),"प्रासंगिक खर्च")</f>
        <v>प्रासंगिक खर्च</v>
      </c>
      <c r="AI14" s="5" t="str">
        <f ca="1">IFERROR(__xludf.DUMMYFUNCTION("IF(AA14 = """", """", GOOGLETRANSLATE(AA14, ""en"", ""mr""))"),"प्रलंबित काम संपल्यामुळे आराम वाटेल")</f>
        <v>प्रलंबित काम संपल्यामुळे आराम वाटेल</v>
      </c>
      <c r="AJ14" s="5" t="str">
        <f ca="1">IFERROR(__xludf.DUMMYFUNCTION("IF(AB14 = """", """", GOOGLETRANSLATE(AB14, ""en"", ""mr""))"),"")</f>
        <v/>
      </c>
      <c r="AK14" s="5" t="str">
        <f ca="1">IFERROR(__xludf.DUMMYFUNCTION("IF(Y14 = """", """", GOOGLETRANSLATE(Y14, ""en"", ""gu""))"),"પેન્ડિંગ કામ પૂરા કરવા માટે સારો દિવસ")</f>
        <v>પેન્ડિંગ કામ પૂરા કરવા માટે સારો દિવસ</v>
      </c>
      <c r="AL14" s="5" t="str">
        <f ca="1">IFERROR(__xludf.DUMMYFUNCTION("IF(Z14 = """", """", GOOGLETRANSLATE(Z14, ""en"", ""gu""))"),"પરચુરણ ખર્ચ")</f>
        <v>પરચુરણ ખર્ચ</v>
      </c>
      <c r="AM14" s="5" t="str">
        <f ca="1">IFERROR(__xludf.DUMMYFUNCTION("IF(AA14 = """", """", GOOGLETRANSLATE(AA14, ""en"", ""gu""))"),"બાકી કામ પૂરા થતાં હળવાશ અનુભવો")</f>
        <v>બાકી કામ પૂરા થતાં હળવાશ અનુભવો</v>
      </c>
      <c r="AN14" s="5" t="str">
        <f ca="1">IFERROR(__xludf.DUMMYFUNCTION("IF(AB14 = """", """", GOOGLETRANSLATE(AB14, ""en"", ""gu""))"),"")</f>
        <v/>
      </c>
      <c r="AO14" s="5" t="str">
        <f ca="1">IFERROR(__xludf.DUMMYFUNCTION("IF(Y14 = """", """", GOOGLETRANSLATE(Y14, ""en"", ""bn""))"),"মুলতুবি কাজ শেষ করার জন্য শুভ দিন")</f>
        <v>মুলতুবি কাজ শেষ করার জন্য শুভ দিন</v>
      </c>
      <c r="AP14" s="5" t="str">
        <f ca="1">IFERROR(__xludf.DUMMYFUNCTION("IF(Z14 = """", """", GOOGLETRANSLATE(Z14, ""en"", ""bn""))"),"নৈমিত্তিক খরচ")</f>
        <v>নৈমিত্তিক খরচ</v>
      </c>
      <c r="AQ14" s="5" t="str">
        <f ca="1">IFERROR(__xludf.DUMMYFUNCTION("IF(AA14 = """", """", GOOGLETRANSLATE(AA14, ""en"", ""bn""))"),"মুলতুবি কাজ শেষ হওয়ার সাথে সাথে শিথিলতা অনুভব করুন")</f>
        <v>মুলতুবি কাজ শেষ হওয়ার সাথে সাথে শিথিলতা অনুভব করুন</v>
      </c>
      <c r="AR14" s="5" t="str">
        <f ca="1">IFERROR(__xludf.DUMMYFUNCTION("IF(AB14 = """", """", GOOGLETRANSLATE(AB14, ""en"", ""bn""))"),"")</f>
        <v/>
      </c>
      <c r="AS14" s="1" t="s">
        <v>62</v>
      </c>
      <c r="AT14" s="1" t="s">
        <v>94</v>
      </c>
      <c r="AU14" s="5" t="str">
        <f ca="1">IFERROR(__xludf.DUMMYFUNCTION("IF(Y14 = """", """", GOOGLETRANSLATE(Y14, ""en"", ""te""))"),"పెండింగ్‌లో ఉన్న పనిని ముగించడానికి మంచి రోజు")</f>
        <v>పెండింగ్‌లో ఉన్న పనిని ముగించడానికి మంచి రోజు</v>
      </c>
      <c r="AV14" s="5" t="str">
        <f ca="1">IFERROR(__xludf.DUMMYFUNCTION("IF(Z14 = """", """", GOOGLETRANSLATE(Z14, ""en"", ""te""))"),"సాధారణ ఖర్చు")</f>
        <v>సాధారణ ఖర్చు</v>
      </c>
      <c r="AW14" s="5" t="str">
        <f ca="1">IFERROR(__xludf.DUMMYFUNCTION("IF(AA14 = """", """", GOOGLETRANSLATE(AA14, ""en"", ""te""))"),"పెండింగ్‌లో ఉన్న పని ముగిసినందున విశ్రాంతిని అనుభవిస్తారు")</f>
        <v>పెండింగ్‌లో ఉన్న పని ముగిసినందున విశ్రాంతిని అనుభవిస్తారు</v>
      </c>
      <c r="AX14" s="5" t="str">
        <f ca="1">IFERROR(__xludf.DUMMYFUNCTION("IF(AB14 = """", """", GOOGLETRANSLATE(AB14, ""en"", ""te""))"),"")</f>
        <v/>
      </c>
    </row>
    <row r="15" spans="1:56" x14ac:dyDescent="0.25">
      <c r="A15" s="1">
        <v>21</v>
      </c>
      <c r="B15" s="1" t="s">
        <v>56</v>
      </c>
      <c r="C15" s="6">
        <v>45823</v>
      </c>
      <c r="D15" s="6">
        <v>45823</v>
      </c>
      <c r="E15" s="1">
        <v>7</v>
      </c>
      <c r="F15" s="1">
        <v>1</v>
      </c>
      <c r="G15" s="3" t="s">
        <v>117</v>
      </c>
      <c r="H15" s="4">
        <v>8.2291666666666659E-3</v>
      </c>
      <c r="I15" s="7" t="s">
        <v>112</v>
      </c>
      <c r="J15" s="7" t="s">
        <v>118</v>
      </c>
      <c r="K15" s="1" t="s">
        <v>58</v>
      </c>
      <c r="L15" s="1" t="s">
        <v>64</v>
      </c>
      <c r="O15" s="1" t="s">
        <v>61</v>
      </c>
      <c r="P15" s="1" t="s">
        <v>61</v>
      </c>
      <c r="Q15" s="1" t="s">
        <v>61</v>
      </c>
      <c r="R15" s="1" t="s">
        <v>61</v>
      </c>
      <c r="S15" s="1" t="s">
        <v>61</v>
      </c>
      <c r="T15" s="1" t="s">
        <v>91</v>
      </c>
      <c r="V15" s="1" t="s">
        <v>61</v>
      </c>
      <c r="W15" s="1" t="s">
        <v>61</v>
      </c>
      <c r="X15" s="1" t="s">
        <v>61</v>
      </c>
      <c r="Y15" s="1" t="s">
        <v>119</v>
      </c>
      <c r="Z15" s="1" t="s">
        <v>120</v>
      </c>
      <c r="AB15" s="1"/>
      <c r="AC15" s="5" t="str">
        <f ca="1">IFERROR(__xludf.DUMMYFUNCTION("IF(Y15 = """", """", GOOGLETRANSLATE(Y15, ""en"", ""hi""))
"),"जब कोई आपको उकसाता है तो कोई प्रतिक्रिया नहीं, बल्कि कोई कार्रवाई नहीं")</f>
        <v>जब कोई आपको उकसाता है तो कोई प्रतिक्रिया नहीं, बल्कि कोई कार्रवाई नहीं</v>
      </c>
      <c r="AD15" s="5" t="str">
        <f ca="1">IFERROR(__xludf.DUMMYFUNCTION("IF(Z15 = """", """", GOOGLETRANSLATE(Z15, ""en"", ""hi""))"),"भावनात्मक रूप से सतर्क")</f>
        <v>भावनात्मक रूप से सतर्क</v>
      </c>
      <c r="AE15" s="5" t="str">
        <f ca="1">IFERROR(__xludf.DUMMYFUNCTION("IF(AA15 = """", """", GOOGLETRANSLATE(AA15, ""en"", ""hi""))"),"")</f>
        <v/>
      </c>
      <c r="AG15" s="5" t="str">
        <f ca="1">IFERROR(__xludf.DUMMYFUNCTION("IF(Y15 = """", """", GOOGLETRANSLATE(Y15, ""en"", ""mr""))"),"जेव्हा कोणी तुम्हाला चिथावणी देईल तेव्हा कृतीवर प्रतिक्रिया नाही")</f>
        <v>जेव्हा कोणी तुम्हाला चिथावणी देईल तेव्हा कृतीवर प्रतिक्रिया नाही</v>
      </c>
      <c r="AH15" s="5" t="str">
        <f ca="1">IFERROR(__xludf.DUMMYFUNCTION("IF(Z15 = """", """", GOOGLETRANSLATE(Z15, ""en"", ""mr""))"),"भावनिक सावध")</f>
        <v>भावनिक सावध</v>
      </c>
      <c r="AI15" s="5" t="str">
        <f ca="1">IFERROR(__xludf.DUMMYFUNCTION("IF(AA15 = """", """", GOOGLETRANSLATE(AA15, ""en"", ""mr""))"),"")</f>
        <v/>
      </c>
      <c r="AJ15" s="5" t="str">
        <f ca="1">IFERROR(__xludf.DUMMYFUNCTION("IF(AB15 = """", """", GOOGLETRANSLATE(AB15, ""en"", ""mr""))"),"")</f>
        <v/>
      </c>
      <c r="AK15" s="5" t="str">
        <f ca="1">IFERROR(__xludf.DUMMYFUNCTION("IF(Y15 = """", """", GOOGLETRANSLATE(Y15, ""en"", ""gu""))"),"જ્યારે કોઈ તમને ઉશ્કેરે ત્યારે ક્રિયા પર કોઈ પ્રતિક્રિયા નહીં")</f>
        <v>જ્યારે કોઈ તમને ઉશ્કેરે ત્યારે ક્રિયા પર કોઈ પ્રતિક્રિયા નહીં</v>
      </c>
      <c r="AL15" s="5" t="str">
        <f ca="1">IFERROR(__xludf.DUMMYFUNCTION("IF(Z15 = """", """", GOOGLETRANSLATE(Z15, ""en"", ""gu""))"),"ભાવનાત્મક સાવચેત")</f>
        <v>ભાવનાત્મક સાવચેત</v>
      </c>
      <c r="AM15" s="5" t="str">
        <f ca="1">IFERROR(__xludf.DUMMYFUNCTION("IF(AA15 = """", """", GOOGLETRANSLATE(AA15, ""en"", ""gu""))"),"")</f>
        <v/>
      </c>
      <c r="AN15" s="5" t="str">
        <f ca="1">IFERROR(__xludf.DUMMYFUNCTION("IF(AB15 = """", """", GOOGLETRANSLATE(AB15, ""en"", ""gu""))"),"")</f>
        <v/>
      </c>
      <c r="AO15" s="5" t="str">
        <f ca="1">IFERROR(__xludf.DUMMYFUNCTION("IF(Y15 = """", """", GOOGLETRANSLATE(Y15, ""en"", ""bn""))"),"কেউ আপনাকে প্ররোচিত করলে কর্মের উপর কোন প্রতিক্রিয়া নেই")</f>
        <v>কেউ আপনাকে প্ররোচিত করলে কর্মের উপর কোন প্রতিক্রিয়া নেই</v>
      </c>
      <c r="AP15" s="5" t="str">
        <f ca="1">IFERROR(__xludf.DUMMYFUNCTION("IF(Z15 = """", """", GOOGLETRANSLATE(Z15, ""en"", ""bn""))"),"মানসিক সতর্ক")</f>
        <v>মানসিক সতর্ক</v>
      </c>
      <c r="AQ15" s="5" t="str">
        <f ca="1">IFERROR(__xludf.DUMMYFUNCTION("IF(AA15 = """", """", GOOGLETRANSLATE(AA15, ""en"", ""bn""))"),"")</f>
        <v/>
      </c>
      <c r="AR15" s="5" t="str">
        <f ca="1">IFERROR(__xludf.DUMMYFUNCTION("IF(AB15 = """", """", GOOGLETRANSLATE(AB15, ""en"", ""bn""))"),"")</f>
        <v/>
      </c>
      <c r="AS15" s="1" t="s">
        <v>62</v>
      </c>
      <c r="AT15" s="1" t="s">
        <v>94</v>
      </c>
      <c r="AU15" s="5" t="str">
        <f ca="1">IFERROR(__xludf.DUMMYFUNCTION("IF(Y15 = """", """", GOOGLETRANSLATE(Y15, ""en"", ""te""))"),"ఎవరైనా మిమ్మల్ని రెచ్చగొట్టినప్పుడు చర్యపై స్పందన లేదు")</f>
        <v>ఎవరైనా మిమ్మల్ని రెచ్చగొట్టినప్పుడు చర్యపై స్పందన లేదు</v>
      </c>
      <c r="AV15" s="5" t="str">
        <f ca="1">IFERROR(__xludf.DUMMYFUNCTION("IF(Z15 = """", """", GOOGLETRANSLATE(Z15, ""en"", ""te""))"),"భావోద్వేగ జాగ్రత్తగా")</f>
        <v>భావోద్వేగ జాగ్రత్తగా</v>
      </c>
      <c r="AW15" s="5" t="str">
        <f ca="1">IFERROR(__xludf.DUMMYFUNCTION("IF(AA15 = """", """", GOOGLETRANSLATE(AA15, ""en"", ""te""))"),"")</f>
        <v/>
      </c>
      <c r="AX15" s="5" t="str">
        <f ca="1">IFERROR(__xludf.DUMMYFUNCTION("IF(AB15 = """", """", GOOGLETRANSLATE(AB15, ""en"", ""te""))"),"")</f>
        <v/>
      </c>
    </row>
    <row r="16" spans="1:56" x14ac:dyDescent="0.25">
      <c r="A16" s="1">
        <v>22</v>
      </c>
      <c r="B16" s="1" t="s">
        <v>56</v>
      </c>
      <c r="C16" s="6">
        <v>45823</v>
      </c>
      <c r="D16" s="6">
        <v>45823</v>
      </c>
      <c r="E16" s="1">
        <v>8</v>
      </c>
      <c r="F16" s="1">
        <v>1</v>
      </c>
      <c r="G16" s="3" t="s">
        <v>121</v>
      </c>
      <c r="H16" s="4">
        <v>8.2291666666666659E-3</v>
      </c>
      <c r="I16" s="7" t="s">
        <v>118</v>
      </c>
      <c r="J16" s="7" t="s">
        <v>122</v>
      </c>
      <c r="K16" s="1" t="s">
        <v>58</v>
      </c>
      <c r="L16" s="1" t="s">
        <v>68</v>
      </c>
      <c r="O16" s="1" t="s">
        <v>61</v>
      </c>
      <c r="P16" s="1" t="s">
        <v>61</v>
      </c>
      <c r="Q16" s="1" t="s">
        <v>61</v>
      </c>
      <c r="R16" s="1" t="s">
        <v>61</v>
      </c>
      <c r="S16" s="1" t="s">
        <v>61</v>
      </c>
      <c r="T16" s="1" t="s">
        <v>91</v>
      </c>
      <c r="V16" s="1" t="s">
        <v>61</v>
      </c>
      <c r="W16" s="1" t="s">
        <v>61</v>
      </c>
      <c r="X16" s="1" t="s">
        <v>61</v>
      </c>
      <c r="Y16" s="1" t="s">
        <v>123</v>
      </c>
      <c r="AB16" s="1"/>
      <c r="AC16" s="5" t="str">
        <f ca="1">IFERROR(__xludf.DUMMYFUNCTION("IF(Y16 = """", """", GOOGLETRANSLATE(Y16, ""en"", ""hi""))
"),"तनाव महसूस हो सकता है")</f>
        <v>तनाव महसूस हो सकता है</v>
      </c>
      <c r="AD16" s="5" t="str">
        <f ca="1">IFERROR(__xludf.DUMMYFUNCTION("IF(Z16 = """", """", GOOGLETRANSLATE(Z16, ""en"", ""hi""))"),"")</f>
        <v/>
      </c>
      <c r="AE16" s="5" t="str">
        <f ca="1">IFERROR(__xludf.DUMMYFUNCTION("IF(AA16 = """", """", GOOGLETRANSLATE(AA16, ""en"", ""hi""))"),"")</f>
        <v/>
      </c>
      <c r="AG16" s="5" t="str">
        <f ca="1">IFERROR(__xludf.DUMMYFUNCTION("IF(Y16 = """", """", GOOGLETRANSLATE(Y16, ""en"", ""mr""))"),"तणाव कमी होऊ शकतो")</f>
        <v>तणाव कमी होऊ शकतो</v>
      </c>
      <c r="AH16" s="5" t="str">
        <f ca="1">IFERROR(__xludf.DUMMYFUNCTION("IF(Z16 = """", """", GOOGLETRANSLATE(Z16, ""en"", ""mr""))"),"")</f>
        <v/>
      </c>
      <c r="AI16" s="5" t="str">
        <f ca="1">IFERROR(__xludf.DUMMYFUNCTION("IF(AA16 = """", """", GOOGLETRANSLATE(AA16, ""en"", ""mr""))"),"")</f>
        <v/>
      </c>
      <c r="AJ16" s="5" t="str">
        <f ca="1">IFERROR(__xludf.DUMMYFUNCTION("IF(AB16 = """", """", GOOGLETRANSLATE(AB16, ""en"", ""mr""))"),"")</f>
        <v/>
      </c>
      <c r="AK16" s="5" t="str">
        <f ca="1">IFERROR(__xludf.DUMMYFUNCTION("IF(Y16 = """", """", GOOGLETRANSLATE(Y16, ""en"", ""gu""))"),"તણાવ ઘટી શકે છે")</f>
        <v>તણાવ ઘટી શકે છે</v>
      </c>
      <c r="AL16" s="5" t="str">
        <f ca="1">IFERROR(__xludf.DUMMYFUNCTION("IF(Z16 = """", """", GOOGLETRANSLATE(Z16, ""en"", ""gu""))"),"")</f>
        <v/>
      </c>
      <c r="AM16" s="5" t="str">
        <f ca="1">IFERROR(__xludf.DUMMYFUNCTION("IF(AA16 = """", """", GOOGLETRANSLATE(AA16, ""en"", ""gu""))"),"")</f>
        <v/>
      </c>
      <c r="AN16" s="5" t="str">
        <f ca="1">IFERROR(__xludf.DUMMYFUNCTION("IF(AB16 = """", """", GOOGLETRANSLATE(AB16, ""en"", ""gu""))"),"")</f>
        <v/>
      </c>
      <c r="AO16" s="5" t="str">
        <f ca="1">IFERROR(__xludf.DUMMYFUNCTION("IF(Y16 = """", """", GOOGLETRANSLATE(Y16, ""en"", ""bn""))"),"চাপ পড়ে যেতে পারে")</f>
        <v>চাপ পড়ে যেতে পারে</v>
      </c>
      <c r="AP16" s="5" t="str">
        <f ca="1">IFERROR(__xludf.DUMMYFUNCTION("IF(Z16 = """", """", GOOGLETRANSLATE(Z16, ""en"", ""bn""))"),"")</f>
        <v/>
      </c>
      <c r="AQ16" s="5" t="str">
        <f ca="1">IFERROR(__xludf.DUMMYFUNCTION("IF(AA16 = """", """", GOOGLETRANSLATE(AA16, ""en"", ""bn""))"),"")</f>
        <v/>
      </c>
      <c r="AR16" s="5" t="str">
        <f ca="1">IFERROR(__xludf.DUMMYFUNCTION("IF(AB16 = """", """", GOOGLETRANSLATE(AB16, ""en"", ""bn""))"),"")</f>
        <v/>
      </c>
      <c r="AS16" s="1" t="s">
        <v>62</v>
      </c>
      <c r="AT16" s="1" t="s">
        <v>94</v>
      </c>
      <c r="AU16" s="5" t="str">
        <f ca="1">IFERROR(__xludf.DUMMYFUNCTION("IF(Y16 = """", """", GOOGLETRANSLATE(Y16, ""en"", ""te""))"),"ఒత్తిడి తగ్గవచ్చు")</f>
        <v>ఒత్తిడి తగ్గవచ్చు</v>
      </c>
      <c r="AV16" s="5" t="str">
        <f ca="1">IFERROR(__xludf.DUMMYFUNCTION("IF(Z16 = """", """", GOOGLETRANSLATE(Z16, ""en"", ""te""))"),"")</f>
        <v/>
      </c>
      <c r="AW16" s="5" t="str">
        <f ca="1">IFERROR(__xludf.DUMMYFUNCTION("IF(AA16 = """", """", GOOGLETRANSLATE(AA16, ""en"", ""te""))"),"")</f>
        <v/>
      </c>
      <c r="AX16" s="5" t="str">
        <f ca="1">IFERROR(__xludf.DUMMYFUNCTION("IF(AB16 = """", """", GOOGLETRANSLATE(AB16, ""en"", ""te""))"),"")</f>
        <v/>
      </c>
    </row>
    <row r="17" spans="1:50" x14ac:dyDescent="0.25">
      <c r="A17" s="1">
        <v>24</v>
      </c>
      <c r="B17" s="1" t="s">
        <v>56</v>
      </c>
      <c r="C17" s="6">
        <v>45823</v>
      </c>
      <c r="D17" s="6">
        <v>45823</v>
      </c>
      <c r="E17" s="1">
        <v>10</v>
      </c>
      <c r="F17" s="1">
        <v>1</v>
      </c>
      <c r="G17" s="3" t="s">
        <v>124</v>
      </c>
      <c r="H17" s="4">
        <v>8.2291666666666659E-3</v>
      </c>
      <c r="I17" s="7" t="s">
        <v>125</v>
      </c>
      <c r="J17" s="7" t="s">
        <v>126</v>
      </c>
      <c r="K17" s="1" t="s">
        <v>58</v>
      </c>
      <c r="L17" s="1" t="s">
        <v>76</v>
      </c>
      <c r="O17" s="1" t="s">
        <v>91</v>
      </c>
      <c r="P17" s="1" t="s">
        <v>61</v>
      </c>
      <c r="Q17" s="1" t="s">
        <v>61</v>
      </c>
      <c r="R17" s="1" t="s">
        <v>61</v>
      </c>
      <c r="S17" s="1" t="s">
        <v>61</v>
      </c>
      <c r="T17" s="1" t="s">
        <v>61</v>
      </c>
      <c r="V17" s="1" t="s">
        <v>61</v>
      </c>
      <c r="W17" s="1" t="s">
        <v>61</v>
      </c>
      <c r="X17" s="1" t="s">
        <v>61</v>
      </c>
      <c r="Y17" s="1" t="s">
        <v>127</v>
      </c>
      <c r="Z17" s="1" t="s">
        <v>128</v>
      </c>
      <c r="AA17" s="1" t="s">
        <v>129</v>
      </c>
      <c r="AB17" s="1"/>
      <c r="AC17" s="5" t="str">
        <f ca="1">IFERROR(__xludf.DUMMYFUNCTION("IF(Y17 = """", """", GOOGLETRANSLATE(Y17, ""en"", ""hi""))
"),"इस दिन या सप्ताह में कोई भी कार्य कर सकते हैं")</f>
        <v>इस दिन या सप्ताह में कोई भी कार्य कर सकते हैं</v>
      </c>
      <c r="AD17" s="5" t="str">
        <f ca="1">IFERROR(__xludf.DUMMYFUNCTION("IF(Z17 = """", """", GOOGLETRANSLATE(Z17, ""en"", ""hi""))"),"मित्रों और परिवार के बीच संतुलन बनाने में कठिनाई महसूस हो सकती है")</f>
        <v>मित्रों और परिवार के बीच संतुलन बनाने में कठिनाई महसूस हो सकती है</v>
      </c>
      <c r="AE17" s="5" t="str">
        <f ca="1">IFERROR(__xludf.DUMMYFUNCTION("IF(AA17 = """", """", GOOGLETRANSLATE(AA17, ""en"", ""hi""))"),"दोस्तों और परिवार के साथ गुणवत्तापूर्ण समय")</f>
        <v>दोस्तों और परिवार के साथ गुणवत्तापूर्ण समय</v>
      </c>
      <c r="AG17" s="5" t="str">
        <f ca="1">IFERROR(__xludf.DUMMYFUNCTION("IF(Y17 = """", """", GOOGLETRANSLATE(Y17, ""en"", ""mr""))"),"या दिवसात किंवा आठवड्यात कोणतेही कार्य करू शकता")</f>
        <v>या दिवसात किंवा आठवड्यात कोणतेही कार्य करू शकता</v>
      </c>
      <c r="AH17" s="5" t="str">
        <f ca="1">IFERROR(__xludf.DUMMYFUNCTION("IF(Z17 = """", """", GOOGLETRANSLATE(Z17, ""en"", ""mr""))"),"मित्र आणि कुटुंब यांच्यात संतुलन राखण्यात अडचण येऊ शकते")</f>
        <v>मित्र आणि कुटुंब यांच्यात संतुलन राखण्यात अडचण येऊ शकते</v>
      </c>
      <c r="AI17" s="5" t="str">
        <f ca="1">IFERROR(__xludf.DUMMYFUNCTION("IF(AA17 = """", """", GOOGLETRANSLATE(AA17, ""en"", ""mr""))"),"मित्र आणि कुटुंबासह दर्जेदार वेळ")</f>
        <v>मित्र आणि कुटुंबासह दर्जेदार वेळ</v>
      </c>
      <c r="AJ17" s="5" t="str">
        <f ca="1">IFERROR(__xludf.DUMMYFUNCTION("IF(AB17 = """", """", GOOGLETRANSLATE(AB17, ""en"", ""mr""))"),"")</f>
        <v/>
      </c>
      <c r="AK17" s="5" t="str">
        <f ca="1">IFERROR(__xludf.DUMMYFUNCTION("IF(Y17 = """", """", GOOGLETRANSLATE(Y17, ""en"", ""gu""))"),"આ દિવસે અથવા અઠવાડિયામાં કોઈપણ કાર્ય કરી શકો છો")</f>
        <v>આ દિવસે અથવા અઠવાડિયામાં કોઈપણ કાર્ય કરી શકો છો</v>
      </c>
      <c r="AL17" s="5" t="str">
        <f ca="1">IFERROR(__xludf.DUMMYFUNCTION("IF(Z17 = """", """", GOOGLETRANSLATE(Z17, ""en"", ""gu""))"),"મિત્રો અને પરિવાર વચ્ચે સંતુલન જાળવવામાં મુશ્કેલી અનુભવી શકો છો")</f>
        <v>મિત્રો અને પરિવાર વચ્ચે સંતુલન જાળવવામાં મુશ્કેલી અનુભવી શકો છો</v>
      </c>
      <c r="AM17" s="5" t="str">
        <f ca="1">IFERROR(__xludf.DUMMYFUNCTION("IF(AA17 = """", """", GOOGLETRANSLATE(AA17, ""en"", ""gu""))"),"મિત્રો અને પરિવાર સાથે ગુણવત્તાયુક્ત સમય")</f>
        <v>મિત્રો અને પરિવાર સાથે ગુણવત્તાયુક્ત સમય</v>
      </c>
      <c r="AN17" s="5" t="str">
        <f ca="1">IFERROR(__xludf.DUMMYFUNCTION("IF(AB17 = """", """", GOOGLETRANSLATE(AB17, ""en"", ""gu""))"),"")</f>
        <v/>
      </c>
      <c r="AO17" s="5" t="str">
        <f ca="1">IFERROR(__xludf.DUMMYFUNCTION("IF(Y17 = """", """", GOOGLETRANSLATE(Y17, ""en"", ""bn""))"),"এই দিনে বা সপ্তাহে যেকোনো কাজ করতে পারেন")</f>
        <v>এই দিনে বা সপ্তাহে যেকোনো কাজ করতে পারেন</v>
      </c>
      <c r="AP17" s="5" t="str">
        <f ca="1">IFERROR(__xludf.DUMMYFUNCTION("IF(Z17 = """", """", GOOGLETRANSLATE(Z17, ""en"", ""bn""))"),"বন্ধু এবং পরিবারের মধ্যে ভারসাম্য বজায় রাখতে অসুবিধা বোধ করতে পারে")</f>
        <v>বন্ধু এবং পরিবারের মধ্যে ভারসাম্য বজায় রাখতে অসুবিধা বোধ করতে পারে</v>
      </c>
      <c r="AQ17" s="5" t="str">
        <f ca="1">IFERROR(__xludf.DUMMYFUNCTION("IF(AA17 = """", """", GOOGLETRANSLATE(AA17, ""en"", ""bn""))"),"বন্ধু এবং পরিবারের সাথে মানসম্পন্ন সময়")</f>
        <v>বন্ধু এবং পরিবারের সাথে মানসম্পন্ন সময়</v>
      </c>
      <c r="AR17" s="5" t="str">
        <f ca="1">IFERROR(__xludf.DUMMYFUNCTION("IF(AB17 = """", """", GOOGLETRANSLATE(AB17, ""en"", ""bn""))"),"")</f>
        <v/>
      </c>
      <c r="AS17" s="1" t="s">
        <v>62</v>
      </c>
      <c r="AT17" s="1" t="s">
        <v>94</v>
      </c>
      <c r="AU17" s="5" t="str">
        <f ca="1">IFERROR(__xludf.DUMMYFUNCTION("IF(Y17 = """", """", GOOGLETRANSLATE(Y17, ""en"", ""te""))"),"ఈ రోజు లేదా వారంలో ఏదైనా పని చేయవచ్చు")</f>
        <v>ఈ రోజు లేదా వారంలో ఏదైనా పని చేయవచ్చు</v>
      </c>
      <c r="AV17" s="5" t="str">
        <f ca="1">IFERROR(__xludf.DUMMYFUNCTION("IF(Z17 = """", """", GOOGLETRANSLATE(Z17, ""en"", ""te""))"),"స్నేహితులు మరియు కుటుంబ సభ్యుల మధ్య బ్యాలెన్స్ చేయడంలో ఇబ్బందిగా అనిపించవచ్చు")</f>
        <v>స్నేహితులు మరియు కుటుంబ సభ్యుల మధ్య బ్యాలెన్స్ చేయడంలో ఇబ్బందిగా అనిపించవచ్చు</v>
      </c>
      <c r="AW17" s="5" t="str">
        <f ca="1">IFERROR(__xludf.DUMMYFUNCTION("IF(AA17 = """", """", GOOGLETRANSLATE(AA17, ""en"", ""te""))"),"స్నేహితులు మరియు కుటుంబ సభ్యులతో నాణ్యమైన సమయం")</f>
        <v>స్నేహితులు మరియు కుటుంబ సభ్యులతో నాణ్యమైన సమయం</v>
      </c>
      <c r="AX17" s="5" t="str">
        <f ca="1">IFERROR(__xludf.DUMMYFUNCTION("IF(AB17 = """", """", GOOGLETRANSLATE(AB17, ""en"", ""te""))"),"")</f>
        <v/>
      </c>
    </row>
    <row r="18" spans="1:50" x14ac:dyDescent="0.25">
      <c r="A18" s="1">
        <v>25</v>
      </c>
      <c r="B18" s="1" t="s">
        <v>56</v>
      </c>
      <c r="C18" s="6">
        <v>45823</v>
      </c>
      <c r="D18" s="6">
        <v>45823</v>
      </c>
      <c r="E18" s="1">
        <v>11</v>
      </c>
      <c r="F18" s="1">
        <v>1</v>
      </c>
      <c r="G18" s="3" t="s">
        <v>130</v>
      </c>
      <c r="H18" s="4">
        <v>8.2291666666666659E-3</v>
      </c>
      <c r="I18" s="7" t="s">
        <v>126</v>
      </c>
      <c r="J18" s="4">
        <v>7.3726851851851852E-3</v>
      </c>
      <c r="K18" s="1" t="s">
        <v>58</v>
      </c>
      <c r="L18" s="1" t="s">
        <v>79</v>
      </c>
      <c r="O18" s="1" t="s">
        <v>61</v>
      </c>
      <c r="P18" s="1" t="s">
        <v>61</v>
      </c>
      <c r="Q18" s="1" t="s">
        <v>61</v>
      </c>
      <c r="R18" s="1" t="s">
        <v>61</v>
      </c>
      <c r="S18" s="1" t="s">
        <v>61</v>
      </c>
      <c r="T18" s="1" t="s">
        <v>109</v>
      </c>
      <c r="U18" s="1" t="s">
        <v>91</v>
      </c>
      <c r="V18" s="1" t="s">
        <v>61</v>
      </c>
      <c r="W18" s="1" t="s">
        <v>61</v>
      </c>
      <c r="X18" s="1" t="s">
        <v>61</v>
      </c>
      <c r="Y18" s="1" t="s">
        <v>131</v>
      </c>
      <c r="Z18" s="1" t="s">
        <v>132</v>
      </c>
      <c r="AA18" s="1" t="s">
        <v>133</v>
      </c>
      <c r="AB18" s="1"/>
      <c r="AC18" s="5" t="str">
        <f ca="1">IFERROR(__xludf.DUMMYFUNCTION("IF(Y18 = """", """", GOOGLETRANSLATE(Y18, ""en"", ""hi""))
"),"शब्दों का प्रयोग सावधानी से करें, पुराने झगड़ों के कारण झगड़ा हो सकता है")</f>
        <v>शब्दों का प्रयोग सावधानी से करें, पुराने झगड़ों के कारण झगड़ा हो सकता है</v>
      </c>
      <c r="AD18" s="5" t="str">
        <f ca="1">IFERROR(__xludf.DUMMYFUNCTION("IF(Z18 = """", """", GOOGLETRANSLATE(Z18, ""en"", ""hi""))"),"इसमें शामिल न होने का प्रयास करें")</f>
        <v>इसमें शामिल न होने का प्रयास करें</v>
      </c>
      <c r="AE18" s="5" t="str">
        <f ca="1">IFERROR(__xludf.DUMMYFUNCTION("IF(AA18 = """", """", GOOGLETRANSLATE(AA18, ""en"", ""hi""))"),"अपने क्रोध पर नियंत्रण रखें")</f>
        <v>अपने क्रोध पर नियंत्रण रखें</v>
      </c>
      <c r="AG18" s="5" t="str">
        <f ca="1">IFERROR(__xludf.DUMMYFUNCTION("IF(Y18 = """", """", GOOGLETRANSLATE(Y18, ""en"", ""mr""))"),"शब्दांची काळजी घ्या जुन्या भांडणामुळे भांडण होऊ शकते")</f>
        <v>शब्दांची काळजी घ्या जुन्या भांडणामुळे भांडण होऊ शकते</v>
      </c>
      <c r="AH18" s="5" t="str">
        <f ca="1">IFERROR(__xludf.DUMMYFUNCTION("IF(Z18 = """", """", GOOGLETRANSLATE(Z18, ""en"", ""mr""))"),"सहभागी न होण्याचा प्रयत्न करा")</f>
        <v>सहभागी न होण्याचा प्रयत्न करा</v>
      </c>
      <c r="AI18" s="5" t="str">
        <f ca="1">IFERROR(__xludf.DUMMYFUNCTION("IF(AA18 = """", """", GOOGLETRANSLATE(AA18, ""en"", ""mr""))"),"तुमच्या रागावर नियंत्रण ठेवा")</f>
        <v>तुमच्या रागावर नियंत्रण ठेवा</v>
      </c>
      <c r="AJ18" s="5" t="str">
        <f ca="1">IFERROR(__xludf.DUMMYFUNCTION("IF(AB18 = """", """", GOOGLETRANSLATE(AB18, ""en"", ""mr""))"),"")</f>
        <v/>
      </c>
      <c r="AK18" s="5" t="str">
        <f ca="1">IFERROR(__xludf.DUMMYFUNCTION("IF(Y18 = """", """", GOOGLETRANSLATE(Y18, ""en"", ""gu""))"),"શબ્દોમાં સાવધાની રાખો, જૂના ઝઘડાને કારણે ઝઘડો થઈ શકે છે")</f>
        <v>શબ્દોમાં સાવધાની રાખો, જૂના ઝઘડાને કારણે ઝઘડો થઈ શકે છે</v>
      </c>
      <c r="AL18" s="5" t="str">
        <f ca="1">IFERROR(__xludf.DUMMYFUNCTION("IF(Z18 = """", """", GOOGLETRANSLATE(Z18, ""en"", ""gu""))"),"સામેલ ન થવાનો પ્રયાસ કરો")</f>
        <v>સામેલ ન થવાનો પ્રયાસ કરો</v>
      </c>
      <c r="AM18" s="5" t="str">
        <f ca="1">IFERROR(__xludf.DUMMYFUNCTION("IF(AA18 = """", """", GOOGLETRANSLATE(AA18, ""en"", ""gu""))"),"તમારા ગુસ્સા પર નિયંત્રણ રાખો")</f>
        <v>તમારા ગુસ્સા પર નિયંત્રણ રાખો</v>
      </c>
      <c r="AN18" s="5" t="str">
        <f ca="1">IFERROR(__xludf.DUMMYFUNCTION("IF(AB18 = """", """", GOOGLETRANSLATE(AB18, ""en"", ""gu""))"),"")</f>
        <v/>
      </c>
      <c r="AO18" s="5" t="str">
        <f ca="1">IFERROR(__xludf.DUMMYFUNCTION("IF(Y18 = """", """", GOOGLETRANSLATE(Y18, ""en"", ""bn""))"),"কথায় সতর্ক থাকুন পুরানো ঝগড়ার কারণে ঝগড়া হতে পারে")</f>
        <v>কথায় সতর্ক থাকুন পুরানো ঝগড়ার কারণে ঝগড়া হতে পারে</v>
      </c>
      <c r="AP18" s="5" t="str">
        <f ca="1">IFERROR(__xludf.DUMMYFUNCTION("IF(Z18 = """", """", GOOGLETRANSLATE(Z18, ""en"", ""bn""))"),"জড়িত না করার চেষ্টা করুন")</f>
        <v>জড়িত না করার চেষ্টা করুন</v>
      </c>
      <c r="AQ18" s="5" t="str">
        <f ca="1">IFERROR(__xludf.DUMMYFUNCTION("IF(AA18 = """", """", GOOGLETRANSLATE(AA18, ""en"", ""bn""))"),"আপনার রাগ নিয়ন্ত্রণ করুন")</f>
        <v>আপনার রাগ নিয়ন্ত্রণ করুন</v>
      </c>
      <c r="AR18" s="5" t="str">
        <f ca="1">IFERROR(__xludf.DUMMYFUNCTION("IF(AB18 = """", """", GOOGLETRANSLATE(AB18, ""en"", ""bn""))"),"")</f>
        <v/>
      </c>
      <c r="AS18" s="1" t="s">
        <v>62</v>
      </c>
      <c r="AT18" s="1" t="s">
        <v>94</v>
      </c>
      <c r="AU18" s="5" t="str">
        <f ca="1">IFERROR(__xludf.DUMMYFUNCTION("IF(Y18 = """", """", GOOGLETRANSLATE(Y18, ""en"", ""te""))"),"మాటలతో జాగ్రత్తగా ఉండండి పాత గొడవల వల్ల గొడవలు వచ్చే అవకాశం ఉంది")</f>
        <v>మాటలతో జాగ్రత్తగా ఉండండి పాత గొడవల వల్ల గొడవలు వచ్చే అవకాశం ఉంది</v>
      </c>
      <c r="AV18" s="5" t="str">
        <f ca="1">IFERROR(__xludf.DUMMYFUNCTION("IF(Z18 = """", """", GOOGLETRANSLATE(Z18, ""en"", ""te""))"),"పాలుపంచుకోకుండా ప్రయత్నించండి")</f>
        <v>పాలుపంచుకోకుండా ప్రయత్నించండి</v>
      </c>
      <c r="AW18" s="5" t="str">
        <f ca="1">IFERROR(__xludf.DUMMYFUNCTION("IF(AA18 = """", """", GOOGLETRANSLATE(AA18, ""en"", ""te""))"),"మీ కోపాన్ని నియంత్రించుకోండి")</f>
        <v>మీ కోపాన్ని నియంత్రించుకోండి</v>
      </c>
      <c r="AX18" s="5" t="str">
        <f ca="1">IFERROR(__xludf.DUMMYFUNCTION("IF(AB18 = """", """", GOOGLETRANSLATE(AB18, ""en"", ""te""))"),"")</f>
        <v/>
      </c>
    </row>
    <row r="19" spans="1:50" x14ac:dyDescent="0.25">
      <c r="A19" s="1">
        <v>26</v>
      </c>
      <c r="B19" s="1" t="s">
        <v>56</v>
      </c>
      <c r="C19" s="6">
        <v>45823</v>
      </c>
      <c r="D19" s="6">
        <v>45823</v>
      </c>
      <c r="E19" s="1">
        <v>12</v>
      </c>
      <c r="F19" s="1">
        <v>1</v>
      </c>
      <c r="G19" s="3" t="s">
        <v>134</v>
      </c>
      <c r="H19" s="4">
        <v>8.2291666666666659E-3</v>
      </c>
      <c r="I19" s="4">
        <v>7.3726851851851852E-3</v>
      </c>
      <c r="J19" s="4">
        <v>8.7615740740740744E-3</v>
      </c>
      <c r="K19" s="1" t="s">
        <v>58</v>
      </c>
      <c r="L19" s="1" t="s">
        <v>81</v>
      </c>
      <c r="O19" s="1" t="s">
        <v>61</v>
      </c>
      <c r="P19" s="1" t="s">
        <v>61</v>
      </c>
      <c r="Q19" s="1" t="s">
        <v>61</v>
      </c>
      <c r="R19" s="1" t="s">
        <v>61</v>
      </c>
      <c r="S19" s="1" t="s">
        <v>61</v>
      </c>
      <c r="T19" s="1" t="s">
        <v>91</v>
      </c>
      <c r="V19" s="1" t="s">
        <v>61</v>
      </c>
      <c r="W19" s="1" t="s">
        <v>61</v>
      </c>
      <c r="X19" s="1" t="s">
        <v>61</v>
      </c>
      <c r="Y19" s="1" t="s">
        <v>135</v>
      </c>
      <c r="Z19" s="1" t="s">
        <v>136</v>
      </c>
      <c r="AB19" s="1"/>
      <c r="AC19" s="5" t="str">
        <f ca="1">IFERROR(__xludf.DUMMYFUNCTION("IF(Y19 = """", """", GOOGLETRANSLATE(Y19, ""en"", ""hi""))
"),"वाहन और सीढ़ियों से सावधान रहें")</f>
        <v>वाहन और सीढ़ियों से सावधान रहें</v>
      </c>
      <c r="AD19" s="5" t="str">
        <f ca="1">IFERROR(__xludf.DUMMYFUNCTION("IF(Z19 = """", """", GOOGLETRANSLATE(Z19, ""en"", ""hi""))"),"तनाव महसूस करना")</f>
        <v>तनाव महसूस करना</v>
      </c>
      <c r="AE19" s="5" t="str">
        <f ca="1">IFERROR(__xludf.DUMMYFUNCTION("IF(AA19 = """", """", GOOGLETRANSLATE(AA19, ""en"", ""hi""))"),"")</f>
        <v/>
      </c>
      <c r="AG19" s="5" t="str">
        <f ca="1">IFERROR(__xludf.DUMMYFUNCTION("IF(Y19 = """", """", GOOGLETRANSLATE(Y19, ""en"", ""mr""))"),"वाहन आणि पावले सावध रहा")</f>
        <v>वाहन आणि पावले सावध रहा</v>
      </c>
      <c r="AH19" s="5" t="str">
        <f ca="1">IFERROR(__xludf.DUMMYFUNCTION("IF(Z19 = """", """", GOOGLETRANSLATE(Z19, ""en"", ""mr""))"),"तणाव जाणवणे")</f>
        <v>तणाव जाणवणे</v>
      </c>
      <c r="AI19" s="5" t="str">
        <f ca="1">IFERROR(__xludf.DUMMYFUNCTION("IF(AA19 = """", """", GOOGLETRANSLATE(AA19, ""en"", ""mr""))"),"")</f>
        <v/>
      </c>
      <c r="AJ19" s="5" t="str">
        <f ca="1">IFERROR(__xludf.DUMMYFUNCTION("IF(AB19 = """", """", GOOGLETRANSLATE(AB19, ""en"", ""mr""))"),"")</f>
        <v/>
      </c>
      <c r="AK19" s="5" t="str">
        <f ca="1">IFERROR(__xludf.DUMMYFUNCTION("IF(Y19 = """", """", GOOGLETRANSLATE(Y19, ""en"", ""gu""))"),"વાહન અને પગથિયામાં સાવધાની રાખો")</f>
        <v>વાહન અને પગથિયામાં સાવધાની રાખો</v>
      </c>
      <c r="AL19" s="5" t="str">
        <f ca="1">IFERROR(__xludf.DUMMYFUNCTION("IF(Z19 = """", """", GOOGLETRANSLATE(Z19, ""en"", ""gu""))"),"તણાવ અનુભવો")</f>
        <v>તણાવ અનુભવો</v>
      </c>
      <c r="AM19" s="5" t="str">
        <f ca="1">IFERROR(__xludf.DUMMYFUNCTION("IF(AA19 = """", """", GOOGLETRANSLATE(AA19, ""en"", ""gu""))"),"")</f>
        <v/>
      </c>
      <c r="AN19" s="5" t="str">
        <f ca="1">IFERROR(__xludf.DUMMYFUNCTION("IF(AB19 = """", """", GOOGLETRANSLATE(AB19, ""en"", ""gu""))"),"")</f>
        <v/>
      </c>
      <c r="AO19" s="5" t="str">
        <f ca="1">IFERROR(__xludf.DUMMYFUNCTION("IF(Y19 = """", """", GOOGLETRANSLATE(Y19, ""en"", ""bn""))"),"যানবাহন এবং পদক্ষেপ সম্পর্কে সতর্ক থাকুন")</f>
        <v>যানবাহন এবং পদক্ষেপ সম্পর্কে সতর্ক থাকুন</v>
      </c>
      <c r="AP19" s="5" t="str">
        <f ca="1">IFERROR(__xludf.DUMMYFUNCTION("IF(Z19 = """", """", GOOGLETRANSLATE(Z19, ""en"", ""bn""))"),"চাপ অনুভব করা")</f>
        <v>চাপ অনুভব করা</v>
      </c>
      <c r="AQ19" s="5" t="str">
        <f ca="1">IFERROR(__xludf.DUMMYFUNCTION("IF(AA19 = """", """", GOOGLETRANSLATE(AA19, ""en"", ""bn""))"),"")</f>
        <v/>
      </c>
      <c r="AR19" s="5" t="str">
        <f ca="1">IFERROR(__xludf.DUMMYFUNCTION("IF(AB19 = """", """", GOOGLETRANSLATE(AB19, ""en"", ""bn""))"),"")</f>
        <v/>
      </c>
      <c r="AS19" s="1" t="s">
        <v>62</v>
      </c>
      <c r="AT19" s="1" t="s">
        <v>94</v>
      </c>
      <c r="AU19" s="5" t="str">
        <f ca="1">IFERROR(__xludf.DUMMYFUNCTION("IF(Y19 = """", """", GOOGLETRANSLATE(Y19, ""en"", ""te""))"),"వాహనం మరియు మెట్ల విషయంలో జాగ్రత్తగా ఉండండి")</f>
        <v>వాహనం మరియు మెట్ల విషయంలో జాగ్రత్తగా ఉండండి</v>
      </c>
      <c r="AV19" s="5" t="str">
        <f ca="1">IFERROR(__xludf.DUMMYFUNCTION("IF(Z19 = """", """", GOOGLETRANSLATE(Z19, ""en"", ""te""))"),"ఒత్తిడిని అనుభవిస్తారు")</f>
        <v>ఒత్తిడిని అనుభవిస్తారు</v>
      </c>
      <c r="AW19" s="5" t="str">
        <f ca="1">IFERROR(__xludf.DUMMYFUNCTION("IF(AA19 = """", """", GOOGLETRANSLATE(AA19, ""en"", ""te""))"),"")</f>
        <v/>
      </c>
      <c r="AX19" s="5" t="str">
        <f ca="1">IFERROR(__xludf.DUMMYFUNCTION("IF(AB19 = """", """", GOOGLETRANSLATE(AB19, ""en"", ""te""))"),"")</f>
        <v/>
      </c>
    </row>
    <row r="20" spans="1:50" x14ac:dyDescent="0.25">
      <c r="A20" s="1">
        <v>27</v>
      </c>
      <c r="B20" s="1" t="s">
        <v>56</v>
      </c>
      <c r="C20" s="6">
        <v>45823</v>
      </c>
      <c r="D20" s="6">
        <v>45823</v>
      </c>
      <c r="E20" s="1">
        <v>13</v>
      </c>
      <c r="F20" s="1">
        <v>1</v>
      </c>
      <c r="G20" s="3" t="s">
        <v>134</v>
      </c>
      <c r="L20" s="1" t="s">
        <v>137</v>
      </c>
      <c r="O20" s="1" t="s">
        <v>61</v>
      </c>
      <c r="P20" s="1" t="s">
        <v>61</v>
      </c>
      <c r="Q20" s="1" t="s">
        <v>61</v>
      </c>
      <c r="R20" s="1" t="s">
        <v>61</v>
      </c>
      <c r="S20" s="1" t="s">
        <v>61</v>
      </c>
      <c r="T20" s="1" t="s">
        <v>61</v>
      </c>
      <c r="V20" s="1" t="s">
        <v>61</v>
      </c>
      <c r="W20" s="1" t="s">
        <v>61</v>
      </c>
      <c r="X20" s="1" t="s">
        <v>61</v>
      </c>
      <c r="AB20" s="1"/>
      <c r="AC20" s="5" t="str">
        <f ca="1">IFERROR(__xludf.DUMMYFUNCTION("IF(Y20 = """", """", GOOGLETRANSLATE(Y20, ""en"", ""hi""))
"),"")</f>
        <v/>
      </c>
      <c r="AD20" s="5" t="str">
        <f ca="1">IFERROR(__xludf.DUMMYFUNCTION("IF(Z20 = """", """", GOOGLETRANSLATE(Z20, ""en"", ""hi""))"),"")</f>
        <v/>
      </c>
      <c r="AE20" s="5" t="str">
        <f ca="1">IFERROR(__xludf.DUMMYFUNCTION("IF(AA20 = """", """", GOOGLETRANSLATE(AA20, ""en"", ""hi""))"),"")</f>
        <v/>
      </c>
      <c r="AG20" s="5" t="str">
        <f ca="1">IFERROR(__xludf.DUMMYFUNCTION("IF(Y20 = """", """", GOOGLETRANSLATE(Y20, ""en"", ""mr""))"),"")</f>
        <v/>
      </c>
      <c r="AH20" s="5" t="str">
        <f ca="1">IFERROR(__xludf.DUMMYFUNCTION("IF(Z20 = """", """", GOOGLETRANSLATE(Z20, ""en"", ""mr""))"),"")</f>
        <v/>
      </c>
      <c r="AI20" s="5" t="str">
        <f ca="1">IFERROR(__xludf.DUMMYFUNCTION("IF(AA20 = """", """", GOOGLETRANSLATE(AA20, ""en"", ""mr""))"),"")</f>
        <v/>
      </c>
      <c r="AJ20" s="5" t="str">
        <f ca="1">IFERROR(__xludf.DUMMYFUNCTION("IF(AB20 = """", """", GOOGLETRANSLATE(AB20, ""en"", ""mr""))"),"")</f>
        <v/>
      </c>
      <c r="AK20" s="5" t="str">
        <f ca="1">IFERROR(__xludf.DUMMYFUNCTION("IF(Y20 = """", """", GOOGLETRANSLATE(Y20, ""en"", ""gu""))"),"")</f>
        <v/>
      </c>
      <c r="AL20" s="5" t="str">
        <f ca="1">IFERROR(__xludf.DUMMYFUNCTION("IF(Z20 = """", """", GOOGLETRANSLATE(Z20, ""en"", ""gu""))"),"")</f>
        <v/>
      </c>
      <c r="AM20" s="5" t="str">
        <f ca="1">IFERROR(__xludf.DUMMYFUNCTION("IF(AA20 = """", """", GOOGLETRANSLATE(AA20, ""en"", ""gu""))"),"")</f>
        <v/>
      </c>
      <c r="AN20" s="5" t="str">
        <f ca="1">IFERROR(__xludf.DUMMYFUNCTION("IF(AB20 = """", """", GOOGLETRANSLATE(AB20, ""en"", ""gu""))"),"")</f>
        <v/>
      </c>
      <c r="AO20" s="5" t="str">
        <f ca="1">IFERROR(__xludf.DUMMYFUNCTION("IF(Y20 = """", """", GOOGLETRANSLATE(Y20, ""en"", ""bn""))"),"")</f>
        <v/>
      </c>
      <c r="AP20" s="5" t="str">
        <f ca="1">IFERROR(__xludf.DUMMYFUNCTION("IF(Z20 = """", """", GOOGLETRANSLATE(Z20, ""en"", ""bn""))"),"")</f>
        <v/>
      </c>
      <c r="AQ20" s="5" t="str">
        <f ca="1">IFERROR(__xludf.DUMMYFUNCTION("IF(AA20 = """", """", GOOGLETRANSLATE(AA20, ""en"", ""bn""))"),"")</f>
        <v/>
      </c>
      <c r="AR20" s="5" t="str">
        <f ca="1">IFERROR(__xludf.DUMMYFUNCTION("IF(AB20 = """", """", GOOGLETRANSLATE(AB20, ""en"", ""bn""))"),"")</f>
        <v/>
      </c>
      <c r="AS20" s="1" t="s">
        <v>62</v>
      </c>
      <c r="AT20" s="1" t="s">
        <v>94</v>
      </c>
      <c r="AU20" s="5" t="str">
        <f ca="1">IFERROR(__xludf.DUMMYFUNCTION("IF(Y20 = """", """", GOOGLETRANSLATE(Y20, ""en"", ""te""))"),"")</f>
        <v/>
      </c>
      <c r="AV20" s="5" t="str">
        <f ca="1">IFERROR(__xludf.DUMMYFUNCTION("IF(Z20 = """", """", GOOGLETRANSLATE(Z20, ""en"", ""te""))"),"")</f>
        <v/>
      </c>
      <c r="AW20" s="5" t="str">
        <f ca="1">IFERROR(__xludf.DUMMYFUNCTION("IF(AA20 = """", """", GOOGLETRANSLATE(AA20, ""en"", ""te""))"),"")</f>
        <v/>
      </c>
      <c r="AX20" s="5" t="str">
        <f ca="1">IFERROR(__xludf.DUMMYFUNCTION("IF(AB20 = """", """", GOOGLETRANSLATE(AB20, ""en"", ""te""))"),"")</f>
        <v/>
      </c>
    </row>
    <row r="21" spans="1:50" x14ac:dyDescent="0.25">
      <c r="A21" s="1">
        <v>28</v>
      </c>
      <c r="B21" s="1" t="s">
        <v>56</v>
      </c>
      <c r="C21" s="6">
        <v>45824</v>
      </c>
      <c r="D21" s="6">
        <v>45824</v>
      </c>
      <c r="E21" s="1">
        <v>0</v>
      </c>
      <c r="F21" s="1">
        <v>1</v>
      </c>
      <c r="G21" s="3" t="s">
        <v>138</v>
      </c>
      <c r="H21" s="4">
        <v>9.2824074074074076E-3</v>
      </c>
      <c r="I21" s="7" t="s">
        <v>139</v>
      </c>
      <c r="J21" s="7" t="s">
        <v>140</v>
      </c>
      <c r="K21" s="1" t="s">
        <v>58</v>
      </c>
      <c r="L21" s="1" t="s">
        <v>59</v>
      </c>
      <c r="O21" s="1" t="s">
        <v>61</v>
      </c>
      <c r="P21" s="1" t="s">
        <v>61</v>
      </c>
      <c r="Q21" s="1" t="s">
        <v>61</v>
      </c>
      <c r="R21" s="1" t="s">
        <v>61</v>
      </c>
      <c r="S21" s="1" t="s">
        <v>61</v>
      </c>
      <c r="T21" s="1" t="s">
        <v>61</v>
      </c>
      <c r="V21" s="1" t="s">
        <v>61</v>
      </c>
      <c r="W21" s="1" t="s">
        <v>61</v>
      </c>
      <c r="X21" s="1" t="s">
        <v>61</v>
      </c>
      <c r="AB21" s="1"/>
      <c r="AC21" s="5" t="str">
        <f ca="1">IFERROR(__xludf.DUMMYFUNCTION("IF(Y21 = """", """", GOOGLETRANSLATE(Y21, ""en"", ""hi""))
"),"")</f>
        <v/>
      </c>
      <c r="AD21" s="5" t="str">
        <f ca="1">IFERROR(__xludf.DUMMYFUNCTION("IF(Z21 = """", """", GOOGLETRANSLATE(Z21, ""en"", ""hi""))"),"")</f>
        <v/>
      </c>
      <c r="AE21" s="5" t="str">
        <f ca="1">IFERROR(__xludf.DUMMYFUNCTION("IF(AA21 = """", """", GOOGLETRANSLATE(AA21, ""en"", ""hi""))"),"")</f>
        <v/>
      </c>
      <c r="AG21" s="5" t="str">
        <f ca="1">IFERROR(__xludf.DUMMYFUNCTION("IF(Y21 = """", """", GOOGLETRANSLATE(Y21, ""en"", ""mr""))"),"")</f>
        <v/>
      </c>
      <c r="AH21" s="5" t="str">
        <f ca="1">IFERROR(__xludf.DUMMYFUNCTION("IF(Z21 = """", """", GOOGLETRANSLATE(Z21, ""en"", ""mr""))"),"")</f>
        <v/>
      </c>
      <c r="AI21" s="5" t="str">
        <f ca="1">IFERROR(__xludf.DUMMYFUNCTION("IF(AA21 = """", """", GOOGLETRANSLATE(AA21, ""en"", ""mr""))"),"")</f>
        <v/>
      </c>
      <c r="AJ21" s="5" t="str">
        <f ca="1">IFERROR(__xludf.DUMMYFUNCTION("IF(AB21 = """", """", GOOGLETRANSLATE(AB21, ""en"", ""mr""))"),"")</f>
        <v/>
      </c>
      <c r="AK21" s="5" t="str">
        <f ca="1">IFERROR(__xludf.DUMMYFUNCTION("IF(Y21 = """", """", GOOGLETRANSLATE(Y21, ""en"", ""gu""))"),"")</f>
        <v/>
      </c>
      <c r="AL21" s="5" t="str">
        <f ca="1">IFERROR(__xludf.DUMMYFUNCTION("IF(Z21 = """", """", GOOGLETRANSLATE(Z21, ""en"", ""gu""))"),"")</f>
        <v/>
      </c>
      <c r="AM21" s="5" t="str">
        <f ca="1">IFERROR(__xludf.DUMMYFUNCTION("IF(AA21 = """", """", GOOGLETRANSLATE(AA21, ""en"", ""gu""))"),"")</f>
        <v/>
      </c>
      <c r="AN21" s="5" t="str">
        <f ca="1">IFERROR(__xludf.DUMMYFUNCTION("IF(AB21 = """", """", GOOGLETRANSLATE(AB21, ""en"", ""gu""))"),"")</f>
        <v/>
      </c>
      <c r="AO21" s="5" t="str">
        <f ca="1">IFERROR(__xludf.DUMMYFUNCTION("IF(Y21 = """", """", GOOGLETRANSLATE(Y21, ""en"", ""bn""))"),"")</f>
        <v/>
      </c>
      <c r="AP21" s="5" t="str">
        <f ca="1">IFERROR(__xludf.DUMMYFUNCTION("IF(Z21 = """", """", GOOGLETRANSLATE(Z21, ""en"", ""bn""))"),"")</f>
        <v/>
      </c>
      <c r="AQ21" s="5" t="str">
        <f ca="1">IFERROR(__xludf.DUMMYFUNCTION("IF(AA21 = """", """", GOOGLETRANSLATE(AA21, ""en"", ""bn""))"),"")</f>
        <v/>
      </c>
      <c r="AR21" s="5" t="str">
        <f ca="1">IFERROR(__xludf.DUMMYFUNCTION("IF(AB21 = """", """", GOOGLETRANSLATE(AB21, ""en"", ""bn""))"),"")</f>
        <v/>
      </c>
      <c r="AS21" s="1" t="s">
        <v>62</v>
      </c>
      <c r="AT21" s="1" t="s">
        <v>94</v>
      </c>
      <c r="AU21" s="5" t="str">
        <f ca="1">IFERROR(__xludf.DUMMYFUNCTION("IF(Y21 = """", """", GOOGLETRANSLATE(Y21, ""en"", ""te""))"),"")</f>
        <v/>
      </c>
      <c r="AV21" s="5" t="str">
        <f ca="1">IFERROR(__xludf.DUMMYFUNCTION("IF(Z21 = """", """", GOOGLETRANSLATE(Z21, ""en"", ""te""))"),"")</f>
        <v/>
      </c>
      <c r="AW21" s="5" t="str">
        <f ca="1">IFERROR(__xludf.DUMMYFUNCTION("IF(AA21 = """", """", GOOGLETRANSLATE(AA21, ""en"", ""te""))"),"")</f>
        <v/>
      </c>
      <c r="AX21" s="5" t="str">
        <f ca="1">IFERROR(__xludf.DUMMYFUNCTION("IF(AB21 = """", """", GOOGLETRANSLATE(AB21, ""en"", ""te""))"),"")</f>
        <v/>
      </c>
    </row>
    <row r="22" spans="1:50" x14ac:dyDescent="0.25">
      <c r="A22" s="1">
        <v>29</v>
      </c>
      <c r="B22" s="1" t="s">
        <v>56</v>
      </c>
      <c r="C22" s="6">
        <v>45824</v>
      </c>
      <c r="D22" s="6">
        <v>45824</v>
      </c>
      <c r="E22" s="1">
        <v>1</v>
      </c>
      <c r="F22" s="1">
        <v>1</v>
      </c>
      <c r="G22" s="3" t="s">
        <v>138</v>
      </c>
      <c r="H22" s="4">
        <v>9.2824074074074076E-3</v>
      </c>
      <c r="I22" s="7" t="s">
        <v>140</v>
      </c>
      <c r="J22" s="7" t="s">
        <v>141</v>
      </c>
      <c r="K22" s="1" t="s">
        <v>58</v>
      </c>
      <c r="L22" s="1" t="s">
        <v>142</v>
      </c>
      <c r="M22" s="1" t="s">
        <v>17</v>
      </c>
      <c r="O22" s="1" t="s">
        <v>61</v>
      </c>
      <c r="P22" s="1" t="s">
        <v>61</v>
      </c>
      <c r="Q22" s="1" t="s">
        <v>61</v>
      </c>
      <c r="R22" s="1" t="s">
        <v>91</v>
      </c>
      <c r="S22" s="1" t="s">
        <v>61</v>
      </c>
      <c r="T22" s="1" t="s">
        <v>61</v>
      </c>
      <c r="V22" s="1" t="s">
        <v>61</v>
      </c>
      <c r="W22" s="1" t="s">
        <v>61</v>
      </c>
      <c r="X22" s="1" t="s">
        <v>61</v>
      </c>
      <c r="Y22" s="1" t="s">
        <v>143</v>
      </c>
      <c r="Z22" s="1" t="s">
        <v>144</v>
      </c>
      <c r="AA22" s="1" t="s">
        <v>145</v>
      </c>
      <c r="AB22" s="1"/>
      <c r="AC22" s="5" t="str">
        <f ca="1">IFERROR(__xludf.DUMMYFUNCTION("IF(Y22 = """", """", GOOGLETRANSLATE(Y22, ""en"", ""hi""))
"),"ज़िम्मेदारियों का बोझ")</f>
        <v>ज़िम्मेदारियों का बोझ</v>
      </c>
      <c r="AD22" s="5" t="str">
        <f ca="1">IFERROR(__xludf.DUMMYFUNCTION("IF(Z22 = """", """", GOOGLETRANSLATE(Z22, ""en"", ""hi""))"),"लंबित कार्य")</f>
        <v>लंबित कार्य</v>
      </c>
      <c r="AE22" s="5" t="str">
        <f ca="1">IFERROR(__xludf.DUMMYFUNCTION("IF(AA22 = """", """", GOOGLETRANSLATE(AA22, ""en"", ""hi""))"),"कार्यभार के कारण मानसिक तनाव")</f>
        <v>कार्यभार के कारण मानसिक तनाव</v>
      </c>
      <c r="AG22" s="5" t="str">
        <f ca="1">IFERROR(__xludf.DUMMYFUNCTION("IF(Y22 = """", """", GOOGLETRANSLATE(Y22, ""en"", ""mr""))"),"जबाबदाऱ्यांचे ओझे")</f>
        <v>जबाबदाऱ्यांचे ओझे</v>
      </c>
      <c r="AH22" s="5" t="str">
        <f ca="1">IFERROR(__xludf.DUMMYFUNCTION("IF(Z22 = """", """", GOOGLETRANSLATE(Z22, ""en"", ""mr""))"),"प्रलंबित कामे")</f>
        <v>प्रलंबित कामे</v>
      </c>
      <c r="AI22" s="5" t="str">
        <f ca="1">IFERROR(__xludf.DUMMYFUNCTION("IF(AA22 = """", """", GOOGLETRANSLATE(AA22, ""en"", ""mr""))"),"कामाच्या ताणामुळे मानसिक ताण")</f>
        <v>कामाच्या ताणामुळे मानसिक ताण</v>
      </c>
      <c r="AJ22" s="5" t="str">
        <f ca="1">IFERROR(__xludf.DUMMYFUNCTION("IF(AB22 = """", """", GOOGLETRANSLATE(AB22, ""en"", ""mr""))"),"")</f>
        <v/>
      </c>
      <c r="AK22" s="5" t="str">
        <f ca="1">IFERROR(__xludf.DUMMYFUNCTION("IF(Y22 = """", """", GOOGLETRANSLATE(Y22, ""en"", ""gu""))"),"જવાબદારીઓનો બોજ")</f>
        <v>જવાબદારીઓનો બોજ</v>
      </c>
      <c r="AL22" s="5" t="str">
        <f ca="1">IFERROR(__xludf.DUMMYFUNCTION("IF(Z22 = """", """", GOOGLETRANSLATE(Z22, ""en"", ""gu""))"),"બાકી કાર્યો")</f>
        <v>બાકી કાર્યો</v>
      </c>
      <c r="AM22" s="5" t="str">
        <f ca="1">IFERROR(__xludf.DUMMYFUNCTION("IF(AA22 = """", """", GOOGLETRANSLATE(AA22, ""en"", ""gu""))"),"કામના બોજને કારણે માનસિક તણાવ")</f>
        <v>કામના બોજને કારણે માનસિક તણાવ</v>
      </c>
      <c r="AN22" s="5" t="str">
        <f ca="1">IFERROR(__xludf.DUMMYFUNCTION("IF(AB22 = """", """", GOOGLETRANSLATE(AB22, ""en"", ""gu""))"),"")</f>
        <v/>
      </c>
      <c r="AO22" s="5" t="str">
        <f ca="1">IFERROR(__xludf.DUMMYFUNCTION("IF(Y22 = """", """", GOOGLETRANSLATE(Y22, ""en"", ""bn""))"),"দায়িত্বের বোঝা")</f>
        <v>দায়িত্বের বোঝা</v>
      </c>
      <c r="AP22" s="5" t="str">
        <f ca="1">IFERROR(__xludf.DUMMYFUNCTION("IF(Z22 = """", """", GOOGLETRANSLATE(Z22, ""en"", ""bn""))"),"মুলতুবি কাজ")</f>
        <v>মুলতুবি কাজ</v>
      </c>
      <c r="AQ22" s="5" t="str">
        <f ca="1">IFERROR(__xludf.DUMMYFUNCTION("IF(AA22 = """", """", GOOGLETRANSLATE(AA22, ""en"", ""bn""))"),"কাজের চাপে মানসিক চাপ")</f>
        <v>কাজের চাপে মানসিক চাপ</v>
      </c>
      <c r="AR22" s="5" t="str">
        <f ca="1">IFERROR(__xludf.DUMMYFUNCTION("IF(AB22 = """", """", GOOGLETRANSLATE(AB22, ""en"", ""bn""))"),"")</f>
        <v/>
      </c>
      <c r="AS22" s="1" t="s">
        <v>62</v>
      </c>
      <c r="AT22" s="1" t="s">
        <v>94</v>
      </c>
      <c r="AU22" s="5" t="str">
        <f ca="1">IFERROR(__xludf.DUMMYFUNCTION("IF(Y22 = """", """", GOOGLETRANSLATE(Y22, ""en"", ""te""))"),"బాధ్యతల భారం")</f>
        <v>బాధ్యతల భారం</v>
      </c>
      <c r="AV22" s="5" t="str">
        <f ca="1">IFERROR(__xludf.DUMMYFUNCTION("IF(Z22 = """", """", GOOGLETRANSLATE(Z22, ""en"", ""te""))"),"పెండింగ్ పనులు")</f>
        <v>పెండింగ్ పనులు</v>
      </c>
      <c r="AW22" s="5" t="str">
        <f ca="1">IFERROR(__xludf.DUMMYFUNCTION("IF(AA22 = """", """", GOOGLETRANSLATE(AA22, ""en"", ""te""))"),"పనిభారం వల్ల మానసిక ఒత్తిడి")</f>
        <v>పనిభారం వల్ల మానసిక ఒత్తిడి</v>
      </c>
      <c r="AX22" s="5" t="str">
        <f ca="1">IFERROR(__xludf.DUMMYFUNCTION("IF(AB22 = """", """", GOOGLETRANSLATE(AB22, ""en"", ""te""))"),"")</f>
        <v/>
      </c>
    </row>
    <row r="23" spans="1:50" x14ac:dyDescent="0.25">
      <c r="A23" s="1">
        <v>30</v>
      </c>
      <c r="B23" s="1" t="s">
        <v>56</v>
      </c>
      <c r="C23" s="6">
        <v>45824</v>
      </c>
      <c r="D23" s="6">
        <v>45824</v>
      </c>
      <c r="E23" s="1">
        <v>2</v>
      </c>
      <c r="F23" s="1">
        <v>1</v>
      </c>
      <c r="G23" s="3" t="s">
        <v>138</v>
      </c>
      <c r="H23" s="4">
        <v>9.2824074074074076E-3</v>
      </c>
      <c r="I23" s="7" t="s">
        <v>141</v>
      </c>
      <c r="J23" s="7" t="s">
        <v>146</v>
      </c>
      <c r="K23" s="1" t="s">
        <v>58</v>
      </c>
      <c r="L23" s="1" t="s">
        <v>90</v>
      </c>
      <c r="M23" s="1" t="s">
        <v>14</v>
      </c>
      <c r="O23" s="1" t="s">
        <v>91</v>
      </c>
      <c r="P23" s="1" t="s">
        <v>61</v>
      </c>
      <c r="Q23" s="1" t="s">
        <v>61</v>
      </c>
      <c r="R23" s="1" t="s">
        <v>61</v>
      </c>
      <c r="S23" s="1" t="s">
        <v>61</v>
      </c>
      <c r="T23" s="1" t="s">
        <v>61</v>
      </c>
      <c r="V23" s="1" t="s">
        <v>61</v>
      </c>
      <c r="W23" s="1" t="s">
        <v>61</v>
      </c>
      <c r="X23" s="1" t="s">
        <v>61</v>
      </c>
      <c r="Y23" s="1" t="s">
        <v>147</v>
      </c>
      <c r="Z23" s="1" t="s">
        <v>148</v>
      </c>
      <c r="AA23" s="1" t="s">
        <v>149</v>
      </c>
      <c r="AB23" s="1"/>
      <c r="AC23" s="5" t="str">
        <f ca="1">IFERROR(__xludf.DUMMYFUNCTION("IF(Y23 = """", """", GOOGLETRANSLATE(Y23, ""en"", ""hi""))
"),"नए करियर के अवसर")</f>
        <v>नए करियर के अवसर</v>
      </c>
      <c r="AD23" s="5" t="str">
        <f ca="1">IFERROR(__xludf.DUMMYFUNCTION("IF(Z23 = """", """", GOOGLETRANSLATE(Z23, ""en"", ""hi""))"),"विदेश में काम करना अनुकूल")</f>
        <v>विदेश में काम करना अनुकूल</v>
      </c>
      <c r="AE23" s="5" t="str">
        <f ca="1">IFERROR(__xludf.DUMMYFUNCTION("IF(AA23 = """", """", GOOGLETRANSLATE(AA23, ""en"", ""hi""))"),"प्रयास से परिणाम मिलेंगे")</f>
        <v>प्रयास से परिणाम मिलेंगे</v>
      </c>
      <c r="AG23" s="5" t="str">
        <f ca="1">IFERROR(__xludf.DUMMYFUNCTION("IF(Y23 = """", """", GOOGLETRANSLATE(Y23, ""en"", ""mr""))"),"करिअरच्या नवीन संधी")</f>
        <v>करिअरच्या नवीन संधी</v>
      </c>
      <c r="AH23" s="5" t="str">
        <f ca="1">IFERROR(__xludf.DUMMYFUNCTION("IF(Z23 = """", """", GOOGLETRANSLATE(Z23, ""en"", ""mr""))"),"परदेशातील कामांना अनुकूल")</f>
        <v>परदेशातील कामांना अनुकूल</v>
      </c>
      <c r="AI23" s="5" t="str">
        <f ca="1">IFERROR(__xludf.DUMMYFUNCTION("IF(AA23 = """", """", GOOGLETRANSLATE(AA23, ""en"", ""mr""))"),"प्रयत्नांचे फळ मिळेल")</f>
        <v>प्रयत्नांचे फळ मिळेल</v>
      </c>
      <c r="AJ23" s="5" t="str">
        <f ca="1">IFERROR(__xludf.DUMMYFUNCTION("IF(AB23 = """", """", GOOGLETRANSLATE(AB23, ""en"", ""mr""))"),"")</f>
        <v/>
      </c>
      <c r="AK23" s="5" t="str">
        <f ca="1">IFERROR(__xludf.DUMMYFUNCTION("IF(Y23 = """", """", GOOGLETRANSLATE(Y23, ""en"", ""gu""))"),"કારકિર્દીની નવી તકો")</f>
        <v>કારકિર્દીની નવી તકો</v>
      </c>
      <c r="AL23" s="5" t="str">
        <f ca="1">IFERROR(__xludf.DUMMYFUNCTION("IF(Z23 = """", """", GOOGLETRANSLATE(Z23, ""en"", ""gu""))"),"વિદેશમાં કામ માટે અનુકૂળ")</f>
        <v>વિદેશમાં કામ માટે અનુકૂળ</v>
      </c>
      <c r="AM23" s="5" t="str">
        <f ca="1">IFERROR(__xludf.DUMMYFUNCTION("IF(AA23 = """", """", GOOGLETRANSLATE(AA23, ""en"", ""gu""))"),"મહેનતનું પરિણામ મળશે")</f>
        <v>મહેનતનું પરિણામ મળશે</v>
      </c>
      <c r="AN23" s="5" t="str">
        <f ca="1">IFERROR(__xludf.DUMMYFUNCTION("IF(AB23 = """", """", GOOGLETRANSLATE(AB23, ""en"", ""gu""))"),"")</f>
        <v/>
      </c>
      <c r="AO23" s="5" t="str">
        <f ca="1">IFERROR(__xludf.DUMMYFUNCTION("IF(Y23 = """", """", GOOGLETRANSLATE(Y23, ""en"", ""bn""))"),"নতুন কর্মজীবনের সুযোগ")</f>
        <v>নতুন কর্মজীবনের সুযোগ</v>
      </c>
      <c r="AP23" s="5" t="str">
        <f ca="1">IFERROR(__xludf.DUMMYFUNCTION("IF(Z23 = """", """", GOOGLETRANSLATE(Z23, ""en"", ""bn""))"),"বৈদেশিক কাজের অনুকূল")</f>
        <v>বৈদেশিক কাজের অনুকূল</v>
      </c>
      <c r="AQ23" s="5" t="str">
        <f ca="1">IFERROR(__xludf.DUMMYFUNCTION("IF(AA23 = """", """", GOOGLETRANSLATE(AA23, ""en"", ""bn""))"),"প্রচেষ্টা ফল দেবে")</f>
        <v>প্রচেষ্টা ফল দেবে</v>
      </c>
      <c r="AR23" s="5" t="str">
        <f ca="1">IFERROR(__xludf.DUMMYFUNCTION("IF(AB23 = """", """", GOOGLETRANSLATE(AB23, ""en"", ""bn""))"),"")</f>
        <v/>
      </c>
      <c r="AS23" s="1" t="s">
        <v>62</v>
      </c>
      <c r="AT23" s="1" t="s">
        <v>94</v>
      </c>
      <c r="AU23" s="5" t="str">
        <f ca="1">IFERROR(__xludf.DUMMYFUNCTION("IF(Y23 = """", """", GOOGLETRANSLATE(Y23, ""en"", ""te""))"),"కొత్త కెరీర్ అవకాశాలు")</f>
        <v>కొత్త కెరీర్ అవకాశాలు</v>
      </c>
      <c r="AV23" s="5" t="str">
        <f ca="1">IFERROR(__xludf.DUMMYFUNCTION("IF(Z23 = """", """", GOOGLETRANSLATE(Z23, ""en"", ""te""))"),"విదేశీ పనులకు అనుకూలం")</f>
        <v>విదేశీ పనులకు అనుకూలం</v>
      </c>
      <c r="AW23" s="5" t="str">
        <f ca="1">IFERROR(__xludf.DUMMYFUNCTION("IF(AA23 = """", """", GOOGLETRANSLATE(AA23, ""en"", ""te""))"),"ప్రయత్నం ఫలిస్తుంది")</f>
        <v>ప్రయత్నం ఫలిస్తుంది</v>
      </c>
      <c r="AX23" s="5" t="str">
        <f ca="1">IFERROR(__xludf.DUMMYFUNCTION("IF(AB23 = """", """", GOOGLETRANSLATE(AB23, ""en"", ""te""))"),"")</f>
        <v/>
      </c>
    </row>
    <row r="24" spans="1:50" x14ac:dyDescent="0.25">
      <c r="A24" s="1">
        <v>32</v>
      </c>
      <c r="B24" s="1" t="s">
        <v>56</v>
      </c>
      <c r="C24" s="6">
        <v>45824</v>
      </c>
      <c r="D24" s="6">
        <v>45824</v>
      </c>
      <c r="E24" s="1">
        <v>4</v>
      </c>
      <c r="F24" s="1">
        <v>1</v>
      </c>
      <c r="G24" s="3" t="s">
        <v>138</v>
      </c>
      <c r="H24" s="4">
        <v>9.2824074074074076E-3</v>
      </c>
      <c r="I24" s="7" t="s">
        <v>150</v>
      </c>
      <c r="J24" s="7" t="s">
        <v>151</v>
      </c>
      <c r="K24" s="1" t="s">
        <v>58</v>
      </c>
      <c r="L24" s="1" t="s">
        <v>102</v>
      </c>
      <c r="M24" s="1" t="s">
        <v>19</v>
      </c>
      <c r="O24" s="1" t="s">
        <v>61</v>
      </c>
      <c r="P24" s="1" t="s">
        <v>61</v>
      </c>
      <c r="Q24" s="1" t="s">
        <v>61</v>
      </c>
      <c r="R24" s="1" t="s">
        <v>61</v>
      </c>
      <c r="S24" s="1" t="s">
        <v>91</v>
      </c>
      <c r="T24" s="1" t="s">
        <v>61</v>
      </c>
      <c r="V24" s="1" t="s">
        <v>61</v>
      </c>
      <c r="W24" s="1" t="s">
        <v>61</v>
      </c>
      <c r="X24" s="1" t="s">
        <v>61</v>
      </c>
      <c r="Y24" s="1" t="s">
        <v>152</v>
      </c>
      <c r="Z24" s="1" t="s">
        <v>153</v>
      </c>
      <c r="AA24" s="1" t="s">
        <v>154</v>
      </c>
      <c r="AB24" s="1"/>
      <c r="AC24" s="5" t="str">
        <f ca="1">IFERROR(__xludf.DUMMYFUNCTION("IF(Y24 = """", """", GOOGLETRANSLATE(Y24, ""en"", ""hi""))
"),"दिन की शुरुआत ठीक होती है, बाद में स्थिति बिगड़ जाती है")</f>
        <v>दिन की शुरुआत ठीक होती है, बाद में स्थिति बिगड़ जाती है</v>
      </c>
      <c r="AD24" s="5" t="str">
        <f ca="1">IFERROR(__xludf.DUMMYFUNCTION("IF(Z24 = """", """", GOOGLETRANSLATE(Z24, ""en"", ""hi""))"),"बड़े फैसले लेने से बचें")</f>
        <v>बड़े फैसले लेने से बचें</v>
      </c>
      <c r="AE24" s="5" t="str">
        <f ca="1">IFERROR(__xludf.DUMMYFUNCTION("IF(AA24 = """", """", GOOGLETRANSLATE(AA24, ""en"", ""hi""))"),"सतर्क रहें")</f>
        <v>सतर्क रहें</v>
      </c>
      <c r="AF24" s="5" t="str">
        <f ca="1">IFERROR(__xludf.DUMMYFUNCTION("IF(AB24 = """", """", GOOGLETRANSLATE(AB24, ""en"", ""hi""))"),"")</f>
        <v/>
      </c>
      <c r="AG24" s="5" t="str">
        <f ca="1">IFERROR(__xludf.DUMMYFUNCTION("IF(Y24 = """", """", GOOGLETRANSLATE(Y24, ""en"", ""mr""))"),"दिवस चांगला सुरू होतो, नंतर खराब होतो ")</f>
        <v xml:space="preserve">दिवस चांगला सुरू होतो, नंतर खराब होतो </v>
      </c>
      <c r="AH24" s="5" t="str">
        <f ca="1">IFERROR(__xludf.DUMMYFUNCTION("IF(Z24 = """", """", GOOGLETRANSLATE(Z24, ""en"", ""mr""))"),"मोठे निर्णय टाळा")</f>
        <v>मोठे निर्णय टाळा</v>
      </c>
      <c r="AI24" s="5" t="str">
        <f ca="1">IFERROR(__xludf.DUMMYFUNCTION("IF(AA24 = """", """", GOOGLETRANSLATE(AA24, ""en"", ""mr""))"),"सावध राहा")</f>
        <v>सावध राहा</v>
      </c>
      <c r="AJ24" s="5" t="str">
        <f ca="1">IFERROR(__xludf.DUMMYFUNCTION("IF(AB24 = """", """", GOOGLETRANSLATE(AB24, ""en"", ""mr""))"),"")</f>
        <v/>
      </c>
      <c r="AK24" s="5" t="str">
        <f ca="1">IFERROR(__xludf.DUMMYFUNCTION("IF(Y24 = """", """", GOOGLETRANSLATE(Y24, ""en"", ""gu""))"),"દિવસ બરાબર શરૂ થાય છે, પછી બગડે છે ")</f>
        <v xml:space="preserve">દિવસ બરાબર શરૂ થાય છે, પછી બગડે છે </v>
      </c>
      <c r="AL24" s="5" t="str">
        <f ca="1">IFERROR(__xludf.DUMMYFUNCTION("IF(Z24 = """", """", GOOGLETRANSLATE(Z24, ""en"", ""gu""))"),"મોટા નિર્ણયો ટાળો")</f>
        <v>મોટા નિર્ણયો ટાળો</v>
      </c>
      <c r="AM24" s="5" t="str">
        <f ca="1">IFERROR(__xludf.DUMMYFUNCTION("IF(AA24 = """", """", GOOGLETRANSLATE(AA24, ""en"", ""gu""))"),"સાવધાન રહો")</f>
        <v>સાવધાન રહો</v>
      </c>
      <c r="AN24" s="5" t="str">
        <f ca="1">IFERROR(__xludf.DUMMYFUNCTION("IF(AB24 = """", """", GOOGLETRANSLATE(AB24, ""en"", ""gu""))"),"")</f>
        <v/>
      </c>
      <c r="AO24" s="5" t="str">
        <f ca="1">IFERROR(__xludf.DUMMYFUNCTION("IF(Y24 = """", """", GOOGLETRANSLATE(Y24, ""en"", ""bn""))"),"দিন শুরু হয় ঠিক, পরে খারাপ হয় ")</f>
        <v xml:space="preserve">দিন শুরু হয় ঠিক, পরে খারাপ হয় </v>
      </c>
      <c r="AP24" s="5" t="str">
        <f ca="1">IFERROR(__xludf.DUMMYFUNCTION("IF(Z24 = """", """", GOOGLETRANSLATE(Z24, ""en"", ""bn""))"),"বড় সিদ্ধান্ত এড়িয়ে চলুন")</f>
        <v>বড় সিদ্ধান্ত এড়িয়ে চলুন</v>
      </c>
      <c r="AQ24" s="5" t="str">
        <f ca="1">IFERROR(__xludf.DUMMYFUNCTION("IF(AA24 = """", """", GOOGLETRANSLATE(AA24, ""en"", ""bn""))"),"সাবধানে থাকুন")</f>
        <v>সাবধানে থাকুন</v>
      </c>
      <c r="AR24" s="5" t="str">
        <f ca="1">IFERROR(__xludf.DUMMYFUNCTION("IF(AB24 = """", """", GOOGLETRANSLATE(AB24, ""en"", ""bn""))"),"")</f>
        <v/>
      </c>
      <c r="AS24" s="1" t="s">
        <v>62</v>
      </c>
      <c r="AT24" s="1" t="s">
        <v>94</v>
      </c>
      <c r="AU24" s="5" t="str">
        <f ca="1">IFERROR(__xludf.DUMMYFUNCTION("IF(Y24 = """", """", GOOGLETRANSLATE(Y24, ""en"", ""te""))"),"రోజు సరిగ్గా మొదలవుతుంది, తర్వాత మరింత దిగజారుతుంది ")</f>
        <v xml:space="preserve">రోజు సరిగ్గా మొదలవుతుంది, తర్వాత మరింత దిగజారుతుంది </v>
      </c>
      <c r="AV24" s="5" t="str">
        <f ca="1">IFERROR(__xludf.DUMMYFUNCTION("IF(Z24 = """", """", GOOGLETRANSLATE(Z24, ""en"", ""te""))"),"ప్రధాన నిర్ణయాలకు దూరంగా ఉండండి")</f>
        <v>ప్రధాన నిర్ణయాలకు దూరంగా ఉండండి</v>
      </c>
      <c r="AW24" s="5" t="str">
        <f ca="1">IFERROR(__xludf.DUMMYFUNCTION("IF(AA24 = """", """", GOOGLETRANSLATE(AA24, ""en"", ""te""))"),"జాగ్రత్తగా ఉండండి")</f>
        <v>జాగ్రత్తగా ఉండండి</v>
      </c>
      <c r="AX24" s="5" t="str">
        <f ca="1">IFERROR(__xludf.DUMMYFUNCTION("IF(AB24 = """", """", GOOGLETRANSLATE(AB24, ""en"", ""te""))"),"")</f>
        <v/>
      </c>
    </row>
    <row r="25" spans="1:50" x14ac:dyDescent="0.25">
      <c r="A25" s="1">
        <v>33</v>
      </c>
      <c r="B25" s="1" t="s">
        <v>56</v>
      </c>
      <c r="C25" s="6">
        <v>45824</v>
      </c>
      <c r="D25" s="6">
        <v>45824</v>
      </c>
      <c r="E25" s="1">
        <v>5</v>
      </c>
      <c r="F25" s="1">
        <v>1</v>
      </c>
      <c r="G25" s="3" t="s">
        <v>138</v>
      </c>
      <c r="H25" s="4">
        <v>9.2824074074074076E-3</v>
      </c>
      <c r="I25" s="7" t="s">
        <v>151</v>
      </c>
      <c r="J25" s="7" t="s">
        <v>155</v>
      </c>
      <c r="K25" s="1" t="s">
        <v>58</v>
      </c>
      <c r="L25" s="1" t="s">
        <v>108</v>
      </c>
      <c r="M25" s="1" t="s">
        <v>17</v>
      </c>
      <c r="O25" s="1" t="s">
        <v>61</v>
      </c>
      <c r="P25" s="1" t="s">
        <v>61</v>
      </c>
      <c r="Q25" s="1" t="s">
        <v>61</v>
      </c>
      <c r="R25" s="1" t="s">
        <v>91</v>
      </c>
      <c r="S25" s="1" t="s">
        <v>61</v>
      </c>
      <c r="T25" s="1" t="s">
        <v>61</v>
      </c>
      <c r="V25" s="1" t="s">
        <v>61</v>
      </c>
      <c r="W25" s="1" t="s">
        <v>61</v>
      </c>
      <c r="X25" s="1" t="s">
        <v>61</v>
      </c>
      <c r="Y25" s="1" t="s">
        <v>156</v>
      </c>
      <c r="Z25" s="1" t="s">
        <v>157</v>
      </c>
      <c r="AA25" s="1" t="s">
        <v>158</v>
      </c>
      <c r="AB25" s="1" t="s">
        <v>159</v>
      </c>
      <c r="AC25" s="5" t="str">
        <f ca="1">IFERROR(__xludf.DUMMYFUNCTION("IF(Y25 = """", """", GOOGLETRANSLATE(Y25, ""en"", ""hi""))
"),"मंगल + केतु ? पिशाच योग")</f>
        <v>मंगल + केतु ? पिशाच योग</v>
      </c>
      <c r="AD25" s="5" t="str">
        <f ca="1">IFERROR(__xludf.DUMMYFUNCTION("IF(Z25 = """", """", GOOGLETRANSLATE(Z25, ""en"", ""hi""))"),"चोट लगने की संभावना")</f>
        <v>चोट लगने की संभावना</v>
      </c>
      <c r="AE25" s="5" t="str">
        <f ca="1">IFERROR(__xludf.DUMMYFUNCTION("IF(AA25 = """", """", GOOGLETRANSLATE(AA25, ""en"", ""hi""))"),"अधिक परिश्रम न करें")</f>
        <v>अधिक परिश्रम न करें</v>
      </c>
      <c r="AF25" s="5" t="str">
        <f ca="1">IFERROR(__xludf.DUMMYFUNCTION("IF(AB25 = """", """", GOOGLETRANSLATE(AB25, ""en"", ""hi""))"),"ऊर्जा का प्रबंधन करें")</f>
        <v>ऊर्जा का प्रबंधन करें</v>
      </c>
      <c r="AG25" s="5" t="str">
        <f ca="1">IFERROR(__xludf.DUMMYFUNCTION("IF(Y25 = """", """", GOOGLETRANSLATE(Y25, ""en"", ""mr""))"),"मंगळ + केतू? पिशाच योग")</f>
        <v>मंगळ + केतू? पिशाच योग</v>
      </c>
      <c r="AH25" s="5" t="str">
        <f ca="1">IFERROR(__xludf.DUMMYFUNCTION("IF(Z25 = """", """", GOOGLETRANSLATE(Z25, ""en"", ""mr""))"),"दुखापतीची शक्यता")</f>
        <v>दुखापतीची शक्यता</v>
      </c>
      <c r="AI25" s="5" t="str">
        <f ca="1">IFERROR(__xludf.DUMMYFUNCTION("IF(AA25 = """", """", GOOGLETRANSLATE(AA25, ""en"", ""mr""))"),"जास्त परिश्रम करू नका")</f>
        <v>जास्त परिश्रम करू नका</v>
      </c>
      <c r="AJ25" s="5" t="str">
        <f ca="1">IFERROR(__xludf.DUMMYFUNCTION("IF(AB25 = """", """", GOOGLETRANSLATE(AB25, ""en"", ""mr""))"),"ऊर्जा व्यवस्थापित करा")</f>
        <v>ऊर्जा व्यवस्थापित करा</v>
      </c>
      <c r="AK25" s="5" t="str">
        <f ca="1">IFERROR(__xludf.DUMMYFUNCTION("IF(Y25 = """", """", GOOGLETRANSLATE(Y25, ""en"", ""gu""))"),"મંગળ + કેતુ? પિશાચ યોગ")</f>
        <v>મંગળ + કેતુ? પિશાચ યોગ</v>
      </c>
      <c r="AL25" s="5" t="str">
        <f ca="1">IFERROR(__xludf.DUMMYFUNCTION("IF(Z25 = """", """", GOOGLETRANSLATE(Z25, ""en"", ""gu""))"),"ઈજાના ચાન્સ")</f>
        <v>ઈજાના ચાન્સ</v>
      </c>
      <c r="AM25" s="5" t="str">
        <f ca="1">IFERROR(__xludf.DUMMYFUNCTION("IF(AA25 = """", """", GOOGLETRANSLATE(AA25, ""en"", ""gu""))"),"અતિશય મહેનત ન કરો")</f>
        <v>અતિશય મહેનત ન કરો</v>
      </c>
      <c r="AN25" s="5" t="str">
        <f ca="1">IFERROR(__xludf.DUMMYFUNCTION("IF(AB25 = """", """", GOOGLETRANSLATE(AB25, ""en"", ""gu""))"),"ઊર્જાનું સંચાલન કરો")</f>
        <v>ઊર્જાનું સંચાલન કરો</v>
      </c>
      <c r="AO25" s="5" t="str">
        <f ca="1">IFERROR(__xludf.DUMMYFUNCTION("IF(Y25 = """", """", GOOGLETRANSLATE(Y25, ""en"", ""bn""))"),"মঙ্গল + কেতু? পিশাচ যোগ")</f>
        <v>মঙ্গল + কেতু? পিশাচ যোগ</v>
      </c>
      <c r="AP25" s="5" t="str">
        <f ca="1">IFERROR(__xludf.DUMMYFUNCTION("IF(Z25 = """", """", GOOGLETRANSLATE(Z25, ""en"", ""bn""))"),"ইনজুরির সম্ভাবনা")</f>
        <v>ইনজুরির সম্ভাবনা</v>
      </c>
      <c r="AQ25" s="5" t="str">
        <f ca="1">IFERROR(__xludf.DUMMYFUNCTION("IF(AA25 = """", """", GOOGLETRANSLATE(AA25, ""en"", ""bn""))"),"অতিরিক্ত পরিশ্রম করবেন না")</f>
        <v>অতিরিক্ত পরিশ্রম করবেন না</v>
      </c>
      <c r="AR25" s="5" t="str">
        <f ca="1">IFERROR(__xludf.DUMMYFUNCTION("IF(AB25 = """", """", GOOGLETRANSLATE(AB25, ""en"", ""bn""))"),"শক্তি পরিচালনা করুন")</f>
        <v>শক্তি পরিচালনা করুন</v>
      </c>
      <c r="AS25" s="1" t="s">
        <v>62</v>
      </c>
      <c r="AT25" s="1" t="s">
        <v>94</v>
      </c>
      <c r="AU25" s="5" t="str">
        <f ca="1">IFERROR(__xludf.DUMMYFUNCTION("IF(Y25 = """", """", GOOGLETRANSLATE(Y25, ""en"", ""te""))"),"కుజుడు + కేతువు ? పిశాచ యోగము")</f>
        <v>కుజుడు + కేతువు ? పిశాచ యోగము</v>
      </c>
      <c r="AV25" s="5" t="str">
        <f ca="1">IFERROR(__xludf.DUMMYFUNCTION("IF(Z25 = """", """", GOOGLETRANSLATE(Z25, ""en"", ""te""))"),"గాయం అవకాశాలు")</f>
        <v>గాయం అవకాశాలు</v>
      </c>
      <c r="AW25" s="5" t="str">
        <f ca="1">IFERROR(__xludf.DUMMYFUNCTION("IF(AA25 = """", """", GOOGLETRANSLATE(AA25, ""en"", ""te""))"),"అతిగా శ్రమించవద్దు")</f>
        <v>అతిగా శ్రమించవద్దు</v>
      </c>
      <c r="AX25" s="5" t="str">
        <f ca="1">IFERROR(__xludf.DUMMYFUNCTION("IF(AB25 = """", """", GOOGLETRANSLATE(AB25, ""en"", ""te""))"),"శక్తిని నిర్వహించండి")</f>
        <v>శక్తిని నిర్వహించండి</v>
      </c>
    </row>
    <row r="26" spans="1:50" x14ac:dyDescent="0.25">
      <c r="A26" s="1">
        <v>3</v>
      </c>
      <c r="B26" s="1" t="s">
        <v>56</v>
      </c>
      <c r="C26" s="2">
        <v>45819</v>
      </c>
      <c r="D26" s="2">
        <v>45819</v>
      </c>
      <c r="E26" s="1">
        <v>2</v>
      </c>
      <c r="F26" s="1">
        <v>1</v>
      </c>
      <c r="G26" s="3" t="s">
        <v>57</v>
      </c>
      <c r="H26" s="4">
        <v>7.4305555555555557E-3</v>
      </c>
      <c r="I26" s="4">
        <v>1.9791666666666668E-3</v>
      </c>
      <c r="J26" s="4">
        <v>2.4421296296296296E-3</v>
      </c>
      <c r="K26" s="1" t="s">
        <v>58</v>
      </c>
      <c r="L26" s="1" t="s">
        <v>90</v>
      </c>
      <c r="O26" s="1" t="s">
        <v>61</v>
      </c>
      <c r="P26" s="1" t="s">
        <v>61</v>
      </c>
      <c r="Q26" s="1" t="s">
        <v>61</v>
      </c>
      <c r="R26" s="1" t="s">
        <v>61</v>
      </c>
      <c r="S26" s="1" t="s">
        <v>61</v>
      </c>
      <c r="T26" s="1" t="s">
        <v>61</v>
      </c>
      <c r="V26" s="1" t="s">
        <v>61</v>
      </c>
      <c r="W26" s="1" t="s">
        <v>61</v>
      </c>
      <c r="X26" s="1" t="s">
        <v>61</v>
      </c>
      <c r="Y26" s="1" t="s">
        <v>160</v>
      </c>
      <c r="Z26" s="1" t="s">
        <v>161</v>
      </c>
      <c r="AA26" s="1" t="s">
        <v>162</v>
      </c>
      <c r="AB26" s="1"/>
      <c r="AC26" s="5" t="str">
        <f ca="1">IFERROR(__xludf.DUMMYFUNCTION("IF(Y26 = """", """", GOOGLETRANSLATE(Y26, ""en"", ""hi""))
"),"प्रमुख निर्णय")</f>
        <v>प्रमुख निर्णय</v>
      </c>
      <c r="AD26" s="5" t="str">
        <f ca="1">IFERROR(__xludf.DUMMYFUNCTION("IF(Z26 = """", """", GOOGLETRANSLATE(Z26, ""en"", ""hi""))"),"स्वास्थ्य का ध्यान रखें")</f>
        <v>स्वास्थ्य का ध्यान रखें</v>
      </c>
      <c r="AE26" s="5" t="str">
        <f ca="1">IFERROR(__xludf.DUMMYFUNCTION("IF(AA26 = """", """", GOOGLETRANSLATE(AA26, ""en"", ""hi""))"),"ध्यान से चलाएं")</f>
        <v>ध्यान से चलाएं</v>
      </c>
      <c r="AF26" s="5" t="str">
        <f ca="1">IFERROR(__xludf.DUMMYFUNCTION("IF(AB26 = """", """", GOOGLETRANSLATE(AB26, ""en"", ""hi""))"),"")</f>
        <v/>
      </c>
      <c r="AG26" s="5" t="str">
        <f ca="1">IFERROR(__xludf.DUMMYFUNCTION("IF(Y26 = """", """", GOOGLETRANSLATE(Y26, ""en"", ""mr""))"),"प्रमुख निर्णय")</f>
        <v>प्रमुख निर्णय</v>
      </c>
      <c r="AH26" s="5" t="str">
        <f ca="1">IFERROR(__xludf.DUMMYFUNCTION("IF(Z26 = """", """", GOOGLETRANSLATE(Z26, ""en"", ""mr""))"),"आरोग्याची काळजी घ्या")</f>
        <v>आरोग्याची काळजी घ्या</v>
      </c>
      <c r="AI26" s="5" t="str">
        <f ca="1">IFERROR(__xludf.DUMMYFUNCTION("IF(AA26 = """", """", GOOGLETRANSLATE(AA26, ""en"", ""mr""))"),"काळजीपूर्वक चालवा")</f>
        <v>काळजीपूर्वक चालवा</v>
      </c>
      <c r="AJ26" s="5" t="str">
        <f ca="1">IFERROR(__xludf.DUMMYFUNCTION("IF(AB26 = """", """", GOOGLETRANSLATE(AB26, ""en"", ""mr""))"),"")</f>
        <v/>
      </c>
      <c r="AK26" s="5" t="str">
        <f ca="1">IFERROR(__xludf.DUMMYFUNCTION("IF(Y26 = """", """", GOOGLETRANSLATE(Y26, ""en"", ""gu""))"),"મુખ્ય નિર્ણય")</f>
        <v>મુખ્ય નિર્ણય</v>
      </c>
      <c r="AL26" s="5" t="str">
        <f ca="1">IFERROR(__xludf.DUMMYFUNCTION("IF(Z26 = """", """", GOOGLETRANSLATE(Z26, ""en"", ""gu""))"),"સ્વાસ્થ્યનું ધ્યાન રાખો")</f>
        <v>સ્વાસ્થ્યનું ધ્યાન રાખો</v>
      </c>
      <c r="AM26" s="5" t="str">
        <f ca="1">IFERROR(__xludf.DUMMYFUNCTION("IF(AA26 = """", """", GOOGLETRANSLATE(AA26, ""en"", ""gu""))"),"કાળજીપૂર્વક વાહન ચલાવો")</f>
        <v>કાળજીપૂર્વક વાહન ચલાવો</v>
      </c>
      <c r="AN26" s="5" t="str">
        <f ca="1">IFERROR(__xludf.DUMMYFUNCTION("IF(AB26 = """", """", GOOGLETRANSLATE(AB26, ""en"", ""gu""))"),"")</f>
        <v/>
      </c>
      <c r="AO26" s="5" t="str">
        <f ca="1">IFERROR(__xludf.DUMMYFUNCTION("IF(Y26 = """", """", GOOGLETRANSLATE(Y26, ""en"", ""bn""))"),"প্রধান সিদ্ধান্ত")</f>
        <v>প্রধান সিদ্ধান্ত</v>
      </c>
      <c r="AP26" s="5" t="str">
        <f ca="1">IFERROR(__xludf.DUMMYFUNCTION("IF(Z26 = """", """", GOOGLETRANSLATE(Z26, ""en"", ""bn""))"),"স্বাস্থ্যের যত্ন নিন")</f>
        <v>স্বাস্থ্যের যত্ন নিন</v>
      </c>
      <c r="AQ26" s="5" t="str">
        <f ca="1">IFERROR(__xludf.DUMMYFUNCTION("IF(AA26 = """", """", GOOGLETRANSLATE(AA26, ""en"", ""bn""))"),"সাবধানে চালান")</f>
        <v>সাবধানে চালান</v>
      </c>
      <c r="AR26" s="5" t="str">
        <f ca="1">IFERROR(__xludf.DUMMYFUNCTION("IF(AB26 = """", """", GOOGLETRANSLATE(AB26, ""en"", ""bn""))"),"")</f>
        <v/>
      </c>
      <c r="AS26" s="1" t="s">
        <v>62</v>
      </c>
      <c r="AT26" s="1" t="s">
        <v>94</v>
      </c>
      <c r="AU26" s="5" t="str">
        <f ca="1">IFERROR(__xludf.DUMMYFUNCTION("IF(Y26 = """", """", GOOGLETRANSLATE(Y26, ""en"", ""te""))"),"ప్రధాన నిర్ణయం")</f>
        <v>ప్రధాన నిర్ణయం</v>
      </c>
      <c r="AV26" s="5" t="str">
        <f ca="1">IFERROR(__xludf.DUMMYFUNCTION("IF(Z26 = """", """", GOOGLETRANSLATE(Z26, ""en"", ""te""))"),"ఆరోగ్యం పట్ల శ్రద్ధ వహించండి")</f>
        <v>ఆరోగ్యం పట్ల శ్రద్ధ వహించండి</v>
      </c>
      <c r="AW26" s="5" t="str">
        <f ca="1">IFERROR(__xludf.DUMMYFUNCTION("IF(AA26 = """", """", GOOGLETRANSLATE(AA26, ""en"", ""te""))"),"జాగ్రత్తగా డ్రైవ్ చేయండి")</f>
        <v>జాగ్రత్తగా డ్రైవ్ చేయండి</v>
      </c>
      <c r="AX26" s="5" t="str">
        <f ca="1">IFERROR(__xludf.DUMMYFUNCTION("IF(AB26 = """", """", GOOGLETRANSLATE(AB26, ""en"", ""te""))"),"")</f>
        <v/>
      </c>
    </row>
    <row r="27" spans="1:50" x14ac:dyDescent="0.25">
      <c r="A27" s="1">
        <v>4</v>
      </c>
      <c r="B27" s="1" t="s">
        <v>56</v>
      </c>
      <c r="C27" s="2">
        <v>45819</v>
      </c>
      <c r="D27" s="2">
        <v>45819</v>
      </c>
      <c r="E27" s="1">
        <v>3</v>
      </c>
      <c r="F27" s="1">
        <v>1</v>
      </c>
      <c r="G27" s="3" t="s">
        <v>57</v>
      </c>
      <c r="H27" s="4">
        <v>7.4305555555555557E-3</v>
      </c>
      <c r="I27" s="4">
        <v>2.4421296296296296E-3</v>
      </c>
      <c r="J27" s="4">
        <v>2.8703703703703703E-3</v>
      </c>
      <c r="K27" s="1" t="s">
        <v>58</v>
      </c>
      <c r="L27" s="1" t="s">
        <v>97</v>
      </c>
      <c r="M27" s="1" t="s">
        <v>14</v>
      </c>
      <c r="O27" s="1" t="s">
        <v>61</v>
      </c>
      <c r="P27" s="1" t="s">
        <v>61</v>
      </c>
      <c r="Q27" s="1" t="s">
        <v>61</v>
      </c>
      <c r="R27" s="1" t="s">
        <v>61</v>
      </c>
      <c r="S27" s="1" t="s">
        <v>61</v>
      </c>
      <c r="T27" s="1" t="s">
        <v>61</v>
      </c>
      <c r="V27" s="1" t="s">
        <v>61</v>
      </c>
      <c r="W27" s="1" t="s">
        <v>61</v>
      </c>
      <c r="X27" s="1" t="s">
        <v>61</v>
      </c>
      <c r="Y27" s="1" t="s">
        <v>163</v>
      </c>
      <c r="AB27" s="1"/>
      <c r="AC27" s="5" t="str">
        <f ca="1">IFERROR(__xludf.DUMMYFUNCTION("IF(Y27 = """", """", GOOGLETRANSLATE(Y27, ""en"", ""hi""))
"),"दीर्घकालिक योजना के लिए अच्छा")</f>
        <v>दीर्घकालिक योजना के लिए अच्छा</v>
      </c>
      <c r="AD27" s="5" t="str">
        <f ca="1">IFERROR(__xludf.DUMMYFUNCTION("IF(Z27 = """", """", GOOGLETRANSLATE(Z27, ""en"", ""hi""))"),"")</f>
        <v/>
      </c>
      <c r="AE27" s="5" t="str">
        <f ca="1">IFERROR(__xludf.DUMMYFUNCTION("IF(AA27 = """", """", GOOGLETRANSLATE(AA27, ""en"", ""hi""))"),"")</f>
        <v/>
      </c>
      <c r="AF27" s="5" t="str">
        <f ca="1">IFERROR(__xludf.DUMMYFUNCTION("IF(AB27 = """", """", GOOGLETRANSLATE(AB27, ""en"", ""hi""))"),"")</f>
        <v/>
      </c>
      <c r="AG27" s="5" t="str">
        <f ca="1">IFERROR(__xludf.DUMMYFUNCTION("IF(Y27 = """", """", GOOGLETRANSLATE(Y27, ""en"", ""mr""))"),"दीर्घकालीन नियोजनासाठी चांगले")</f>
        <v>दीर्घकालीन नियोजनासाठी चांगले</v>
      </c>
      <c r="AH27" s="5" t="str">
        <f ca="1">IFERROR(__xludf.DUMMYFUNCTION("IF(Z27 = """", """", GOOGLETRANSLATE(Z27, ""en"", ""mr""))"),"")</f>
        <v/>
      </c>
      <c r="AI27" s="5" t="str">
        <f ca="1">IFERROR(__xludf.DUMMYFUNCTION("IF(AA27 = """", """", GOOGLETRANSLATE(AA27, ""en"", ""mr""))"),"")</f>
        <v/>
      </c>
      <c r="AJ27" s="5" t="str">
        <f ca="1">IFERROR(__xludf.DUMMYFUNCTION("IF(AB27 = """", """", GOOGLETRANSLATE(AB27, ""en"", ""mr""))"),"")</f>
        <v/>
      </c>
      <c r="AK27" s="5" t="str">
        <f ca="1">IFERROR(__xludf.DUMMYFUNCTION("IF(Y27 = """", """", GOOGLETRANSLATE(Y27, ""en"", ""gu""))"),"લાંબા ગાળાના આયોજન માટે સારું")</f>
        <v>લાંબા ગાળાના આયોજન માટે સારું</v>
      </c>
      <c r="AL27" s="5" t="str">
        <f ca="1">IFERROR(__xludf.DUMMYFUNCTION("IF(Z27 = """", """", GOOGLETRANSLATE(Z27, ""en"", ""gu""))"),"")</f>
        <v/>
      </c>
      <c r="AM27" s="5" t="str">
        <f ca="1">IFERROR(__xludf.DUMMYFUNCTION("IF(AA27 = """", """", GOOGLETRANSLATE(AA27, ""en"", ""gu""))"),"")</f>
        <v/>
      </c>
      <c r="AN27" s="5" t="str">
        <f ca="1">IFERROR(__xludf.DUMMYFUNCTION("IF(AB27 = """", """", GOOGLETRANSLATE(AB27, ""en"", ""gu""))"),"")</f>
        <v/>
      </c>
      <c r="AO27" s="5" t="str">
        <f ca="1">IFERROR(__xludf.DUMMYFUNCTION("IF(Y27 = """", """", GOOGLETRANSLATE(Y27, ""en"", ""bn""))"),"দীর্ঘমেয়াদী পরিকল্পনার জন্য ভাল")</f>
        <v>দীর্ঘমেয়াদী পরিকল্পনার জন্য ভাল</v>
      </c>
      <c r="AP27" s="5" t="str">
        <f ca="1">IFERROR(__xludf.DUMMYFUNCTION("IF(Z27 = """", """", GOOGLETRANSLATE(Z27, ""en"", ""bn""))"),"")</f>
        <v/>
      </c>
      <c r="AQ27" s="5" t="str">
        <f ca="1">IFERROR(__xludf.DUMMYFUNCTION("IF(AA27 = """", """", GOOGLETRANSLATE(AA27, ""en"", ""bn""))"),"")</f>
        <v/>
      </c>
      <c r="AR27" s="5" t="str">
        <f ca="1">IFERROR(__xludf.DUMMYFUNCTION("IF(AB27 = """", """", GOOGLETRANSLATE(AB27, ""en"", ""bn""))"),"")</f>
        <v/>
      </c>
      <c r="AS27" s="1" t="s">
        <v>62</v>
      </c>
      <c r="AT27" s="1" t="s">
        <v>94</v>
      </c>
      <c r="AU27" s="5" t="str">
        <f ca="1">IFERROR(__xludf.DUMMYFUNCTION("IF(Y27 = """", """", GOOGLETRANSLATE(Y27, ""en"", ""te""))"),"దీర్ఘకాలిక ప్రణాళిక కోసం మంచిది")</f>
        <v>దీర్ఘకాలిక ప్రణాళిక కోసం మంచిది</v>
      </c>
      <c r="AV27" s="5" t="str">
        <f ca="1">IFERROR(__xludf.DUMMYFUNCTION("IF(Z27 = """", """", GOOGLETRANSLATE(Z27, ""en"", ""te""))"),"")</f>
        <v/>
      </c>
      <c r="AW27" s="5" t="str">
        <f ca="1">IFERROR(__xludf.DUMMYFUNCTION("IF(AA27 = """", """", GOOGLETRANSLATE(AA27, ""en"", ""te""))"),"")</f>
        <v/>
      </c>
      <c r="AX27" s="5" t="str">
        <f ca="1">IFERROR(__xludf.DUMMYFUNCTION("IF(AB27 = """", """", GOOGLETRANSLATE(AB27, ""en"", ""te""))"),"")</f>
        <v/>
      </c>
    </row>
    <row r="28" spans="1:50" x14ac:dyDescent="0.25">
      <c r="A28" s="1">
        <v>6</v>
      </c>
      <c r="B28" s="1" t="s">
        <v>56</v>
      </c>
      <c r="C28" s="2">
        <v>45819</v>
      </c>
      <c r="D28" s="2">
        <v>45819</v>
      </c>
      <c r="E28" s="1">
        <v>5</v>
      </c>
      <c r="F28" s="1">
        <v>1</v>
      </c>
      <c r="G28" s="3" t="s">
        <v>57</v>
      </c>
      <c r="H28" s="4">
        <v>7.4305555555555557E-3</v>
      </c>
      <c r="I28" s="4">
        <v>3.3217592592592591E-3</v>
      </c>
      <c r="J28" s="4">
        <v>3.8194444444444443E-3</v>
      </c>
      <c r="K28" s="1" t="s">
        <v>58</v>
      </c>
      <c r="L28" s="1" t="s">
        <v>108</v>
      </c>
      <c r="M28" s="1" t="s">
        <v>19</v>
      </c>
      <c r="O28" s="1" t="s">
        <v>61</v>
      </c>
      <c r="P28" s="1" t="s">
        <v>61</v>
      </c>
      <c r="Q28" s="1" t="s">
        <v>61</v>
      </c>
      <c r="R28" s="1" t="s">
        <v>61</v>
      </c>
      <c r="S28" s="1" t="s">
        <v>61</v>
      </c>
      <c r="T28" s="1" t="s">
        <v>61</v>
      </c>
      <c r="V28" s="1" t="s">
        <v>61</v>
      </c>
      <c r="W28" s="1" t="s">
        <v>61</v>
      </c>
      <c r="X28" s="1" t="s">
        <v>61</v>
      </c>
      <c r="Y28" s="1" t="s">
        <v>164</v>
      </c>
      <c r="Z28" s="1" t="s">
        <v>165</v>
      </c>
      <c r="AB28" s="1"/>
      <c r="AC28" s="5" t="str">
        <f ca="1">IFERROR(__xludf.DUMMYFUNCTION("IF(Y28 = """", """", GOOGLETRANSLATE(Y28, ""en"", ""hi""))
"),"धैर्य")</f>
        <v>धैर्य</v>
      </c>
      <c r="AD28" s="5" t="str">
        <f ca="1">IFERROR(__xludf.DUMMYFUNCTION("IF(Z28 = """", """", GOOGLETRANSLATE(Z28, ""en"", ""hi""))"),"टकराव से बचें")</f>
        <v>टकराव से बचें</v>
      </c>
      <c r="AE28" s="5" t="str">
        <f ca="1">IFERROR(__xludf.DUMMYFUNCTION("IF(AA28 = """", """", GOOGLETRANSLATE(AA28, ""en"", ""hi""))"),"")</f>
        <v/>
      </c>
      <c r="AF28" s="5" t="str">
        <f ca="1">IFERROR(__xludf.DUMMYFUNCTION("IF(AB28 = """", """", GOOGLETRANSLATE(AB28, ""en"", ""hi""))"),"")</f>
        <v/>
      </c>
      <c r="AG28" s="5" t="str">
        <f ca="1">IFERROR(__xludf.DUMMYFUNCTION("IF(Y28 = """", """", GOOGLETRANSLATE(Y28, ""en"", ""mr""))"),"संयम")</f>
        <v>संयम</v>
      </c>
      <c r="AH28" s="5" t="str">
        <f ca="1">IFERROR(__xludf.DUMMYFUNCTION("IF(Z28 = """", """", GOOGLETRANSLATE(Z28, ""en"", ""mr""))"),"संघर्ष टाळा")</f>
        <v>संघर्ष टाळा</v>
      </c>
      <c r="AI28" s="5" t="str">
        <f ca="1">IFERROR(__xludf.DUMMYFUNCTION("IF(AA28 = """", """", GOOGLETRANSLATE(AA28, ""en"", ""mr""))"),"")</f>
        <v/>
      </c>
      <c r="AJ28" s="5" t="str">
        <f ca="1">IFERROR(__xludf.DUMMYFUNCTION("IF(AB28 = """", """", GOOGLETRANSLATE(AB28, ""en"", ""mr""))"),"")</f>
        <v/>
      </c>
      <c r="AK28" s="5" t="str">
        <f ca="1">IFERROR(__xludf.DUMMYFUNCTION("IF(Y28 = """", """", GOOGLETRANSLATE(Y28, ""en"", ""gu""))"),"ધીરજ")</f>
        <v>ધીરજ</v>
      </c>
      <c r="AL28" s="5" t="str">
        <f ca="1">IFERROR(__xludf.DUMMYFUNCTION("IF(Z28 = """", """", GOOGLETRANSLATE(Z28, ""en"", ""gu""))"),"સંઘર્ષ ટાળો")</f>
        <v>સંઘર્ષ ટાળો</v>
      </c>
      <c r="AM28" s="5" t="str">
        <f ca="1">IFERROR(__xludf.DUMMYFUNCTION("IF(AA28 = """", """", GOOGLETRANSLATE(AA28, ""en"", ""gu""))"),"")</f>
        <v/>
      </c>
      <c r="AN28" s="5" t="str">
        <f ca="1">IFERROR(__xludf.DUMMYFUNCTION("IF(AB28 = """", """", GOOGLETRANSLATE(AB28, ""en"", ""gu""))"),"")</f>
        <v/>
      </c>
      <c r="AO28" s="5" t="str">
        <f ca="1">IFERROR(__xludf.DUMMYFUNCTION("IF(Y28 = """", """", GOOGLETRANSLATE(Y28, ""en"", ""bn""))"),"ধৈর্য")</f>
        <v>ধৈর্য</v>
      </c>
      <c r="AP28" s="5" t="str">
        <f ca="1">IFERROR(__xludf.DUMMYFUNCTION("IF(Z28 = """", """", GOOGLETRANSLATE(Z28, ""en"", ""bn""))"),"সংঘর্ষ এড়িয়ে চলুন")</f>
        <v>সংঘর্ষ এড়িয়ে চলুন</v>
      </c>
      <c r="AQ28" s="5" t="str">
        <f ca="1">IFERROR(__xludf.DUMMYFUNCTION("IF(AA28 = """", """", GOOGLETRANSLATE(AA28, ""en"", ""bn""))"),"")</f>
        <v/>
      </c>
      <c r="AR28" s="5" t="str">
        <f ca="1">IFERROR(__xludf.DUMMYFUNCTION("IF(AB28 = """", """", GOOGLETRANSLATE(AB28, ""en"", ""bn""))"),"")</f>
        <v/>
      </c>
      <c r="AS28" s="1" t="s">
        <v>62</v>
      </c>
      <c r="AT28" s="1" t="s">
        <v>94</v>
      </c>
      <c r="AU28" s="5" t="str">
        <f ca="1">IFERROR(__xludf.DUMMYFUNCTION("IF(Y28 = """", """", GOOGLETRANSLATE(Y28, ""en"", ""te""))"),"సహనం")</f>
        <v>సహనం</v>
      </c>
      <c r="AV28" s="5" t="str">
        <f ca="1">IFERROR(__xludf.DUMMYFUNCTION("IF(Z28 = """", """", GOOGLETRANSLATE(Z28, ""en"", ""te""))"),"సంఘర్షణను నివారించండి")</f>
        <v>సంఘర్షణను నివారించండి</v>
      </c>
      <c r="AW28" s="5" t="str">
        <f ca="1">IFERROR(__xludf.DUMMYFUNCTION("IF(AA28 = """", """", GOOGLETRANSLATE(AA28, ""en"", ""te""))"),"")</f>
        <v/>
      </c>
      <c r="AX28" s="5" t="str">
        <f ca="1">IFERROR(__xludf.DUMMYFUNCTION("IF(AB28 = """", """", GOOGLETRANSLATE(AB28, ""en"", ""te""))"),"")</f>
        <v/>
      </c>
    </row>
    <row r="29" spans="1:50" x14ac:dyDescent="0.25">
      <c r="A29" s="1">
        <v>34</v>
      </c>
      <c r="B29" s="1" t="s">
        <v>56</v>
      </c>
      <c r="C29" s="6">
        <v>45824</v>
      </c>
      <c r="D29" s="6">
        <v>45824</v>
      </c>
      <c r="E29" s="1">
        <v>6</v>
      </c>
      <c r="F29" s="1">
        <v>1</v>
      </c>
      <c r="G29" s="3" t="s">
        <v>138</v>
      </c>
      <c r="H29" s="4">
        <v>9.2824074074074076E-3</v>
      </c>
      <c r="I29" s="7" t="s">
        <v>155</v>
      </c>
      <c r="J29" s="7" t="s">
        <v>166</v>
      </c>
      <c r="K29" s="1" t="s">
        <v>58</v>
      </c>
      <c r="L29" s="1" t="s">
        <v>113</v>
      </c>
      <c r="M29" s="1" t="s">
        <v>17</v>
      </c>
      <c r="O29" s="1" t="s">
        <v>61</v>
      </c>
      <c r="P29" s="1" t="s">
        <v>61</v>
      </c>
      <c r="Q29" s="1" t="s">
        <v>61</v>
      </c>
      <c r="R29" s="1" t="s">
        <v>91</v>
      </c>
      <c r="S29" s="1" t="s">
        <v>61</v>
      </c>
      <c r="T29" s="1" t="s">
        <v>61</v>
      </c>
      <c r="V29" s="1" t="s">
        <v>61</v>
      </c>
      <c r="W29" s="1" t="s">
        <v>61</v>
      </c>
      <c r="X29" s="1" t="s">
        <v>61</v>
      </c>
      <c r="Y29" s="1" t="s">
        <v>167</v>
      </c>
      <c r="Z29" s="1" t="s">
        <v>168</v>
      </c>
      <c r="AA29" s="1" t="s">
        <v>169</v>
      </c>
      <c r="AB29" s="1"/>
      <c r="AC29" s="5" t="str">
        <f ca="1">IFERROR(__xludf.DUMMYFUNCTION("IF(Y29 = """", """", GOOGLETRANSLATE(Y29, ""en"", ""hi""))
"),"दूसरों के कारण व्यवधान")</f>
        <v>दूसरों के कारण व्यवधान</v>
      </c>
      <c r="AD29" s="5" t="str">
        <f ca="1">IFERROR(__xludf.DUMMYFUNCTION("IF(Z29 = """", """", GOOGLETRANSLATE(Z29, ""en"", ""hi""))"),"सरकारी काम में देरी")</f>
        <v>सरकारी काम में देरी</v>
      </c>
      <c r="AE29" s="5" t="str">
        <f ca="1">IFERROR(__xludf.DUMMYFUNCTION("IF(AA29 = """", """", GOOGLETRANSLATE(AA29, ""en"", ""hi""))"),"सतर्क रहो")</f>
        <v>सतर्क रहो</v>
      </c>
      <c r="AF29" s="5" t="str">
        <f ca="1">IFERROR(__xludf.DUMMYFUNCTION("IF(AB29 = """", """", GOOGLETRANSLATE(AB29, ""en"", ""hi""))"),"")</f>
        <v/>
      </c>
      <c r="AG29" s="5" t="str">
        <f ca="1">IFERROR(__xludf.DUMMYFUNCTION("IF(Y29 = """", """", GOOGLETRANSLATE(Y29, ""en"", ""mr""))"),"इतरांमुळे व्यत्यय")</f>
        <v>इतरांमुळे व्यत्यय</v>
      </c>
      <c r="AH29" s="5" t="str">
        <f ca="1">IFERROR(__xludf.DUMMYFUNCTION("IF(Z29 = """", """", GOOGLETRANSLATE(Z29, ""en"", ""mr""))"),"सरकारी कामात विलंब")</f>
        <v>सरकारी कामात विलंब</v>
      </c>
      <c r="AI29" s="5" t="str">
        <f ca="1">IFERROR(__xludf.DUMMYFUNCTION("IF(AA29 = """", """", GOOGLETRANSLATE(AA29, ""en"", ""mr""))"),"सतर्क राहा")</f>
        <v>सतर्क राहा</v>
      </c>
      <c r="AJ29" s="5" t="str">
        <f ca="1">IFERROR(__xludf.DUMMYFUNCTION("IF(AB29 = """", """", GOOGLETRANSLATE(AB29, ""en"", ""mr""))"),"")</f>
        <v/>
      </c>
      <c r="AK29" s="5" t="str">
        <f ca="1">IFERROR(__xludf.DUMMYFUNCTION("IF(Y29 = """", """", GOOGLETRANSLATE(Y29, ""en"", ""gu""))"),"અન્યના કારણે વિક્ષેપ")</f>
        <v>અન્યના કારણે વિક્ષેપ</v>
      </c>
      <c r="AL29" s="5" t="str">
        <f ca="1">IFERROR(__xludf.DUMMYFUNCTION("IF(Z29 = """", """", GOOGLETRANSLATE(Z29, ""en"", ""gu""))"),"સરકારી કામમાં વિલંબ")</f>
        <v>સરકારી કામમાં વિલંબ</v>
      </c>
      <c r="AM29" s="5" t="str">
        <f ca="1">IFERROR(__xludf.DUMMYFUNCTION("IF(AA29 = """", """", GOOGLETRANSLATE(AA29, ""en"", ""gu""))"),"સાવધાન રહો")</f>
        <v>સાવધાન રહો</v>
      </c>
      <c r="AN29" s="5" t="str">
        <f ca="1">IFERROR(__xludf.DUMMYFUNCTION("IF(AB29 = """", """", GOOGLETRANSLATE(AB29, ""en"", ""gu""))"),"")</f>
        <v/>
      </c>
      <c r="AO29" s="5" t="str">
        <f ca="1">IFERROR(__xludf.DUMMYFUNCTION("IF(Y29 = """", """", GOOGLETRANSLATE(Y29, ""en"", ""bn""))"),"অন্যদের কারণে ব্যাঘাত ঘটানো")</f>
        <v>অন্যদের কারণে ব্যাঘাত ঘটানো</v>
      </c>
      <c r="AP29" s="5" t="str">
        <f ca="1">IFERROR(__xludf.DUMMYFUNCTION("IF(Z29 = """", """", GOOGLETRANSLATE(Z29, ""en"", ""bn""))"),"সরকারি কাজে বিলম্ব")</f>
        <v>সরকারি কাজে বিলম্ব</v>
      </c>
      <c r="AQ29" s="5" t="str">
        <f ca="1">IFERROR(__xludf.DUMMYFUNCTION("IF(AA29 = """", """", GOOGLETRANSLATE(AA29, ""en"", ""bn""))"),"সতর্ক থাকুন")</f>
        <v>সতর্ক থাকুন</v>
      </c>
      <c r="AR29" s="5" t="str">
        <f ca="1">IFERROR(__xludf.DUMMYFUNCTION("IF(AB29 = """", """", GOOGLETRANSLATE(AB29, ""en"", ""bn""))"),"")</f>
        <v/>
      </c>
      <c r="AS29" s="1" t="s">
        <v>62</v>
      </c>
      <c r="AT29" s="1" t="s">
        <v>94</v>
      </c>
      <c r="AU29" s="5" t="str">
        <f ca="1">IFERROR(__xludf.DUMMYFUNCTION("IF(Y29 = """", """", GOOGLETRANSLATE(Y29, ""en"", ""te""))"),"ఇతరుల వల్ల ఆటంకాలు")</f>
        <v>ఇతరుల వల్ల ఆటంకాలు</v>
      </c>
      <c r="AV29" s="5" t="str">
        <f ca="1">IFERROR(__xludf.DUMMYFUNCTION("IF(Z29 = """", """", GOOGLETRANSLATE(Z29, ""en"", ""te""))"),"ప్రభుత్వ పనుల్లో జాప్యం")</f>
        <v>ప్రభుత్వ పనుల్లో జాప్యం</v>
      </c>
      <c r="AW29" s="5" t="str">
        <f ca="1">IFERROR(__xludf.DUMMYFUNCTION("IF(AA29 = """", """", GOOGLETRANSLATE(AA29, ""en"", ""te""))"),"అప్రమత్తంగా ఉండండి")</f>
        <v>అప్రమత్తంగా ఉండండి</v>
      </c>
      <c r="AX29" s="5" t="str">
        <f ca="1">IFERROR(__xludf.DUMMYFUNCTION("IF(AB29 = """", """", GOOGLETRANSLATE(AB29, ""en"", ""te""))"),"")</f>
        <v/>
      </c>
    </row>
    <row r="30" spans="1:50" x14ac:dyDescent="0.25">
      <c r="A30" s="1">
        <v>181</v>
      </c>
      <c r="B30" s="1" t="s">
        <v>56</v>
      </c>
      <c r="C30" s="8">
        <v>45836</v>
      </c>
      <c r="D30" s="8">
        <v>45836</v>
      </c>
      <c r="E30" s="1">
        <v>13</v>
      </c>
      <c r="F30" s="1">
        <v>1</v>
      </c>
      <c r="G30" s="3" t="s">
        <v>170</v>
      </c>
      <c r="H30" s="4">
        <v>1.0648148148148148E-2</v>
      </c>
      <c r="I30" s="4">
        <v>6.5740740740740742E-3</v>
      </c>
      <c r="J30" s="4">
        <v>1.0648148148148148E-2</v>
      </c>
      <c r="K30" s="1" t="s">
        <v>58</v>
      </c>
      <c r="L30" s="1" t="s">
        <v>137</v>
      </c>
      <c r="O30" s="1" t="s">
        <v>61</v>
      </c>
      <c r="P30" s="1" t="s">
        <v>61</v>
      </c>
      <c r="Q30" s="1" t="s">
        <v>61</v>
      </c>
      <c r="R30" s="1" t="s">
        <v>61</v>
      </c>
      <c r="S30" s="1" t="s">
        <v>61</v>
      </c>
      <c r="T30" s="1" t="s">
        <v>61</v>
      </c>
      <c r="V30" s="1" t="s">
        <v>61</v>
      </c>
      <c r="W30" s="1" t="s">
        <v>61</v>
      </c>
      <c r="X30" s="1" t="s">
        <v>61</v>
      </c>
      <c r="AB30" s="1"/>
      <c r="AC30" s="5" t="str">
        <f ca="1">IFERROR(__xludf.DUMMYFUNCTION("IF(Y30 = """", """", GOOGLETRANSLATE(Y30, ""en"", ""hi""))
"),"")</f>
        <v/>
      </c>
      <c r="AD30" s="5" t="str">
        <f ca="1">IFERROR(__xludf.DUMMYFUNCTION("IF(Z30 = """", """", GOOGLETRANSLATE(Z30, ""en"", ""hi""))"),"")</f>
        <v/>
      </c>
      <c r="AE30" s="5" t="str">
        <f ca="1">IFERROR(__xludf.DUMMYFUNCTION("IF(AA30 = """", """", GOOGLETRANSLATE(AA30, ""en"", ""hi""))"),"")</f>
        <v/>
      </c>
      <c r="AF30" s="5" t="str">
        <f ca="1">IFERROR(__xludf.DUMMYFUNCTION("IF(AB30 = """", """", GOOGLETRANSLATE(AB30, ""en"", ""hi""))"),"")</f>
        <v/>
      </c>
      <c r="AG30" s="5" t="str">
        <f ca="1">IFERROR(__xludf.DUMMYFUNCTION("IF(Y30 = """", """", GOOGLETRANSLATE(Y30, ""en"", ""mr""))"),"")</f>
        <v/>
      </c>
      <c r="AH30" s="5" t="str">
        <f ca="1">IFERROR(__xludf.DUMMYFUNCTION("IF(Z30 = """", """", GOOGLETRANSLATE(Z30, ""en"", ""mr""))"),"")</f>
        <v/>
      </c>
      <c r="AI30" s="5" t="str">
        <f ca="1">IFERROR(__xludf.DUMMYFUNCTION("IF(AA30 = """", """", GOOGLETRANSLATE(AA30, ""en"", ""mr""))"),"")</f>
        <v/>
      </c>
      <c r="AJ30" s="5" t="str">
        <f ca="1">IFERROR(__xludf.DUMMYFUNCTION("IF(AB30 = """", """", GOOGLETRANSLATE(AB30, ""en"", ""mr""))"),"")</f>
        <v/>
      </c>
      <c r="AK30" s="5" t="str">
        <f ca="1">IFERROR(__xludf.DUMMYFUNCTION("IF(Y30 = """", """", GOOGLETRANSLATE(Y30, ""en"", ""gu""))"),"")</f>
        <v/>
      </c>
      <c r="AL30" s="5" t="str">
        <f ca="1">IFERROR(__xludf.DUMMYFUNCTION("IF(Z30 = """", """", GOOGLETRANSLATE(Z30, ""en"", ""gu""))"),"")</f>
        <v/>
      </c>
      <c r="AM30" s="5" t="str">
        <f ca="1">IFERROR(__xludf.DUMMYFUNCTION("IF(AA30 = """", """", GOOGLETRANSLATE(AA30, ""en"", ""gu""))"),"")</f>
        <v/>
      </c>
      <c r="AN30" s="5" t="str">
        <f ca="1">IFERROR(__xludf.DUMMYFUNCTION("IF(AB30 = """", """", GOOGLETRANSLATE(AB30, ""en"", ""gu""))"),"")</f>
        <v/>
      </c>
      <c r="AO30" s="5" t="str">
        <f ca="1">IFERROR(__xludf.DUMMYFUNCTION("IF(Y30 = """", """", GOOGLETRANSLATE(Y30, ""en"", ""bn""))"),"")</f>
        <v/>
      </c>
      <c r="AP30" s="5" t="str">
        <f ca="1">IFERROR(__xludf.DUMMYFUNCTION("IF(Z30 = """", """", GOOGLETRANSLATE(Z30, ""en"", ""bn""))"),"")</f>
        <v/>
      </c>
      <c r="AQ30" s="5" t="str">
        <f ca="1">IFERROR(__xludf.DUMMYFUNCTION("IF(AA30 = """", """", GOOGLETRANSLATE(AA30, ""en"", ""bn""))"),"")</f>
        <v/>
      </c>
      <c r="AR30" s="5" t="str">
        <f ca="1">IFERROR(__xludf.DUMMYFUNCTION("IF(AB30 = """", """", GOOGLETRANSLATE(AB30, ""en"", ""bn""))"),"")</f>
        <v/>
      </c>
      <c r="AU30" s="5" t="str">
        <f ca="1">IFERROR(__xludf.DUMMYFUNCTION("IF(Y30 = """", """", GOOGLETRANSLATE(Y30, ""en"", ""te""))"),"")</f>
        <v/>
      </c>
      <c r="AV30" s="5" t="str">
        <f ca="1">IFERROR(__xludf.DUMMYFUNCTION("IF(Z30 = """", """", GOOGLETRANSLATE(Z30, ""en"", ""te""))"),"")</f>
        <v/>
      </c>
      <c r="AW30" s="5" t="str">
        <f ca="1">IFERROR(__xludf.DUMMYFUNCTION("IF(AA30 = """", """", GOOGLETRANSLATE(AA30, ""en"", ""te""))"),"")</f>
        <v/>
      </c>
      <c r="AX30" s="5" t="str">
        <f ca="1">IFERROR(__xludf.DUMMYFUNCTION("IF(AB30 = """", """", GOOGLETRANSLATE(AB30, ""en"", ""te""))"),"")</f>
        <v/>
      </c>
    </row>
    <row r="31" spans="1:50" x14ac:dyDescent="0.25">
      <c r="A31" s="1">
        <v>215</v>
      </c>
      <c r="B31" s="1" t="s">
        <v>56</v>
      </c>
      <c r="C31" s="2">
        <v>45839</v>
      </c>
      <c r="D31" s="2">
        <v>45839</v>
      </c>
      <c r="E31" s="1">
        <v>6</v>
      </c>
      <c r="F31" s="1">
        <v>1</v>
      </c>
      <c r="G31" s="3" t="s">
        <v>171</v>
      </c>
      <c r="H31" s="4">
        <v>1.1527777777777777E-2</v>
      </c>
      <c r="I31" s="4">
        <v>4.3750000000000004E-3</v>
      </c>
      <c r="J31" s="4">
        <v>4.7453703703703703E-3</v>
      </c>
      <c r="K31" s="1" t="s">
        <v>58</v>
      </c>
      <c r="L31" s="1" t="s">
        <v>113</v>
      </c>
      <c r="M31" s="1"/>
      <c r="N31" s="1"/>
      <c r="O31" s="1" t="s">
        <v>91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/>
      <c r="V31" s="1" t="s">
        <v>91</v>
      </c>
      <c r="W31" s="1" t="s">
        <v>61</v>
      </c>
      <c r="X31" s="1" t="s">
        <v>61</v>
      </c>
      <c r="Y31" s="1" t="s">
        <v>172</v>
      </c>
      <c r="Z31" s="1" t="s">
        <v>173</v>
      </c>
      <c r="AA31" s="1"/>
      <c r="AB31" s="1"/>
      <c r="AC31" s="5" t="str">
        <f ca="1">IFERROR(__xludf.DUMMYFUNCTION("IF(Y31 = """", """", GOOGLETRANSLATE(Y31, ""en"", ""hi""))
"),"दिन अच्छा है लेकिन जोखिम भरे फैसले लेने से बचें")</f>
        <v>दिन अच्छा है लेकिन जोखिम भरे फैसले लेने से बचें</v>
      </c>
      <c r="AD31" s="5" t="str">
        <f ca="1">IFERROR(__xludf.DUMMYFUNCTION("IF(Z31 = """", """", GOOGLETRANSLATE(Z31, ""en"", ""hi""))"),"अच्छी तरह से बनाई गई योजनाओं पर टिके रहें")</f>
        <v>अच्छी तरह से बनाई गई योजनाओं पर टिके रहें</v>
      </c>
      <c r="AE31" s="5" t="str">
        <f ca="1">IFERROR(__xludf.DUMMYFUNCTION("IF(AA31 = """", """", GOOGLETRANSLATE(AA31, ""en"", ""hi""))"),"")</f>
        <v/>
      </c>
      <c r="AF31" s="5" t="str">
        <f ca="1">IFERROR(__xludf.DUMMYFUNCTION("IF(AB31 = """", """", GOOGLETRANSLATE(AB31, ""en"", ""hi""))"),"")</f>
        <v/>
      </c>
      <c r="AG31" s="5" t="str">
        <f ca="1">IFERROR(__xludf.DUMMYFUNCTION("IF(Y31 = """", """", GOOGLETRANSLATE(Y31, ""en"", ""mr""))"),"दिवस चांगला आहे पण धोकादायक निर्णय टाळा")</f>
        <v>दिवस चांगला आहे पण धोकादायक निर्णय टाळा</v>
      </c>
      <c r="AH31" s="5" t="str">
        <f ca="1">IFERROR(__xludf.DUMMYFUNCTION("IF(Z31 = """", """", GOOGLETRANSLATE(Z31, ""en"", ""mr""))"),"सुव्यवस्थित योजनांना चिकटून राहा")</f>
        <v>सुव्यवस्थित योजनांना चिकटून राहा</v>
      </c>
      <c r="AI31" s="5" t="str">
        <f ca="1">IFERROR(__xludf.DUMMYFUNCTION("IF(AA31 = """", """", GOOGLETRANSLATE(AA31, ""en"", ""mr""))"),"")</f>
        <v/>
      </c>
      <c r="AJ31" s="5" t="str">
        <f ca="1">IFERROR(__xludf.DUMMYFUNCTION("IF(AB31 = """", """", GOOGLETRANSLATE(AB31, ""en"", ""mr""))"),"")</f>
        <v/>
      </c>
      <c r="AK31" s="5" t="str">
        <f ca="1">IFERROR(__xludf.DUMMYFUNCTION("IF(Y31 = """", """", GOOGLETRANSLATE(Y31, ""en"", ""gu""))"),"દિવસ સારો છે પરંતુ જોખમી નિર્ણયો ટાળો")</f>
        <v>દિવસ સારો છે પરંતુ જોખમી નિર્ણયો ટાળો</v>
      </c>
      <c r="AL31" s="5" t="str">
        <f ca="1">IFERROR(__xludf.DUMMYFUNCTION("IF(Z31 = """", """", GOOGLETRANSLATE(Z31, ""en"", ""gu""))"),"સારી રીતે ગોઠવેલી યોજનાઓને વળગી રહો")</f>
        <v>સારી રીતે ગોઠવેલી યોજનાઓને વળગી રહો</v>
      </c>
      <c r="AM31" s="5" t="str">
        <f ca="1">IFERROR(__xludf.DUMMYFUNCTION("IF(AA31 = """", """", GOOGLETRANSLATE(AA31, ""en"", ""gu""))"),"")</f>
        <v/>
      </c>
      <c r="AN31" s="5" t="str">
        <f ca="1">IFERROR(__xludf.DUMMYFUNCTION("IF(AB31 = """", """", GOOGLETRANSLATE(AB31, ""en"", ""gu""))"),"")</f>
        <v/>
      </c>
      <c r="AO31" s="5" t="str">
        <f ca="1">IFERROR(__xludf.DUMMYFUNCTION("IF(Y31 = """", """", GOOGLETRANSLATE(Y31, ""en"", ""bn""))"),"দিনটি শুভ কিন্তু ঝুঁকিপূর্ণ সিদ্ধান্ত এড়িয়ে চলুন")</f>
        <v>দিনটি শুভ কিন্তু ঝুঁকিপূর্ণ সিদ্ধান্ত এড়িয়ে চলুন</v>
      </c>
      <c r="AP31" s="5" t="str">
        <f ca="1">IFERROR(__xludf.DUMMYFUNCTION("IF(Z31 = """", """", GOOGLETRANSLATE(Z31, ""en"", ""bn""))"),"সুপরিকল্পিত পরিকল্পনায় লেগে থাকুন")</f>
        <v>সুপরিকল্পিত পরিকল্পনায় লেগে থাকুন</v>
      </c>
      <c r="AQ31" s="5" t="str">
        <f ca="1">IFERROR(__xludf.DUMMYFUNCTION("IF(AA31 = """", """", GOOGLETRANSLATE(AA31, ""en"", ""bn""))"),"")</f>
        <v/>
      </c>
      <c r="AR31" s="5" t="str">
        <f ca="1">IFERROR(__xludf.DUMMYFUNCTION("IF(AB31 = """", """", GOOGLETRANSLATE(AB31, ""en"", ""bn""))"),"")</f>
        <v/>
      </c>
      <c r="AU31" s="5" t="str">
        <f ca="1">IFERROR(__xludf.DUMMYFUNCTION("IF(Y31 = """", """", GOOGLETRANSLATE(Y31, ""en"", ""te""))"),"మంచి రోజు అయితే ప్రమాదకర నిర్ణయాలకు దూరంగా ఉండండి")</f>
        <v>మంచి రోజు అయితే ప్రమాదకర నిర్ణయాలకు దూరంగా ఉండండి</v>
      </c>
      <c r="AV31" s="5" t="str">
        <f ca="1">IFERROR(__xludf.DUMMYFUNCTION("IF(Z31 = """", """", GOOGLETRANSLATE(Z31, ""en"", ""te""))"),"చక్కటి ప్రణాళికలకు కట్టుబడి ఉండండి")</f>
        <v>చక్కటి ప్రణాళికలకు కట్టుబడి ఉండండి</v>
      </c>
      <c r="AW31" s="5" t="str">
        <f ca="1">IFERROR(__xludf.DUMMYFUNCTION("IF(AA31 = """", """", GOOGLETRANSLATE(AA31, ""en"", ""te""))"),"")</f>
        <v/>
      </c>
      <c r="AX31" s="5" t="str">
        <f ca="1">IFERROR(__xludf.DUMMYFUNCTION("IF(AB31 = """", """", GOOGLETRANSLATE(AB31, ""en"", ""te""))"),"")</f>
        <v/>
      </c>
    </row>
    <row r="32" spans="1:50" x14ac:dyDescent="0.25">
      <c r="A32" s="1">
        <v>36</v>
      </c>
      <c r="B32" s="1" t="s">
        <v>56</v>
      </c>
      <c r="C32" s="6">
        <v>45824</v>
      </c>
      <c r="D32" s="6">
        <v>45824</v>
      </c>
      <c r="E32" s="1">
        <v>8</v>
      </c>
      <c r="F32" s="1">
        <v>1</v>
      </c>
      <c r="G32" s="3" t="s">
        <v>138</v>
      </c>
      <c r="H32" s="4">
        <v>9.2824074074074076E-3</v>
      </c>
      <c r="I32" s="7" t="s">
        <v>174</v>
      </c>
      <c r="J32" s="7" t="s">
        <v>175</v>
      </c>
      <c r="K32" s="1" t="s">
        <v>58</v>
      </c>
      <c r="L32" s="1" t="s">
        <v>68</v>
      </c>
      <c r="M32" s="1" t="s">
        <v>14</v>
      </c>
      <c r="O32" s="1" t="s">
        <v>91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V32" s="1" t="s">
        <v>61</v>
      </c>
      <c r="W32" s="1" t="s">
        <v>61</v>
      </c>
      <c r="X32" s="1" t="s">
        <v>61</v>
      </c>
      <c r="Y32" s="1" t="s">
        <v>176</v>
      </c>
      <c r="Z32" s="1" t="s">
        <v>177</v>
      </c>
      <c r="AA32" s="1" t="s">
        <v>178</v>
      </c>
      <c r="AB32" s="1"/>
      <c r="AC32" s="5" t="str">
        <f ca="1">IFERROR(__xludf.DUMMYFUNCTION("IF(Y32 = """", """", GOOGLETRANSLATE(Y32, ""en"", ""hi""))
"),"विदेश-संबंधी कार्य अच्छे")</f>
        <v>विदेश-संबंधी कार्य अच्छे</v>
      </c>
      <c r="AD32" s="5" t="str">
        <f ca="1">IFERROR(__xludf.DUMMYFUNCTION("IF(Z32 = """", """", GOOGLETRANSLATE(Z32, ""en"", ""hi""))"),"जोखिम भरे निर्णयों से बचें")</f>
        <v>जोखिम भरे निर्णयों से बचें</v>
      </c>
      <c r="AE32" s="5" t="str">
        <f ca="1">IFERROR(__xludf.DUMMYFUNCTION("IF(AA32 = """", """", GOOGLETRANSLATE(AA32, ""en"", ""hi""))"),"वाणी पर नियंत्रण रखें")</f>
        <v>वाणी पर नियंत्रण रखें</v>
      </c>
      <c r="AF32" s="5" t="str">
        <f ca="1">IFERROR(__xludf.DUMMYFUNCTION("IF(AB32 = """", """", GOOGLETRANSLATE(AB32, ""en"", ""hi""))"),"")</f>
        <v/>
      </c>
      <c r="AG32" s="5" t="str">
        <f ca="1">IFERROR(__xludf.DUMMYFUNCTION("IF(Y32 = """", """", GOOGLETRANSLATE(Y32, ""en"", ""mr""))"),"परदेशाशी संबंधित कामे चांगली")</f>
        <v>परदेशाशी संबंधित कामे चांगली</v>
      </c>
      <c r="AH32" s="5" t="str">
        <f ca="1">IFERROR(__xludf.DUMMYFUNCTION("IF(Z32 = """", """", GOOGLETRANSLATE(Z32, ""en"", ""mr""))"),"धोकादायक निर्णय टाळा")</f>
        <v>धोकादायक निर्णय टाळा</v>
      </c>
      <c r="AI32" s="5" t="str">
        <f ca="1">IFERROR(__xludf.DUMMYFUNCTION("IF(AA32 = """", """", GOOGLETRANSLATE(AA32, ""en"", ""mr""))"),"वाणीवर नियंत्रण ठेवा")</f>
        <v>वाणीवर नियंत्रण ठेवा</v>
      </c>
      <c r="AJ32" s="5" t="str">
        <f ca="1">IFERROR(__xludf.DUMMYFUNCTION("IF(AB32 = """", """", GOOGLETRANSLATE(AB32, ""en"", ""mr""))"),"")</f>
        <v/>
      </c>
      <c r="AK32" s="5" t="str">
        <f ca="1">IFERROR(__xludf.DUMMYFUNCTION("IF(Y32 = """", """", GOOGLETRANSLATE(Y32, ""en"", ""gu""))"),"વિદેશ સંબંધિત કાર્યો સારા")</f>
        <v>વિદેશ સંબંધિત કાર્યો સારા</v>
      </c>
      <c r="AL32" s="5" t="str">
        <f ca="1">IFERROR(__xludf.DUMMYFUNCTION("IF(Z32 = """", """", GOOGLETRANSLATE(Z32, ""en"", ""gu""))"),"જોખમી નિર્ણયો ટાળો")</f>
        <v>જોખમી નિર્ણયો ટાળો</v>
      </c>
      <c r="AM32" s="5" t="str">
        <f ca="1">IFERROR(__xludf.DUMMYFUNCTION("IF(AA32 = """", """", GOOGLETRANSLATE(AA32, ""en"", ""gu""))"),"વાણી પર નિયંત્રણ રાખો")</f>
        <v>વાણી પર નિયંત્રણ રાખો</v>
      </c>
      <c r="AN32" s="5" t="str">
        <f ca="1">IFERROR(__xludf.DUMMYFUNCTION("IF(AB32 = """", """", GOOGLETRANSLATE(AB32, ""en"", ""gu""))"),"")</f>
        <v/>
      </c>
      <c r="AO32" s="5" t="str">
        <f ca="1">IFERROR(__xludf.DUMMYFUNCTION("IF(Y32 = """", """", GOOGLETRANSLATE(Y32, ""en"", ""bn""))"),"বিদেশ সংক্রান্ত কাজ ভালো")</f>
        <v>বিদেশ সংক্রান্ত কাজ ভালো</v>
      </c>
      <c r="AP32" s="5" t="str">
        <f ca="1">IFERROR(__xludf.DUMMYFUNCTION("IF(Z32 = """", """", GOOGLETRANSLATE(Z32, ""en"", ""bn""))"),"ঝুঁকিপূর্ণ সিদ্ধান্ত এড়িয়ে চলুন")</f>
        <v>ঝুঁকিপূর্ণ সিদ্ধান্ত এড়িয়ে চলুন</v>
      </c>
      <c r="AQ32" s="5" t="str">
        <f ca="1">IFERROR(__xludf.DUMMYFUNCTION("IF(AA32 = """", """", GOOGLETRANSLATE(AA32, ""en"", ""bn""))"),"বক্তৃতা নিয়ন্ত্রণ করুন")</f>
        <v>বক্তৃতা নিয়ন্ত্রণ করুন</v>
      </c>
      <c r="AR32" s="5" t="str">
        <f ca="1">IFERROR(__xludf.DUMMYFUNCTION("IF(AB32 = """", """", GOOGLETRANSLATE(AB32, ""en"", ""bn""))"),"")</f>
        <v/>
      </c>
      <c r="AS32" s="1" t="s">
        <v>62</v>
      </c>
      <c r="AT32" s="1" t="s">
        <v>94</v>
      </c>
      <c r="AU32" s="5" t="str">
        <f ca="1">IFERROR(__xludf.DUMMYFUNCTION("IF(Y32 = """", """", GOOGLETRANSLATE(Y32, ""en"", ""te""))"),"విదేశీ వ్యవహారాలు బాగుంటాయి")</f>
        <v>విదేశీ వ్యవహారాలు బాగుంటాయి</v>
      </c>
      <c r="AV32" s="5" t="str">
        <f ca="1">IFERROR(__xludf.DUMMYFUNCTION("IF(Z32 = """", """", GOOGLETRANSLATE(Z32, ""en"", ""te""))"),"ప్రమాదకర నిర్ణయాలకు దూరంగా ఉండండి")</f>
        <v>ప్రమాదకర నిర్ణయాలకు దూరంగా ఉండండి</v>
      </c>
      <c r="AW32" s="5" t="str">
        <f ca="1">IFERROR(__xludf.DUMMYFUNCTION("IF(AA32 = """", """", GOOGLETRANSLATE(AA32, ""en"", ""te""))"),"ప్రసంగాన్ని నియంత్రించండి")</f>
        <v>ప్రసంగాన్ని నియంత్రించండి</v>
      </c>
      <c r="AX32" s="5" t="str">
        <f ca="1">IFERROR(__xludf.DUMMYFUNCTION("IF(AB32 = """", """", GOOGLETRANSLATE(AB32, ""en"", ""te""))"),"")</f>
        <v/>
      </c>
    </row>
    <row r="33" spans="1:50" x14ac:dyDescent="0.25">
      <c r="A33" s="1">
        <v>38</v>
      </c>
      <c r="B33" s="1" t="s">
        <v>56</v>
      </c>
      <c r="C33" s="6">
        <v>45824</v>
      </c>
      <c r="D33" s="6">
        <v>45824</v>
      </c>
      <c r="E33" s="1">
        <v>10</v>
      </c>
      <c r="F33" s="1">
        <v>1</v>
      </c>
      <c r="G33" s="3" t="s">
        <v>138</v>
      </c>
      <c r="H33" s="4">
        <v>9.2824074074074076E-3</v>
      </c>
      <c r="I33" s="7" t="s">
        <v>179</v>
      </c>
      <c r="J33" s="7" t="s">
        <v>180</v>
      </c>
      <c r="K33" s="1" t="s">
        <v>58</v>
      </c>
      <c r="L33" s="1" t="s">
        <v>76</v>
      </c>
      <c r="M33" s="1" t="s">
        <v>14</v>
      </c>
      <c r="O33" s="1" t="s">
        <v>91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V33" s="1" t="s">
        <v>61</v>
      </c>
      <c r="W33" s="1" t="s">
        <v>61</v>
      </c>
      <c r="X33" s="1" t="s">
        <v>61</v>
      </c>
      <c r="Y33" s="1" t="s">
        <v>181</v>
      </c>
      <c r="Z33" s="1" t="s">
        <v>182</v>
      </c>
      <c r="AA33" s="1" t="s">
        <v>183</v>
      </c>
      <c r="AB33" s="1"/>
      <c r="AC33" s="5" t="str">
        <f ca="1">IFERROR(__xludf.DUMMYFUNCTION("IF(Y33 = """", """", GOOGLETRANSLATE(Y33, ""en"", ""hi""))
"),"अतीत के तनाव पर काबू पाना")</f>
        <v>अतीत के तनाव पर काबू पाना</v>
      </c>
      <c r="AD33" s="5" t="str">
        <f ca="1">IFERROR(__xludf.DUMMYFUNCTION("IF(Z33 = """", """", GOOGLETRANSLATE(Z33, ""en"", ""hi""))"),"निर्णयों के लिए अच्छा")</f>
        <v>निर्णयों के लिए अच्छा</v>
      </c>
      <c r="AE33" s="5" t="str">
        <f ca="1">IFERROR(__xludf.DUMMYFUNCTION("IF(AA33 = """", """", GOOGLETRANSLATE(AA33, ""en"", ""hi""))"),"शेयर बाजार में सावधानी")</f>
        <v>शेयर बाजार में सावधानी</v>
      </c>
      <c r="AF33" s="5" t="str">
        <f ca="1">IFERROR(__xludf.DUMMYFUNCTION("IF(AB33 = """", """", GOOGLETRANSLATE(AB33, ""en"", ""hi""))"),"")</f>
        <v/>
      </c>
      <c r="AG33" s="5" t="str">
        <f ca="1">IFERROR(__xludf.DUMMYFUNCTION("IF(Y33 = """", """", GOOGLETRANSLATE(Y33, ""en"", ""mr""))"),"मागील तणावावर मात करणे")</f>
        <v>मागील तणावावर मात करणे</v>
      </c>
      <c r="AH33" s="5" t="str">
        <f ca="1">IFERROR(__xludf.DUMMYFUNCTION("IF(Z33 = """", """", GOOGLETRANSLATE(Z33, ""en"", ""mr""))"),"निर्णयांसाठी चांगले")</f>
        <v>निर्णयांसाठी चांगले</v>
      </c>
      <c r="AI33" s="5" t="str">
        <f ca="1">IFERROR(__xludf.DUMMYFUNCTION("IF(AA33 = """", """", GOOGLETRANSLATE(AA33, ""en"", ""mr""))"),"शेअर बाजारात सावधगिरी बाळगा")</f>
        <v>शेअर बाजारात सावधगिरी बाळगा</v>
      </c>
      <c r="AJ33" s="5" t="str">
        <f ca="1">IFERROR(__xludf.DUMMYFUNCTION("IF(AB33 = """", """", GOOGLETRANSLATE(AB33, ""en"", ""mr""))"),"")</f>
        <v/>
      </c>
      <c r="AK33" s="5" t="str">
        <f ca="1">IFERROR(__xludf.DUMMYFUNCTION("IF(Y33 = """", """", GOOGLETRANSLATE(Y33, ""en"", ""gu""))"),"ભૂતકાળના તણાવને દૂર કરો")</f>
        <v>ભૂતકાળના તણાવને દૂર કરો</v>
      </c>
      <c r="AL33" s="5" t="str">
        <f ca="1">IFERROR(__xludf.DUMMYFUNCTION("IF(Z33 = """", """", GOOGLETRANSLATE(Z33, ""en"", ""gu""))"),"નિર્ણયો માટે સારું")</f>
        <v>નિર્ણયો માટે સારું</v>
      </c>
      <c r="AM33" s="5" t="str">
        <f ca="1">IFERROR(__xludf.DUMMYFUNCTION("IF(AA33 = """", """", GOOGLETRANSLATE(AA33, ""en"", ""gu""))"),"શેરબજારમાં સાવધાની")</f>
        <v>શેરબજારમાં સાવધાની</v>
      </c>
      <c r="AN33" s="5" t="str">
        <f ca="1">IFERROR(__xludf.DUMMYFUNCTION("IF(AB33 = """", """", GOOGLETRANSLATE(AB33, ""en"", ""gu""))"),"")</f>
        <v/>
      </c>
      <c r="AO33" s="5" t="str">
        <f ca="1">IFERROR(__xludf.DUMMYFUNCTION("IF(Y33 = """", """", GOOGLETRANSLATE(Y33, ""en"", ""bn""))"),"অতীতের চাপ কাটিয়ে ওঠা")</f>
        <v>অতীতের চাপ কাটিয়ে ওঠা</v>
      </c>
      <c r="AP33" s="5" t="str">
        <f ca="1">IFERROR(__xludf.DUMMYFUNCTION("IF(Z33 = """", """", GOOGLETRANSLATE(Z33, ""en"", ""bn""))"),"সিদ্ধান্তের জন্য ভাল")</f>
        <v>সিদ্ধান্তের জন্য ভাল</v>
      </c>
      <c r="AQ33" s="5" t="str">
        <f ca="1">IFERROR(__xludf.DUMMYFUNCTION("IF(AA33 = """", """", GOOGLETRANSLATE(AA33, ""en"", ""bn""))"),"শেয়ারবাজারে সতর্কতা")</f>
        <v>শেয়ারবাজারে সতর্কতা</v>
      </c>
      <c r="AR33" s="5" t="str">
        <f ca="1">IFERROR(__xludf.DUMMYFUNCTION("IF(AB33 = """", """", GOOGLETRANSLATE(AB33, ""en"", ""bn""))"),"")</f>
        <v/>
      </c>
      <c r="AS33" s="1" t="s">
        <v>62</v>
      </c>
      <c r="AT33" s="1" t="s">
        <v>94</v>
      </c>
      <c r="AU33" s="5" t="str">
        <f ca="1">IFERROR(__xludf.DUMMYFUNCTION("IF(Y33 = """", """", GOOGLETRANSLATE(Y33, ""en"", ""te""))"),"గత ఒత్తిడిని అధిగమించడం")</f>
        <v>గత ఒత్తిడిని అధిగమించడం</v>
      </c>
      <c r="AV33" s="5" t="str">
        <f ca="1">IFERROR(__xludf.DUMMYFUNCTION("IF(Z33 = """", """", GOOGLETRANSLATE(Z33, ""en"", ""te""))"),"నిర్ణయాలకు అనుకూలం")</f>
        <v>నిర్ణయాలకు అనుకూలం</v>
      </c>
      <c r="AW33" s="5" t="str">
        <f ca="1">IFERROR(__xludf.DUMMYFUNCTION("IF(AA33 = """", """", GOOGLETRANSLATE(AA33, ""en"", ""te""))"),"స్టాక్ మార్కెట్లలో జాగ్రత్త")</f>
        <v>స్టాక్ మార్కెట్లలో జాగ్రత్త</v>
      </c>
      <c r="AX33" s="5" t="str">
        <f ca="1">IFERROR(__xludf.DUMMYFUNCTION("IF(AB33 = """", """", GOOGLETRANSLATE(AB33, ""en"", ""te""))"),"")</f>
        <v/>
      </c>
    </row>
    <row r="34" spans="1:50" x14ac:dyDescent="0.25">
      <c r="A34" s="1">
        <v>39</v>
      </c>
      <c r="B34" s="1" t="s">
        <v>56</v>
      </c>
      <c r="C34" s="6">
        <v>45824</v>
      </c>
      <c r="D34" s="6">
        <v>45824</v>
      </c>
      <c r="E34" s="1">
        <v>11</v>
      </c>
      <c r="F34" s="1">
        <v>1</v>
      </c>
      <c r="G34" s="3" t="s">
        <v>138</v>
      </c>
      <c r="H34" s="4">
        <v>9.2824074074074076E-3</v>
      </c>
      <c r="I34" s="7" t="s">
        <v>180</v>
      </c>
      <c r="J34" s="7" t="s">
        <v>184</v>
      </c>
      <c r="K34" s="1" t="s">
        <v>58</v>
      </c>
      <c r="L34" s="1" t="s">
        <v>79</v>
      </c>
      <c r="M34" s="1" t="s">
        <v>19</v>
      </c>
      <c r="O34" s="1" t="s">
        <v>61</v>
      </c>
      <c r="P34" s="1" t="s">
        <v>61</v>
      </c>
      <c r="Q34" s="1" t="s">
        <v>61</v>
      </c>
      <c r="R34" s="1" t="s">
        <v>61</v>
      </c>
      <c r="S34" s="1" t="s">
        <v>61</v>
      </c>
      <c r="T34" s="1" t="s">
        <v>91</v>
      </c>
      <c r="V34" s="1" t="s">
        <v>61</v>
      </c>
      <c r="W34" s="1" t="s">
        <v>61</v>
      </c>
      <c r="X34" s="1" t="s">
        <v>61</v>
      </c>
      <c r="Y34" s="1" t="s">
        <v>185</v>
      </c>
      <c r="Z34" s="1" t="s">
        <v>186</v>
      </c>
      <c r="AA34" s="1" t="s">
        <v>187</v>
      </c>
      <c r="AB34" s="1"/>
      <c r="AC34" s="5" t="str">
        <f ca="1">IFERROR(__xludf.DUMMYFUNCTION("IF(Y34 = """", """", GOOGLETRANSLATE(Y34, ""en"", ""hi""))
"),"अप्रत्याशित तनाव")</f>
        <v>अप्रत्याशित तनाव</v>
      </c>
      <c r="AD34" s="5" t="str">
        <f ca="1">IFERROR(__xludf.DUMMYFUNCTION("IF(Z34 = """", """", GOOGLETRANSLATE(Z34, ""en"", ""hi""))"),"बहस से बचें")</f>
        <v>बहस से बचें</v>
      </c>
      <c r="AE34" s="5" t="str">
        <f ca="1">IFERROR(__xludf.DUMMYFUNCTION("IF(AA34 = """", """", GOOGLETRANSLATE(AA34, ""en"", ""hi""))"),"तनाव के बावजूद शांत रहें")</f>
        <v>तनाव के बावजूद शांत रहें</v>
      </c>
      <c r="AF34" s="5" t="str">
        <f ca="1">IFERROR(__xludf.DUMMYFUNCTION("IF(AB34 = """", """", GOOGLETRANSLATE(AB34, ""en"", ""hi""))"),"")</f>
        <v/>
      </c>
      <c r="AG34" s="5" t="str">
        <f ca="1">IFERROR(__xludf.DUMMYFUNCTION("IF(Y34 = """", """", GOOGLETRANSLATE(Y34, ""en"", ""mr""))"),"अनपेक्षित ताण")</f>
        <v>अनपेक्षित ताण</v>
      </c>
      <c r="AH34" s="5" t="str">
        <f ca="1">IFERROR(__xludf.DUMMYFUNCTION("IF(Z34 = """", """", GOOGLETRANSLATE(Z34, ""en"", ""mr""))"),"वाद टाळा")</f>
        <v>वाद टाळा</v>
      </c>
      <c r="AI34" s="5" t="str">
        <f ca="1">IFERROR(__xludf.DUMMYFUNCTION("IF(AA34 = """", """", GOOGLETRANSLATE(AA34, ""en"", ""mr""))"),"तणाव असूनही शांत राहा")</f>
        <v>तणाव असूनही शांत राहा</v>
      </c>
      <c r="AJ34" s="5" t="str">
        <f ca="1">IFERROR(__xludf.DUMMYFUNCTION("IF(AB34 = """", """", GOOGLETRANSLATE(AB34, ""en"", ""mr""))"),"")</f>
        <v/>
      </c>
      <c r="AK34" s="5" t="str">
        <f ca="1">IFERROR(__xludf.DUMMYFUNCTION("IF(Y34 = """", """", GOOGLETRANSLATE(Y34, ""en"", ""gu""))"),"અનપેક્ષિત તણાવ")</f>
        <v>અનપેક્ષિત તણાવ</v>
      </c>
      <c r="AL34" s="5" t="str">
        <f ca="1">IFERROR(__xludf.DUMMYFUNCTION("IF(Z34 = """", """", GOOGLETRANSLATE(Z34, ""en"", ""gu""))"),"દલીલો ટાળો")</f>
        <v>દલીલો ટાળો</v>
      </c>
      <c r="AM34" s="5" t="str">
        <f ca="1">IFERROR(__xludf.DUMMYFUNCTION("IF(AA34 = """", """", GOOGLETRANSLATE(AA34, ""en"", ""gu""))"),"તણાવ છતાં શાંત રહો")</f>
        <v>તણાવ છતાં શાંત રહો</v>
      </c>
      <c r="AN34" s="5" t="str">
        <f ca="1">IFERROR(__xludf.DUMMYFUNCTION("IF(AB34 = """", """", GOOGLETRANSLATE(AB34, ""en"", ""gu""))"),"")</f>
        <v/>
      </c>
      <c r="AO34" s="5" t="str">
        <f ca="1">IFERROR(__xludf.DUMMYFUNCTION("IF(Y34 = """", """", GOOGLETRANSLATE(Y34, ""en"", ""bn""))"),"অপ্রত্যাশিত চাপ")</f>
        <v>অপ্রত্যাশিত চাপ</v>
      </c>
      <c r="AP34" s="5" t="str">
        <f ca="1">IFERROR(__xludf.DUMMYFUNCTION("IF(Z34 = """", """", GOOGLETRANSLATE(Z34, ""en"", ""bn""))"),"তর্ক এড়িয়ে চলুন")</f>
        <v>তর্ক এড়িয়ে চলুন</v>
      </c>
      <c r="AQ34" s="5" t="str">
        <f ca="1">IFERROR(__xludf.DUMMYFUNCTION("IF(AA34 = """", """", GOOGLETRANSLATE(AA34, ""en"", ""bn""))"),"টেনশন সত্ত্বেও শান্ত থাকুন")</f>
        <v>টেনশন সত্ত্বেও শান্ত থাকুন</v>
      </c>
      <c r="AR34" s="5" t="str">
        <f ca="1">IFERROR(__xludf.DUMMYFUNCTION("IF(AB34 = """", """", GOOGLETRANSLATE(AB34, ""en"", ""bn""))"),"")</f>
        <v/>
      </c>
      <c r="AS34" s="1" t="s">
        <v>62</v>
      </c>
      <c r="AT34" s="1" t="s">
        <v>94</v>
      </c>
      <c r="AU34" s="5" t="str">
        <f ca="1">IFERROR(__xludf.DUMMYFUNCTION("IF(Y34 = """", """", GOOGLETRANSLATE(Y34, ""en"", ""te""))"),"ఊహించని ఒత్తిడి")</f>
        <v>ఊహించని ఒత్తిడి</v>
      </c>
      <c r="AV34" s="5" t="str">
        <f ca="1">IFERROR(__xludf.DUMMYFUNCTION("IF(Z34 = """", """", GOOGLETRANSLATE(Z34, ""en"", ""te""))"),"వాదనలు మానుకోండి")</f>
        <v>వాదనలు మానుకోండి</v>
      </c>
      <c r="AW34" s="5" t="str">
        <f ca="1">IFERROR(__xludf.DUMMYFUNCTION("IF(AA34 = """", """", GOOGLETRANSLATE(AA34, ""en"", ""te""))"),"టెన్షన్ ఉన్నప్పటికీ ప్రశాంతంగా ఉండండి")</f>
        <v>టెన్షన్ ఉన్నప్పటికీ ప్రశాంతంగా ఉండండి</v>
      </c>
      <c r="AX34" s="5" t="str">
        <f ca="1">IFERROR(__xludf.DUMMYFUNCTION("IF(AB34 = """", """", GOOGLETRANSLATE(AB34, ""en"", ""te""))"),"")</f>
        <v/>
      </c>
    </row>
    <row r="35" spans="1:50" x14ac:dyDescent="0.25">
      <c r="A35" s="1">
        <v>40</v>
      </c>
      <c r="B35" s="1" t="s">
        <v>56</v>
      </c>
      <c r="C35" s="6">
        <v>45824</v>
      </c>
      <c r="D35" s="6">
        <v>45824</v>
      </c>
      <c r="E35" s="1">
        <v>12</v>
      </c>
      <c r="F35" s="1">
        <v>1</v>
      </c>
      <c r="G35" s="3" t="s">
        <v>138</v>
      </c>
      <c r="H35" s="4">
        <v>9.2824074074074076E-3</v>
      </c>
      <c r="I35" s="7" t="s">
        <v>184</v>
      </c>
      <c r="K35" s="1" t="s">
        <v>58</v>
      </c>
      <c r="L35" s="1" t="s">
        <v>81</v>
      </c>
      <c r="M35" s="1" t="s">
        <v>14</v>
      </c>
      <c r="O35" s="1" t="s">
        <v>91</v>
      </c>
      <c r="P35" s="1" t="s">
        <v>61</v>
      </c>
      <c r="Q35" s="1" t="s">
        <v>61</v>
      </c>
      <c r="R35" s="1" t="s">
        <v>61</v>
      </c>
      <c r="S35" s="1" t="s">
        <v>61</v>
      </c>
      <c r="T35" s="1" t="s">
        <v>61</v>
      </c>
      <c r="V35" s="1" t="s">
        <v>61</v>
      </c>
      <c r="W35" s="1" t="s">
        <v>61</v>
      </c>
      <c r="X35" s="1" t="s">
        <v>61</v>
      </c>
      <c r="Y35" s="1" t="s">
        <v>188</v>
      </c>
      <c r="Z35" s="1" t="s">
        <v>189</v>
      </c>
      <c r="AA35" s="1" t="s">
        <v>190</v>
      </c>
      <c r="AB35" s="1"/>
      <c r="AC35" s="5" t="str">
        <f ca="1">IFERROR(__xludf.DUMMYFUNCTION("IF(Y35 = """", """", GOOGLETRANSLATE(Y35, ""en"", ""hi""))
"),"बच्चों की चिंताएँ दूर हुईं")</f>
        <v>बच्चों की चिंताएँ दूर हुईं</v>
      </c>
      <c r="AD35" s="5" t="str">
        <f ca="1">IFERROR(__xludf.DUMMYFUNCTION("IF(Z35 = """", """", GOOGLETRANSLATE(Z35, ""en"", ""hi""))"),"अदालती मामले में सावधानी")</f>
        <v>अदालती मामले में सावधानी</v>
      </c>
      <c r="AE35" s="5" t="str">
        <f ca="1">IFERROR(__xludf.DUMMYFUNCTION("IF(AA35 = """", """", GOOGLETRANSLATE(AA35, ""en"", ""hi""))"),"वित्तीय सट्टेबाजी से बचें")</f>
        <v>वित्तीय सट्टेबाजी से बचें</v>
      </c>
      <c r="AF35" s="5" t="str">
        <f ca="1">IFERROR(__xludf.DUMMYFUNCTION("IF(AB35 = """", """", GOOGLETRANSLATE(AB35, ""en"", ""hi""))"),"")</f>
        <v/>
      </c>
      <c r="AG35" s="5" t="str">
        <f ca="1">IFERROR(__xludf.DUMMYFUNCTION("IF(Y35 = """", """", GOOGLETRANSLATE(Y35, ""en"", ""mr""))"),"मुलांची चिंता दूर होईल")</f>
        <v>मुलांची चिंता दूर होईल</v>
      </c>
      <c r="AH35" s="5" t="str">
        <f ca="1">IFERROR(__xludf.DUMMYFUNCTION("IF(Z35 = """", """", GOOGLETRANSLATE(Z35, ""en"", ""mr""))"),"कोर्ट केसमध्ये सावधगिरी बाळगा")</f>
        <v>कोर्ट केसमध्ये सावधगिरी बाळगा</v>
      </c>
      <c r="AI35" s="5" t="str">
        <f ca="1">IFERROR(__xludf.DUMMYFUNCTION("IF(AA35 = """", """", GOOGLETRANSLATE(AA35, ""en"", ""mr""))"),"आर्थिक सट्टा टाळा")</f>
        <v>आर्थिक सट्टा टाळा</v>
      </c>
      <c r="AJ35" s="5" t="str">
        <f ca="1">IFERROR(__xludf.DUMMYFUNCTION("IF(AB35 = """", """", GOOGLETRANSLATE(AB35, ""en"", ""mr""))"),"")</f>
        <v/>
      </c>
      <c r="AK35" s="5" t="str">
        <f ca="1">IFERROR(__xludf.DUMMYFUNCTION("IF(Y35 = """", """", GOOGLETRANSLATE(Y35, ""en"", ""gu""))"),"સંતાનની ચિંતાઓ દૂર થાય")</f>
        <v>સંતાનની ચિંતાઓ દૂર થાય</v>
      </c>
      <c r="AL35" s="5" t="str">
        <f ca="1">IFERROR(__xludf.DUMMYFUNCTION("IF(Z35 = """", """", GOOGLETRANSLATE(Z35, ""en"", ""gu""))"),"કોર્ટ કેસમાં સાવધાની")</f>
        <v>કોર્ટ કેસમાં સાવધાની</v>
      </c>
      <c r="AM35" s="5" t="str">
        <f ca="1">IFERROR(__xludf.DUMMYFUNCTION("IF(AA35 = """", """", GOOGLETRANSLATE(AA35, ""en"", ""gu""))"),"નાણાકીય અટકળો ટાળો")</f>
        <v>નાણાકીય અટકળો ટાળો</v>
      </c>
      <c r="AN35" s="5" t="str">
        <f ca="1">IFERROR(__xludf.DUMMYFUNCTION("IF(AB35 = """", """", GOOGLETRANSLATE(AB35, ""en"", ""gu""))"),"")</f>
        <v/>
      </c>
      <c r="AO35" s="5" t="str">
        <f ca="1">IFERROR(__xludf.DUMMYFUNCTION("IF(Y35 = """", """", GOOGLETRANSLATE(Y35, ""en"", ""bn""))"),"সন্তানের দুশ্চিন্তা মিটেছে")</f>
        <v>সন্তানের দুশ্চিন্তা মিটেছে</v>
      </c>
      <c r="AP35" s="5" t="str">
        <f ca="1">IFERROR(__xludf.DUMMYFUNCTION("IF(Z35 = """", """", GOOGLETRANSLATE(Z35, ""en"", ""bn""))"),"আদালতের ক্ষেত্রে সতর্কতা")</f>
        <v>আদালতের ক্ষেত্রে সতর্কতা</v>
      </c>
      <c r="AQ35" s="5" t="str">
        <f ca="1">IFERROR(__xludf.DUMMYFUNCTION("IF(AA35 = """", """", GOOGLETRANSLATE(AA35, ""en"", ""bn""))"),"আর্থিক জল্পনা এড়িয়ে চলুন")</f>
        <v>আর্থিক জল্পনা এড়িয়ে চলুন</v>
      </c>
      <c r="AR35" s="5" t="str">
        <f ca="1">IFERROR(__xludf.DUMMYFUNCTION("IF(AB35 = """", """", GOOGLETRANSLATE(AB35, ""en"", ""bn""))"),"")</f>
        <v/>
      </c>
      <c r="AS35" s="1" t="s">
        <v>62</v>
      </c>
      <c r="AT35" s="1" t="s">
        <v>94</v>
      </c>
      <c r="AU35" s="5" t="str">
        <f ca="1">IFERROR(__xludf.DUMMYFUNCTION("IF(Y35 = """", """", GOOGLETRANSLATE(Y35, ""en"", ""te""))"),"పిల్లల ఆందోళనలు పరిష్కరించబడ్డాయి")</f>
        <v>పిల్లల ఆందోళనలు పరిష్కరించబడ్డాయి</v>
      </c>
      <c r="AV35" s="5" t="str">
        <f ca="1">IFERROR(__xludf.DUMMYFUNCTION("IF(Z35 = """", """", GOOGLETRANSLATE(Z35, ""en"", ""te""))"),"కోర్టు కేసు జాగ్రత్త")</f>
        <v>కోర్టు కేసు జాగ్రత్త</v>
      </c>
      <c r="AW35" s="5" t="str">
        <f ca="1">IFERROR(__xludf.DUMMYFUNCTION("IF(AA35 = """", """", GOOGLETRANSLATE(AA35, ""en"", ""te""))"),"ఆర్థిక ఊహాగానాలకు దూరంగా ఉండండి")</f>
        <v>ఆర్థిక ఊహాగానాలకు దూరంగా ఉండండి</v>
      </c>
      <c r="AX35" s="5" t="str">
        <f ca="1">IFERROR(__xludf.DUMMYFUNCTION("IF(AB35 = """", """", GOOGLETRANSLATE(AB35, ""en"", ""te""))"),"")</f>
        <v/>
      </c>
    </row>
    <row r="36" spans="1:50" x14ac:dyDescent="0.25">
      <c r="A36" s="1">
        <v>41</v>
      </c>
      <c r="B36" s="1" t="s">
        <v>56</v>
      </c>
      <c r="C36" s="6">
        <v>45824</v>
      </c>
      <c r="D36" s="6">
        <v>45824</v>
      </c>
      <c r="E36" s="1">
        <v>13</v>
      </c>
      <c r="F36" s="1">
        <v>1</v>
      </c>
      <c r="G36" s="3" t="s">
        <v>138</v>
      </c>
      <c r="H36" s="4">
        <v>9.2824074074074076E-3</v>
      </c>
      <c r="L36" s="1" t="s">
        <v>137</v>
      </c>
      <c r="O36" s="1" t="s">
        <v>61</v>
      </c>
      <c r="P36" s="1" t="s">
        <v>61</v>
      </c>
      <c r="Q36" s="1" t="s">
        <v>61</v>
      </c>
      <c r="R36" s="1" t="s">
        <v>61</v>
      </c>
      <c r="S36" s="1" t="s">
        <v>61</v>
      </c>
      <c r="T36" s="1" t="s">
        <v>61</v>
      </c>
      <c r="V36" s="1" t="s">
        <v>61</v>
      </c>
      <c r="W36" s="1" t="s">
        <v>61</v>
      </c>
      <c r="X36" s="1" t="s">
        <v>61</v>
      </c>
      <c r="AB36" s="1"/>
      <c r="AC36" s="5" t="str">
        <f ca="1">IFERROR(__xludf.DUMMYFUNCTION("IF(Y36 = """", """", GOOGLETRANSLATE(Y36, ""en"", ""hi""))
"),"")</f>
        <v/>
      </c>
      <c r="AD36" s="5" t="str">
        <f ca="1">IFERROR(__xludf.DUMMYFUNCTION("IF(Z36 = """", """", GOOGLETRANSLATE(Z36, ""en"", ""hi""))"),"")</f>
        <v/>
      </c>
      <c r="AE36" s="5" t="str">
        <f ca="1">IFERROR(__xludf.DUMMYFUNCTION("IF(AA36 = """", """", GOOGLETRANSLATE(AA36, ""en"", ""hi""))"),"")</f>
        <v/>
      </c>
      <c r="AF36" s="5" t="str">
        <f ca="1">IFERROR(__xludf.DUMMYFUNCTION("IF(AB36 = """", """", GOOGLETRANSLATE(AB36, ""en"", ""hi""))"),"")</f>
        <v/>
      </c>
      <c r="AG36" s="5" t="str">
        <f ca="1">IFERROR(__xludf.DUMMYFUNCTION("IF(Y36 = """", """", GOOGLETRANSLATE(Y36, ""en"", ""mr""))"),"")</f>
        <v/>
      </c>
      <c r="AH36" s="5" t="str">
        <f ca="1">IFERROR(__xludf.DUMMYFUNCTION("IF(Z36 = """", """", GOOGLETRANSLATE(Z36, ""en"", ""mr""))"),"")</f>
        <v/>
      </c>
      <c r="AI36" s="5" t="str">
        <f ca="1">IFERROR(__xludf.DUMMYFUNCTION("IF(AA36 = """", """", GOOGLETRANSLATE(AA36, ""en"", ""mr""))"),"")</f>
        <v/>
      </c>
      <c r="AJ36" s="5" t="str">
        <f ca="1">IFERROR(__xludf.DUMMYFUNCTION("IF(AB36 = """", """", GOOGLETRANSLATE(AB36, ""en"", ""mr""))"),"")</f>
        <v/>
      </c>
      <c r="AK36" s="5" t="str">
        <f ca="1">IFERROR(__xludf.DUMMYFUNCTION("IF(Y36 = """", """", GOOGLETRANSLATE(Y36, ""en"", ""gu""))"),"")</f>
        <v/>
      </c>
      <c r="AL36" s="5" t="str">
        <f ca="1">IFERROR(__xludf.DUMMYFUNCTION("IF(Z36 = """", """", GOOGLETRANSLATE(Z36, ""en"", ""gu""))"),"")</f>
        <v/>
      </c>
      <c r="AM36" s="5" t="str">
        <f ca="1">IFERROR(__xludf.DUMMYFUNCTION("IF(AA36 = """", """", GOOGLETRANSLATE(AA36, ""en"", ""gu""))"),"")</f>
        <v/>
      </c>
      <c r="AN36" s="5" t="str">
        <f ca="1">IFERROR(__xludf.DUMMYFUNCTION("IF(AB36 = """", """", GOOGLETRANSLATE(AB36, ""en"", ""gu""))"),"")</f>
        <v/>
      </c>
      <c r="AO36" s="5" t="str">
        <f ca="1">IFERROR(__xludf.DUMMYFUNCTION("IF(Y36 = """", """", GOOGLETRANSLATE(Y36, ""en"", ""bn""))"),"")</f>
        <v/>
      </c>
      <c r="AP36" s="5" t="str">
        <f ca="1">IFERROR(__xludf.DUMMYFUNCTION("IF(Z36 = """", """", GOOGLETRANSLATE(Z36, ""en"", ""bn""))"),"")</f>
        <v/>
      </c>
      <c r="AQ36" s="5" t="str">
        <f ca="1">IFERROR(__xludf.DUMMYFUNCTION("IF(AA36 = """", """", GOOGLETRANSLATE(AA36, ""en"", ""bn""))"),"")</f>
        <v/>
      </c>
      <c r="AR36" s="5" t="str">
        <f ca="1">IFERROR(__xludf.DUMMYFUNCTION("IF(AB36 = """", """", GOOGLETRANSLATE(AB36, ""en"", ""bn""))"),"")</f>
        <v/>
      </c>
      <c r="AS36" s="1" t="s">
        <v>62</v>
      </c>
      <c r="AT36" s="1" t="s">
        <v>94</v>
      </c>
      <c r="AU36" s="5" t="str">
        <f ca="1">IFERROR(__xludf.DUMMYFUNCTION("IF(Y36 = """", """", GOOGLETRANSLATE(Y36, ""en"", ""te""))"),"")</f>
        <v/>
      </c>
      <c r="AV36" s="5" t="str">
        <f ca="1">IFERROR(__xludf.DUMMYFUNCTION("IF(Z36 = """", """", GOOGLETRANSLATE(Z36, ""en"", ""te""))"),"")</f>
        <v/>
      </c>
      <c r="AW36" s="5" t="str">
        <f ca="1">IFERROR(__xludf.DUMMYFUNCTION("IF(AA36 = """", """", GOOGLETRANSLATE(AA36, ""en"", ""te""))"),"")</f>
        <v/>
      </c>
      <c r="AX36" s="5" t="str">
        <f ca="1">IFERROR(__xludf.DUMMYFUNCTION("IF(AB36 = """", """", GOOGLETRANSLATE(AB36, ""en"", ""te""))"),"")</f>
        <v/>
      </c>
    </row>
    <row r="37" spans="1:50" x14ac:dyDescent="0.25">
      <c r="A37" s="1">
        <v>42</v>
      </c>
      <c r="B37" s="1" t="s">
        <v>56</v>
      </c>
      <c r="C37" s="6">
        <v>45826</v>
      </c>
      <c r="D37" s="6">
        <v>45826</v>
      </c>
      <c r="E37" s="1">
        <v>0</v>
      </c>
      <c r="F37" s="1">
        <v>1</v>
      </c>
      <c r="G37" s="3" t="s">
        <v>191</v>
      </c>
      <c r="H37" s="4">
        <v>1.1516203703703704E-2</v>
      </c>
      <c r="I37" s="7" t="s">
        <v>139</v>
      </c>
      <c r="J37" s="7" t="s">
        <v>192</v>
      </c>
      <c r="K37" s="1" t="s">
        <v>58</v>
      </c>
      <c r="L37" s="1" t="s">
        <v>59</v>
      </c>
      <c r="O37" s="1" t="s">
        <v>61</v>
      </c>
      <c r="P37" s="1" t="s">
        <v>61</v>
      </c>
      <c r="Q37" s="1" t="s">
        <v>61</v>
      </c>
      <c r="R37" s="1" t="s">
        <v>61</v>
      </c>
      <c r="S37" s="1" t="s">
        <v>61</v>
      </c>
      <c r="T37" s="1" t="s">
        <v>61</v>
      </c>
      <c r="V37" s="1" t="s">
        <v>61</v>
      </c>
      <c r="W37" s="1" t="s">
        <v>61</v>
      </c>
      <c r="X37" s="1" t="s">
        <v>61</v>
      </c>
      <c r="AB37" s="1"/>
      <c r="AC37" s="5" t="str">
        <f ca="1">IFERROR(__xludf.DUMMYFUNCTION("IF(Y37 = """", """", GOOGLETRANSLATE(Y37, ""en"", ""hi""))
"),"")</f>
        <v/>
      </c>
      <c r="AD37" s="5" t="str">
        <f ca="1">IFERROR(__xludf.DUMMYFUNCTION("IF(Z37 = """", """", GOOGLETRANSLATE(Z37, ""en"", ""hi""))"),"")</f>
        <v/>
      </c>
      <c r="AE37" s="5" t="str">
        <f ca="1">IFERROR(__xludf.DUMMYFUNCTION("IF(AA37 = """", """", GOOGLETRANSLATE(AA37, ""en"", ""hi""))"),"")</f>
        <v/>
      </c>
      <c r="AF37" s="5" t="str">
        <f ca="1">IFERROR(__xludf.DUMMYFUNCTION("IF(AB37 = """", """", GOOGLETRANSLATE(AB37, ""en"", ""hi""))"),"")</f>
        <v/>
      </c>
      <c r="AG37" s="5" t="str">
        <f ca="1">IFERROR(__xludf.DUMMYFUNCTION("IF(Y37 = """", """", GOOGLETRANSLATE(Y37, ""en"", ""mr""))"),"")</f>
        <v/>
      </c>
      <c r="AH37" s="5" t="str">
        <f ca="1">IFERROR(__xludf.DUMMYFUNCTION("IF(Z37 = """", """", GOOGLETRANSLATE(Z37, ""en"", ""mr""))"),"")</f>
        <v/>
      </c>
      <c r="AI37" s="5" t="str">
        <f ca="1">IFERROR(__xludf.DUMMYFUNCTION("IF(AA37 = """", """", GOOGLETRANSLATE(AA37, ""en"", ""mr""))"),"")</f>
        <v/>
      </c>
      <c r="AJ37" s="5" t="str">
        <f ca="1">IFERROR(__xludf.DUMMYFUNCTION("IF(AB37 = """", """", GOOGLETRANSLATE(AB37, ""en"", ""mr""))"),"")</f>
        <v/>
      </c>
      <c r="AK37" s="5" t="str">
        <f ca="1">IFERROR(__xludf.DUMMYFUNCTION("IF(Y37 = """", """", GOOGLETRANSLATE(Y37, ""en"", ""gu""))"),"")</f>
        <v/>
      </c>
      <c r="AL37" s="5" t="str">
        <f ca="1">IFERROR(__xludf.DUMMYFUNCTION("IF(Z37 = """", """", GOOGLETRANSLATE(Z37, ""en"", ""gu""))"),"")</f>
        <v/>
      </c>
      <c r="AM37" s="5" t="str">
        <f ca="1">IFERROR(__xludf.DUMMYFUNCTION("IF(AA37 = """", """", GOOGLETRANSLATE(AA37, ""en"", ""gu""))"),"")</f>
        <v/>
      </c>
      <c r="AN37" s="5" t="str">
        <f ca="1">IFERROR(__xludf.DUMMYFUNCTION("IF(AB37 = """", """", GOOGLETRANSLATE(AB37, ""en"", ""gu""))"),"")</f>
        <v/>
      </c>
      <c r="AO37" s="5" t="str">
        <f ca="1">IFERROR(__xludf.DUMMYFUNCTION("IF(Y37 = """", """", GOOGLETRANSLATE(Y37, ""en"", ""bn""))"),"")</f>
        <v/>
      </c>
      <c r="AP37" s="5" t="str">
        <f ca="1">IFERROR(__xludf.DUMMYFUNCTION("IF(Z37 = """", """", GOOGLETRANSLATE(Z37, ""en"", ""bn""))"),"")</f>
        <v/>
      </c>
      <c r="AQ37" s="5" t="str">
        <f ca="1">IFERROR(__xludf.DUMMYFUNCTION("IF(AA37 = """", """", GOOGLETRANSLATE(AA37, ""en"", ""bn""))"),"")</f>
        <v/>
      </c>
      <c r="AR37" s="5" t="str">
        <f ca="1">IFERROR(__xludf.DUMMYFUNCTION("IF(AB37 = """", """", GOOGLETRANSLATE(AB37, ""en"", ""bn""))"),"")</f>
        <v/>
      </c>
      <c r="AS37" s="1" t="s">
        <v>62</v>
      </c>
      <c r="AT37" s="1" t="s">
        <v>94</v>
      </c>
      <c r="AU37" s="5" t="str">
        <f ca="1">IFERROR(__xludf.DUMMYFUNCTION("IF(Y37 = """", """", GOOGLETRANSLATE(Y37, ""en"", ""te""))"),"")</f>
        <v/>
      </c>
      <c r="AV37" s="5" t="str">
        <f ca="1">IFERROR(__xludf.DUMMYFUNCTION("IF(Z37 = """", """", GOOGLETRANSLATE(Z37, ""en"", ""te""))"),"")</f>
        <v/>
      </c>
      <c r="AW37" s="5" t="str">
        <f ca="1">IFERROR(__xludf.DUMMYFUNCTION("IF(AA37 = """", """", GOOGLETRANSLATE(AA37, ""en"", ""te""))"),"")</f>
        <v/>
      </c>
      <c r="AX37" s="5" t="str">
        <f ca="1">IFERROR(__xludf.DUMMYFUNCTION("IF(AB37 = """", """", GOOGLETRANSLATE(AB37, ""en"", ""te""))"),"")</f>
        <v/>
      </c>
    </row>
    <row r="38" spans="1:50" x14ac:dyDescent="0.25">
      <c r="A38" s="1">
        <v>43</v>
      </c>
      <c r="B38" s="1" t="s">
        <v>56</v>
      </c>
      <c r="C38" s="6">
        <v>45826</v>
      </c>
      <c r="D38" s="6">
        <v>45826</v>
      </c>
      <c r="E38" s="1">
        <v>1</v>
      </c>
      <c r="F38" s="1">
        <v>1</v>
      </c>
      <c r="G38" s="3" t="s">
        <v>191</v>
      </c>
      <c r="H38" s="4">
        <v>1.1516203703703704E-2</v>
      </c>
      <c r="I38" s="7" t="s">
        <v>192</v>
      </c>
      <c r="J38" s="7" t="s">
        <v>193</v>
      </c>
      <c r="K38" s="1" t="s">
        <v>58</v>
      </c>
      <c r="L38" s="1" t="s">
        <v>142</v>
      </c>
      <c r="M38" s="1" t="s">
        <v>14</v>
      </c>
      <c r="O38" s="1" t="s">
        <v>91</v>
      </c>
      <c r="P38" s="1" t="s">
        <v>61</v>
      </c>
      <c r="Q38" s="1" t="s">
        <v>61</v>
      </c>
      <c r="R38" s="1" t="s">
        <v>61</v>
      </c>
      <c r="S38" s="1" t="s">
        <v>61</v>
      </c>
      <c r="T38" s="1" t="s">
        <v>61</v>
      </c>
      <c r="V38" s="1" t="s">
        <v>61</v>
      </c>
      <c r="W38" s="1" t="s">
        <v>61</v>
      </c>
      <c r="X38" s="1" t="s">
        <v>61</v>
      </c>
      <c r="Y38" s="1" t="s">
        <v>194</v>
      </c>
      <c r="Z38" s="1" t="s">
        <v>195</v>
      </c>
      <c r="AA38" s="1" t="s">
        <v>196</v>
      </c>
      <c r="AB38" s="1" t="s">
        <v>197</v>
      </c>
      <c r="AC38" s="5" t="str">
        <f ca="1">IFERROR(__xludf.DUMMYFUNCTION("IF(Y38 = """", """", GOOGLETRANSLATE(Y38, ""en"", ""hi""))
"),"51 दिनों तक पिशाच योग")</f>
        <v>51 दिनों तक पिशाच योग</v>
      </c>
      <c r="AD38" s="5" t="str">
        <f ca="1">IFERROR(__xludf.DUMMYFUNCTION("IF(Z38 = """", """", GOOGLETRANSLATE(Z38, ""en"", ""hi""))"),"सावधान रहें, शारीरिक श्रम से बचें")</f>
        <v>सावधान रहें, शारीरिक श्रम से बचें</v>
      </c>
      <c r="AE38" s="5" t="str">
        <f ca="1">IFERROR(__xludf.DUMMYFUNCTION("IF(AA38 = """", """", GOOGLETRANSLATE(AA38, ""en"", ""hi""))"),"पारिवारिक ज़िम्मेदारियाँ")</f>
        <v>पारिवारिक ज़िम्मेदारियाँ</v>
      </c>
      <c r="AF38" s="5" t="str">
        <f ca="1">IFERROR(__xludf.DUMMYFUNCTION("IF(AB38 = """", """", GOOGLETRANSLATE(AB38, ""en"", ""hi""))"),"प्रभावशाली प्रकृति के लिए सावधान")</f>
        <v>प्रभावशाली प्रकृति के लिए सावधान</v>
      </c>
      <c r="AG38" s="5" t="str">
        <f ca="1">IFERROR(__xludf.DUMMYFUNCTION("IF(Y38 = """", """", GOOGLETRANSLATE(Y38, ""en"", ""mr""))"),"51 दिवस पिशच योग")</f>
        <v>51 दिवस पिशच योग</v>
      </c>
      <c r="AH38" s="5" t="str">
        <f ca="1">IFERROR(__xludf.DUMMYFUNCTION("IF(Z38 = """", """", GOOGLETRANSLATE(Z38, ""en"", ""mr""))"),"सावधगिरी बाळगा शारीरिक कष्ट टाळा")</f>
        <v>सावधगिरी बाळगा शारीरिक कष्ट टाळा</v>
      </c>
      <c r="AI38" s="5" t="str">
        <f ca="1">IFERROR(__xludf.DUMMYFUNCTION("IF(AA38 = """", """", GOOGLETRANSLATE(AA38, ""en"", ""mr""))"),"कौटुंबिक जबाबदाऱ्या")</f>
        <v>कौटुंबिक जबाबदाऱ्या</v>
      </c>
      <c r="AJ38" s="5" t="str">
        <f ca="1">IFERROR(__xludf.DUMMYFUNCTION("IF(AB38 = """", """", GOOGLETRANSLATE(AB38, ""en"", ""mr""))"),"प्रभावशाली निसर्गासाठी सावधगिरी बाळगा")</f>
        <v>प्रभावशाली निसर्गासाठी सावधगिरी बाळगा</v>
      </c>
      <c r="AK38" s="5" t="str">
        <f ca="1">IFERROR(__xludf.DUMMYFUNCTION("IF(Y38 = """", """", GOOGLETRANSLATE(Y38, ""en"", ""gu""))"),"51 દિવસ માટે પિશાચ યોગ")</f>
        <v>51 દિવસ માટે પિશાચ યોગ</v>
      </c>
      <c r="AL38" s="5" t="str">
        <f ca="1">IFERROR(__xludf.DUMMYFUNCTION("IF(Z38 = """", """", GOOGLETRANSLATE(Z38, ""en"", ""gu""))"),"સાવચેત રહો શારીરિક મહેનત ટાળો")</f>
        <v>સાવચેત રહો શારીરિક મહેનત ટાળો</v>
      </c>
      <c r="AM38" s="5" t="str">
        <f ca="1">IFERROR(__xludf.DUMMYFUNCTION("IF(AA38 = """", """", GOOGLETRANSLATE(AA38, ""en"", ""gu""))"),"કૌટુંબિક જવાબદારીઓ")</f>
        <v>કૌટુંબિક જવાબદારીઓ</v>
      </c>
      <c r="AN38" s="5" t="str">
        <f ca="1">IFERROR(__xludf.DUMMYFUNCTION("IF(AB38 = """", """", GOOGLETRANSLATE(AB38, ""en"", ""gu""))"),"પ્રભાવશાળી પ્રકૃતિ માટે સાવચેત રહો")</f>
        <v>પ્રભાવશાળી પ્રકૃતિ માટે સાવચેત રહો</v>
      </c>
      <c r="AO38" s="5" t="str">
        <f ca="1">IFERROR(__xludf.DUMMYFUNCTION("IF(Y38 = """", """", GOOGLETRANSLATE(Y38, ""en"", ""bn""))"),"51 দিনের জন্য পিশাচ যোগ")</f>
        <v>51 দিনের জন্য পিশাচ যোগ</v>
      </c>
      <c r="AP38" s="5" t="str">
        <f ca="1">IFERROR(__xludf.DUMMYFUNCTION("IF(Z38 = """", """", GOOGLETRANSLATE(Z38, ""en"", ""bn""))"),"শারীরিক পরিশ্রম এড়াতে সতর্ক থাকুন")</f>
        <v>শারীরিক পরিশ্রম এড়াতে সতর্ক থাকুন</v>
      </c>
      <c r="AQ38" s="5" t="str">
        <f ca="1">IFERROR(__xludf.DUMMYFUNCTION("IF(AA38 = """", """", GOOGLETRANSLATE(AA38, ""en"", ""bn""))"),"পারিবারিক দায়িত্ব")</f>
        <v>পারিবারিক দায়িত্ব</v>
      </c>
      <c r="AR38" s="5" t="str">
        <f ca="1">IFERROR(__xludf.DUMMYFUNCTION("IF(AB38 = """", """", GOOGLETRANSLATE(AB38, ""en"", ""bn""))"),"নিষ্ক্রিয় প্রকৃতির জন্য সতর্ক")</f>
        <v>নিষ্ক্রিয় প্রকৃতির জন্য সতর্ক</v>
      </c>
      <c r="AS38" s="1" t="s">
        <v>62</v>
      </c>
      <c r="AT38" s="1" t="s">
        <v>94</v>
      </c>
      <c r="AU38" s="5" t="str">
        <f ca="1">IFERROR(__xludf.DUMMYFUNCTION("IF(Y38 = """", """", GOOGLETRANSLATE(Y38, ""en"", ""te""))"),"51 రోజులు పిశాచ యోగం")</f>
        <v>51 రోజులు పిశాచ యోగం</v>
      </c>
      <c r="AV38" s="5" t="str">
        <f ca="1">IFERROR(__xludf.DUMMYFUNCTION("IF(Z38 = """", """", GOOGLETRANSLATE(Z38, ""en"", ""te""))"),"శారీరక శ్రమకు దూరంగా ఉండండి")</f>
        <v>శారీరక శ్రమకు దూరంగా ఉండండి</v>
      </c>
      <c r="AW38" s="5" t="str">
        <f ca="1">IFERROR(__xludf.DUMMYFUNCTION("IF(AA38 = """", """", GOOGLETRANSLATE(AA38, ""en"", ""te""))"),"కుటుంబ బాధ్యతలు")</f>
        <v>కుటుంబ బాధ్యతలు</v>
      </c>
      <c r="AX38" s="5" t="str">
        <f ca="1">IFERROR(__xludf.DUMMYFUNCTION("IF(AB38 = """", """", GOOGLETRANSLATE(AB38, ""en"", ""te""))"),"ఇన్ప్లసివ్ స్వభావం కోసం జాగ్రత్తగా ఉండండి")</f>
        <v>ఇన్ప్లసివ్ స్వభావం కోసం జాగ్రత్తగా ఉండండి</v>
      </c>
    </row>
    <row r="39" spans="1:50" x14ac:dyDescent="0.25">
      <c r="A39" s="1">
        <v>44</v>
      </c>
      <c r="B39" s="1" t="s">
        <v>56</v>
      </c>
      <c r="C39" s="6">
        <v>45826</v>
      </c>
      <c r="D39" s="6">
        <v>45826</v>
      </c>
      <c r="E39" s="1">
        <v>2</v>
      </c>
      <c r="F39" s="1">
        <v>1</v>
      </c>
      <c r="G39" s="3" t="s">
        <v>191</v>
      </c>
      <c r="H39" s="4">
        <v>1.1516203703703704E-2</v>
      </c>
      <c r="I39" s="7" t="s">
        <v>193</v>
      </c>
      <c r="J39" s="7" t="s">
        <v>198</v>
      </c>
      <c r="K39" s="1" t="s">
        <v>58</v>
      </c>
      <c r="L39" s="1" t="s">
        <v>90</v>
      </c>
      <c r="M39" s="1" t="s">
        <v>14</v>
      </c>
      <c r="O39" s="1" t="s">
        <v>91</v>
      </c>
      <c r="P39" s="1" t="s">
        <v>61</v>
      </c>
      <c r="Q39" s="1" t="s">
        <v>61</v>
      </c>
      <c r="R39" s="1" t="s">
        <v>61</v>
      </c>
      <c r="S39" s="1" t="s">
        <v>61</v>
      </c>
      <c r="T39" s="1" t="s">
        <v>61</v>
      </c>
      <c r="V39" s="1" t="s">
        <v>61</v>
      </c>
      <c r="W39" s="1" t="s">
        <v>61</v>
      </c>
      <c r="X39" s="1" t="s">
        <v>61</v>
      </c>
      <c r="Y39" s="1" t="s">
        <v>199</v>
      </c>
      <c r="Z39" s="1" t="s">
        <v>200</v>
      </c>
      <c r="AA39" s="1" t="s">
        <v>201</v>
      </c>
      <c r="AB39" s="1"/>
      <c r="AC39" s="5" t="str">
        <f ca="1">IFERROR(__xludf.DUMMYFUNCTION("IF(Y39 = """", """", GOOGLETRANSLATE(Y39, ""en"", ""hi""))
"),"मुश प्रयास")</f>
        <v>मुश प्रयास</v>
      </c>
      <c r="AD39" s="5" t="str">
        <f ca="1">IFERROR(__xludf.DUMMYFUNCTION("IF(Z39 = """", """", GOOGLETRANSLATE(Z39, ""en"", ""hi""))"),"व्यस्त रहें और काम पूरा करने के लिए ऊर्जा के साथ काम करें")</f>
        <v>व्यस्त रहें और काम पूरा करने के लिए ऊर्जा के साथ काम करें</v>
      </c>
      <c r="AE39" s="5" t="str">
        <f ca="1">IFERROR(__xludf.DUMMYFUNCTION("IF(AA39 = """", """", GOOGLETRANSLATE(AA39, ""en"", ""hi""))"),"अवसरों का लाभ उठाएँ")</f>
        <v>अवसरों का लाभ उठाएँ</v>
      </c>
      <c r="AF39" s="5" t="str">
        <f ca="1">IFERROR(__xludf.DUMMYFUNCTION("IF(AB39 = """", """", GOOGLETRANSLATE(AB39, ""en"", ""hi""))"),"")</f>
        <v/>
      </c>
      <c r="AG39" s="5" t="str">
        <f ca="1">IFERROR(__xludf.DUMMYFUNCTION("IF(Y39 = """", """", GOOGLETRANSLATE(Y39, ""en"", ""mr""))"),"खूप प्रयत्न")</f>
        <v>खूप प्रयत्न</v>
      </c>
      <c r="AH39" s="5" t="str">
        <f ca="1">IFERROR(__xludf.DUMMYFUNCTION("IF(Z39 = """", """", GOOGLETRANSLATE(Z39, ""en"", ""mr""))"),"काम पूर्ण करण्यासाठी व्यस्त आणि उर्जेने काम करा")</f>
        <v>काम पूर्ण करण्यासाठी व्यस्त आणि उर्जेने काम करा</v>
      </c>
      <c r="AI39" s="5" t="str">
        <f ca="1">IFERROR(__xludf.DUMMYFUNCTION("IF(AA39 = """", """", GOOGLETRANSLATE(AA39, ""en"", ""mr""))"),"संधी मिळवा")</f>
        <v>संधी मिळवा</v>
      </c>
      <c r="AJ39" s="5" t="str">
        <f ca="1">IFERROR(__xludf.DUMMYFUNCTION("IF(AB39 = """", """", GOOGLETRANSLATE(AB39, ""en"", ""mr""))"),"")</f>
        <v/>
      </c>
      <c r="AK39" s="5" t="str">
        <f ca="1">IFERROR(__xludf.DUMMYFUNCTION("IF(Y39 = """", """", GOOGLETRANSLATE(Y39, ""en"", ""gu""))"),"ભારે પ્રયત્નો")</f>
        <v>ભારે પ્રયત્નો</v>
      </c>
      <c r="AL39" s="5" t="str">
        <f ca="1">IFERROR(__xludf.DUMMYFUNCTION("IF(Z39 = """", """", GOOGLETRANSLATE(Z39, ""en"", ""gu""))"),"કામ પૂર્ણ કરવા માટે ઉત્સાહી અને ઉર્જા સાથે કામ કરો")</f>
        <v>કામ પૂર્ણ કરવા માટે ઉત્સાહી અને ઉર્જા સાથે કામ કરો</v>
      </c>
      <c r="AM39" s="5" t="str">
        <f ca="1">IFERROR(__xludf.DUMMYFUNCTION("IF(AA39 = """", """", GOOGLETRANSLATE(AA39, ""en"", ""gu""))"),"તકો પકડો")</f>
        <v>તકો પકડો</v>
      </c>
      <c r="AN39" s="5" t="str">
        <f ca="1">IFERROR(__xludf.DUMMYFUNCTION("IF(AB39 = """", """", GOOGLETRANSLATE(AB39, ""en"", ""gu""))"),"")</f>
        <v/>
      </c>
      <c r="AO39" s="5" t="str">
        <f ca="1">IFERROR(__xludf.DUMMYFUNCTION("IF(Y39 = """", """", GOOGLETRANSLATE(Y39, ""en"", ""bn""))"),"অনেক প্রচেষ্টা")</f>
        <v>অনেক প্রচেষ্টা</v>
      </c>
      <c r="AP39" s="5" t="str">
        <f ca="1">IFERROR(__xludf.DUMMYFUNCTION("IF(Z39 = """", """", GOOGLETRANSLATE(Z39, ""en"", ""bn""))"),"ব্যস্ত এবং কাজ সম্পূর্ণ করার জন্য শক্তি সঙ্গে কাজ")</f>
        <v>ব্যস্ত এবং কাজ সম্পূর্ণ করার জন্য শক্তি সঙ্গে কাজ</v>
      </c>
      <c r="AQ39" s="5" t="str">
        <f ca="1">IFERROR(__xludf.DUMMYFUNCTION("IF(AA39 = """", """", GOOGLETRANSLATE(AA39, ""en"", ""bn""))"),"সুযোগগুলি দখল করুন")</f>
        <v>সুযোগগুলি দখল করুন</v>
      </c>
      <c r="AR39" s="5" t="str">
        <f ca="1">IFERROR(__xludf.DUMMYFUNCTION("IF(AB39 = """", """", GOOGLETRANSLATE(AB39, ""en"", ""bn""))"),"")</f>
        <v/>
      </c>
      <c r="AS39" s="1" t="s">
        <v>62</v>
      </c>
      <c r="AT39" s="1" t="s">
        <v>94</v>
      </c>
      <c r="AU39" s="5" t="str">
        <f ca="1">IFERROR(__xludf.DUMMYFUNCTION("IF(Y39 = """", """", GOOGLETRANSLATE(Y39, ""en"", ""te""))"),"చాలా ప్రయత్నం")</f>
        <v>చాలా ప్రయత్నం</v>
      </c>
      <c r="AV39" s="5" t="str">
        <f ca="1">IFERROR(__xludf.DUMMYFUNCTION("IF(Z39 = """", """", GOOGLETRANSLATE(Z39, ""en"", ""te""))"),"పనిని పూర్తి చేయడానికి ఉత్సాహంగా మరియు శక్తితో పని చేయండి")</f>
        <v>పనిని పూర్తి చేయడానికి ఉత్సాహంగా మరియు శక్తితో పని చేయండి</v>
      </c>
      <c r="AW39" s="5" t="str">
        <f ca="1">IFERROR(__xludf.DUMMYFUNCTION("IF(AA39 = """", """", GOOGLETRANSLATE(AA39, ""en"", ""te""))"),"అవకాశాలను పొందండి")</f>
        <v>అవకాశాలను పొందండి</v>
      </c>
      <c r="AX39" s="5" t="str">
        <f ca="1">IFERROR(__xludf.DUMMYFUNCTION("IF(AB39 = """", """", GOOGLETRANSLATE(AB39, ""en"", ""te""))"),"")</f>
        <v/>
      </c>
    </row>
    <row r="40" spans="1:50" x14ac:dyDescent="0.25">
      <c r="A40" s="1">
        <v>45</v>
      </c>
      <c r="B40" s="1" t="s">
        <v>56</v>
      </c>
      <c r="C40" s="6">
        <v>45826</v>
      </c>
      <c r="D40" s="6">
        <v>45826</v>
      </c>
      <c r="E40" s="1">
        <v>3</v>
      </c>
      <c r="F40" s="1">
        <v>1</v>
      </c>
      <c r="G40" s="3" t="s">
        <v>191</v>
      </c>
      <c r="H40" s="4">
        <v>1.1516203703703704E-2</v>
      </c>
      <c r="I40" s="7" t="s">
        <v>198</v>
      </c>
      <c r="J40" s="7" t="s">
        <v>202</v>
      </c>
      <c r="K40" s="1" t="s">
        <v>58</v>
      </c>
      <c r="L40" s="1" t="s">
        <v>97</v>
      </c>
      <c r="M40" s="1" t="s">
        <v>14</v>
      </c>
      <c r="O40" s="1" t="s">
        <v>91</v>
      </c>
      <c r="P40" s="1" t="s">
        <v>61</v>
      </c>
      <c r="Q40" s="1" t="s">
        <v>61</v>
      </c>
      <c r="R40" s="1" t="s">
        <v>61</v>
      </c>
      <c r="S40" s="1" t="s">
        <v>61</v>
      </c>
      <c r="T40" s="1" t="s">
        <v>61</v>
      </c>
      <c r="V40" s="1" t="s">
        <v>61</v>
      </c>
      <c r="W40" s="1" t="s">
        <v>61</v>
      </c>
      <c r="X40" s="1" t="s">
        <v>61</v>
      </c>
      <c r="Y40" s="1" t="s">
        <v>203</v>
      </c>
      <c r="Z40" s="1" t="s">
        <v>204</v>
      </c>
      <c r="AB40" s="1"/>
      <c r="AC40" s="5" t="str">
        <f ca="1">IFERROR(__xludf.DUMMYFUNCTION("IF(Y40 = """", """", GOOGLETRANSLATE(Y40, ""en"", ""hi""))
"),"निर्णय ले सकते हैं")</f>
        <v>निर्णय ले सकते हैं</v>
      </c>
      <c r="AD40" s="5" t="str">
        <f ca="1">IFERROR(__xludf.DUMMYFUNCTION("IF(Z40 = """", """", GOOGLETRANSLATE(Z40, ""en"", ""hi""))"),"स्वास्थ्य के प्रति सावधान रहें")</f>
        <v>स्वास्थ्य के प्रति सावधान रहें</v>
      </c>
      <c r="AE40" s="5" t="str">
        <f ca="1">IFERROR(__xludf.DUMMYFUNCTION("IF(AA40 = """", """", GOOGLETRANSLATE(AA40, ""en"", ""hi""))"),"")</f>
        <v/>
      </c>
      <c r="AF40" s="5" t="str">
        <f ca="1">IFERROR(__xludf.DUMMYFUNCTION("IF(AB40 = """", """", GOOGLETRANSLATE(AB40, ""en"", ""hi""))"),"")</f>
        <v/>
      </c>
      <c r="AG40" s="5" t="str">
        <f ca="1">IFERROR(__xludf.DUMMYFUNCTION("IF(Y40 = """", """", GOOGLETRANSLATE(Y40, ""en"", ""mr""))"),"निर्णय घेऊ शकतात")</f>
        <v>निर्णय घेऊ शकतात</v>
      </c>
      <c r="AH40" s="5" t="str">
        <f ca="1">IFERROR(__xludf.DUMMYFUNCTION("IF(Z40 = """", """", GOOGLETRANSLATE(Z40, ""en"", ""mr""))"),"आरोग्याबाबत काळजी घ्या")</f>
        <v>आरोग्याबाबत काळजी घ्या</v>
      </c>
      <c r="AI40" s="5" t="str">
        <f ca="1">IFERROR(__xludf.DUMMYFUNCTION("IF(AA40 = """", """", GOOGLETRANSLATE(AA40, ""en"", ""mr""))"),"")</f>
        <v/>
      </c>
      <c r="AJ40" s="5" t="str">
        <f ca="1">IFERROR(__xludf.DUMMYFUNCTION("IF(AB40 = """", """", GOOGLETRANSLATE(AB40, ""en"", ""mr""))"),"")</f>
        <v/>
      </c>
      <c r="AK40" s="5" t="str">
        <f ca="1">IFERROR(__xludf.DUMMYFUNCTION("IF(Y40 = """", """", GOOGLETRANSLATE(Y40, ""en"", ""gu""))"),"નિર્ણયો લઈ શકે છે")</f>
        <v>નિર્ણયો લઈ શકે છે</v>
      </c>
      <c r="AL40" s="5" t="str">
        <f ca="1">IFERROR(__xludf.DUMMYFUNCTION("IF(Z40 = """", """", GOOGLETRANSLATE(Z40, ""en"", ""gu""))"),"સ્વાસ્થ્ય પ્રત્યે સાવચેત રહો")</f>
        <v>સ્વાસ્થ્ય પ્રત્યે સાવચેત રહો</v>
      </c>
      <c r="AM40" s="5" t="str">
        <f ca="1">IFERROR(__xludf.DUMMYFUNCTION("IF(AA40 = """", """", GOOGLETRANSLATE(AA40, ""en"", ""gu""))"),"")</f>
        <v/>
      </c>
      <c r="AN40" s="5" t="str">
        <f ca="1">IFERROR(__xludf.DUMMYFUNCTION("IF(AB40 = """", """", GOOGLETRANSLATE(AB40, ""en"", ""gu""))"),"")</f>
        <v/>
      </c>
      <c r="AO40" s="5" t="str">
        <f ca="1">IFERROR(__xludf.DUMMYFUNCTION("IF(Y40 = """", """", GOOGLETRANSLATE(Y40, ""en"", ""bn""))"),"সিদ্ধান্ত নিতে পারে")</f>
        <v>সিদ্ধান্ত নিতে পারে</v>
      </c>
      <c r="AP40" s="5" t="str">
        <f ca="1">IFERROR(__xludf.DUMMYFUNCTION("IF(Z40 = """", """", GOOGLETRANSLATE(Z40, ""en"", ""bn""))"),"স্বাস্থ্য সম্পর্কে সতর্ক থাকুন")</f>
        <v>স্বাস্থ্য সম্পর্কে সতর্ক থাকুন</v>
      </c>
      <c r="AQ40" s="5" t="str">
        <f ca="1">IFERROR(__xludf.DUMMYFUNCTION("IF(AA40 = """", """", GOOGLETRANSLATE(AA40, ""en"", ""bn""))"),"")</f>
        <v/>
      </c>
      <c r="AR40" s="5" t="str">
        <f ca="1">IFERROR(__xludf.DUMMYFUNCTION("IF(AB40 = """", """", GOOGLETRANSLATE(AB40, ""en"", ""bn""))"),"")</f>
        <v/>
      </c>
      <c r="AS40" s="1" t="s">
        <v>62</v>
      </c>
      <c r="AT40" s="1" t="s">
        <v>94</v>
      </c>
      <c r="AU40" s="5" t="str">
        <f ca="1">IFERROR(__xludf.DUMMYFUNCTION("IF(Y40 = """", """", GOOGLETRANSLATE(Y40, ""en"", ""te""))"),"నిర్ణయాలు తీసుకోవచ్చు")</f>
        <v>నిర్ణయాలు తీసుకోవచ్చు</v>
      </c>
      <c r="AV40" s="5" t="str">
        <f ca="1">IFERROR(__xludf.DUMMYFUNCTION("IF(Z40 = """", """", GOOGLETRANSLATE(Z40, ""en"", ""te""))"),"ఆరోగ్యం విషయంలో జాగ్రత్తగా ఉండండి")</f>
        <v>ఆరోగ్యం విషయంలో జాగ్రత్తగా ఉండండి</v>
      </c>
      <c r="AW40" s="5" t="str">
        <f ca="1">IFERROR(__xludf.DUMMYFUNCTION("IF(AA40 = """", """", GOOGLETRANSLATE(AA40, ""en"", ""te""))"),"")</f>
        <v/>
      </c>
      <c r="AX40" s="5" t="str">
        <f ca="1">IFERROR(__xludf.DUMMYFUNCTION("IF(AB40 = """", """", GOOGLETRANSLATE(AB40, ""en"", ""te""))"),"")</f>
        <v/>
      </c>
    </row>
    <row r="41" spans="1:50" x14ac:dyDescent="0.25">
      <c r="A41" s="1">
        <v>47</v>
      </c>
      <c r="B41" s="1" t="s">
        <v>56</v>
      </c>
      <c r="C41" s="6">
        <v>45826</v>
      </c>
      <c r="D41" s="6">
        <v>45826</v>
      </c>
      <c r="E41" s="1">
        <v>5</v>
      </c>
      <c r="F41" s="1">
        <v>1</v>
      </c>
      <c r="G41" s="3" t="s">
        <v>191</v>
      </c>
      <c r="H41" s="4">
        <v>1.1516203703703704E-2</v>
      </c>
      <c r="I41" s="7" t="s">
        <v>205</v>
      </c>
      <c r="J41" s="7" t="s">
        <v>206</v>
      </c>
      <c r="K41" s="1" t="s">
        <v>58</v>
      </c>
      <c r="L41" s="1" t="s">
        <v>108</v>
      </c>
      <c r="M41" s="1" t="s">
        <v>14</v>
      </c>
      <c r="O41" s="1" t="s">
        <v>91</v>
      </c>
      <c r="P41" s="1" t="s">
        <v>61</v>
      </c>
      <c r="Q41" s="1" t="s">
        <v>61</v>
      </c>
      <c r="R41" s="1" t="s">
        <v>61</v>
      </c>
      <c r="S41" s="1" t="s">
        <v>61</v>
      </c>
      <c r="T41" s="1" t="s">
        <v>61</v>
      </c>
      <c r="V41" s="1" t="s">
        <v>61</v>
      </c>
      <c r="W41" s="1" t="s">
        <v>61</v>
      </c>
      <c r="X41" s="1" t="s">
        <v>61</v>
      </c>
      <c r="Y41" s="1" t="s">
        <v>162</v>
      </c>
      <c r="Z41" s="1" t="s">
        <v>207</v>
      </c>
      <c r="AB41" s="1"/>
      <c r="AC41" s="5" t="str">
        <f ca="1">IFERROR(__xludf.DUMMYFUNCTION("IF(Y41 = """", """", GOOGLETRANSLATE(Y41, ""en"", ""hi""))
"),"ध्यान से चलाएं")</f>
        <v>ध्यान से चलाएं</v>
      </c>
      <c r="AD41" s="5" t="str">
        <f ca="1">IFERROR(__xludf.DUMMYFUNCTION("IF(Z41 = """", """", GOOGLETRANSLATE(Z41, ""en"", ""hi""))"),"स्वास्थ्य के मुद्दों")</f>
        <v>स्वास्थ्य के मुद्दों</v>
      </c>
      <c r="AE41" s="5" t="str">
        <f ca="1">IFERROR(__xludf.DUMMYFUNCTION("IF(AA41 = """", """", GOOGLETRANSLATE(AA41, ""en"", ""hi""))"),"")</f>
        <v/>
      </c>
      <c r="AF41" s="5" t="str">
        <f ca="1">IFERROR(__xludf.DUMMYFUNCTION("IF(AB41 = """", """", GOOGLETRANSLATE(AB41, ""en"", ""hi""))"),"")</f>
        <v/>
      </c>
      <c r="AG41" s="5" t="str">
        <f ca="1">IFERROR(__xludf.DUMMYFUNCTION("IF(Y41 = """", """", GOOGLETRANSLATE(Y41, ""en"", ""mr""))"),"काळजीपूर्वक चालवा")</f>
        <v>काळजीपूर्वक चालवा</v>
      </c>
      <c r="AH41" s="5" t="str">
        <f ca="1">IFERROR(__xludf.DUMMYFUNCTION("IF(Z41 = """", """", GOOGLETRANSLATE(Z41, ""en"", ""mr""))"),"आरोग्य समस्या")</f>
        <v>आरोग्य समस्या</v>
      </c>
      <c r="AI41" s="5" t="str">
        <f ca="1">IFERROR(__xludf.DUMMYFUNCTION("IF(AA41 = """", """", GOOGLETRANSLATE(AA41, ""en"", ""mr""))"),"")</f>
        <v/>
      </c>
      <c r="AJ41" s="5" t="str">
        <f ca="1">IFERROR(__xludf.DUMMYFUNCTION("IF(AB41 = """", """", GOOGLETRANSLATE(AB41, ""en"", ""mr""))"),"")</f>
        <v/>
      </c>
      <c r="AK41" s="5" t="str">
        <f ca="1">IFERROR(__xludf.DUMMYFUNCTION("IF(Y41 = """", """", GOOGLETRANSLATE(Y41, ""en"", ""gu""))"),"કાળજીપૂર્વક વાહન ચલાવો")</f>
        <v>કાળજીપૂર્વક વાહન ચલાવો</v>
      </c>
      <c r="AL41" s="5" t="str">
        <f ca="1">IFERROR(__xludf.DUMMYFUNCTION("IF(Z41 = """", """", GOOGLETRANSLATE(Z41, ""en"", ""gu""))"),"આરોગ્ય સમસ્યાઓ")</f>
        <v>આરોગ્ય સમસ્યાઓ</v>
      </c>
      <c r="AM41" s="5" t="str">
        <f ca="1">IFERROR(__xludf.DUMMYFUNCTION("IF(AA41 = """", """", GOOGLETRANSLATE(AA41, ""en"", ""gu""))"),"")</f>
        <v/>
      </c>
      <c r="AN41" s="5" t="str">
        <f ca="1">IFERROR(__xludf.DUMMYFUNCTION("IF(AB41 = """", """", GOOGLETRANSLATE(AB41, ""en"", ""gu""))"),"")</f>
        <v/>
      </c>
      <c r="AO41" s="5" t="str">
        <f ca="1">IFERROR(__xludf.DUMMYFUNCTION("IF(Y41 = """", """", GOOGLETRANSLATE(Y41, ""en"", ""bn""))"),"সাবধানে চালান")</f>
        <v>সাবধানে চালান</v>
      </c>
      <c r="AP41" s="5" t="str">
        <f ca="1">IFERROR(__xludf.DUMMYFUNCTION("IF(Z41 = """", """", GOOGLETRANSLATE(Z41, ""en"", ""bn""))"),"স্বাস্থ্য সমস্যা")</f>
        <v>স্বাস্থ্য সমস্যা</v>
      </c>
      <c r="AQ41" s="5" t="str">
        <f ca="1">IFERROR(__xludf.DUMMYFUNCTION("IF(AA41 = """", """", GOOGLETRANSLATE(AA41, ""en"", ""bn""))"),"")</f>
        <v/>
      </c>
      <c r="AR41" s="5" t="str">
        <f ca="1">IFERROR(__xludf.DUMMYFUNCTION("IF(AB41 = """", """", GOOGLETRANSLATE(AB41, ""en"", ""bn""))"),"")</f>
        <v/>
      </c>
      <c r="AS41" s="1" t="s">
        <v>62</v>
      </c>
      <c r="AT41" s="1" t="s">
        <v>94</v>
      </c>
      <c r="AU41" s="5" t="str">
        <f ca="1">IFERROR(__xludf.DUMMYFUNCTION("IF(Y41 = """", """", GOOGLETRANSLATE(Y41, ""en"", ""te""))"),"జాగ్రత్తగా డ్రైవ్ చేయండి")</f>
        <v>జాగ్రత్తగా డ్రైవ్ చేయండి</v>
      </c>
      <c r="AV41" s="5" t="str">
        <f ca="1">IFERROR(__xludf.DUMMYFUNCTION("IF(Z41 = """", """", GOOGLETRANSLATE(Z41, ""en"", ""te""))"),"ఆరోగ్య సమస్యలు")</f>
        <v>ఆరోగ్య సమస్యలు</v>
      </c>
      <c r="AW41" s="5" t="str">
        <f ca="1">IFERROR(__xludf.DUMMYFUNCTION("IF(AA41 = """", """", GOOGLETRANSLATE(AA41, ""en"", ""te""))"),"")</f>
        <v/>
      </c>
      <c r="AX41" s="5" t="str">
        <f ca="1">IFERROR(__xludf.DUMMYFUNCTION("IF(AB41 = """", """", GOOGLETRANSLATE(AB41, ""en"", ""te""))"),"")</f>
        <v/>
      </c>
    </row>
    <row r="42" spans="1:50" x14ac:dyDescent="0.25">
      <c r="A42" s="1">
        <v>48</v>
      </c>
      <c r="B42" s="1" t="s">
        <v>56</v>
      </c>
      <c r="C42" s="6">
        <v>45826</v>
      </c>
      <c r="D42" s="6">
        <v>45826</v>
      </c>
      <c r="E42" s="1">
        <v>6</v>
      </c>
      <c r="F42" s="1">
        <v>1</v>
      </c>
      <c r="G42" s="3" t="s">
        <v>191</v>
      </c>
      <c r="H42" s="4">
        <v>1.1516203703703704E-2</v>
      </c>
      <c r="I42" s="7" t="s">
        <v>206</v>
      </c>
      <c r="J42" s="7" t="s">
        <v>208</v>
      </c>
      <c r="K42" s="1" t="s">
        <v>58</v>
      </c>
      <c r="L42" s="1" t="s">
        <v>113</v>
      </c>
      <c r="M42" s="1" t="s">
        <v>17</v>
      </c>
      <c r="O42" s="1" t="s">
        <v>61</v>
      </c>
      <c r="P42" s="1" t="s">
        <v>61</v>
      </c>
      <c r="Q42" s="1" t="s">
        <v>61</v>
      </c>
      <c r="R42" s="1" t="s">
        <v>91</v>
      </c>
      <c r="S42" s="1" t="s">
        <v>61</v>
      </c>
      <c r="T42" s="1" t="s">
        <v>61</v>
      </c>
      <c r="V42" s="1" t="s">
        <v>61</v>
      </c>
      <c r="W42" s="1" t="s">
        <v>61</v>
      </c>
      <c r="X42" s="1" t="s">
        <v>61</v>
      </c>
      <c r="Y42" s="1" t="s">
        <v>209</v>
      </c>
      <c r="Z42" s="1" t="s">
        <v>210</v>
      </c>
      <c r="AB42" s="1"/>
      <c r="AC42" s="5" t="str">
        <f ca="1">IFERROR(__xludf.DUMMYFUNCTION("IF(Y42 = """", """", GOOGLETRANSLATE(Y42, ""en"", ""hi""))
"),"काम करते समय अधिक सोचना")</f>
        <v>काम करते समय अधिक सोचना</v>
      </c>
      <c r="AD42" s="5" t="str">
        <f ca="1">IFERROR(__xludf.DUMMYFUNCTION("IF(Z42 = """", """", GOOGLETRANSLATE(Z42, ""en"", ""hi""))"),"जोखिम भरे कार्य से बचें")</f>
        <v>जोखिम भरे कार्य से बचें</v>
      </c>
      <c r="AE42" s="5" t="str">
        <f ca="1">IFERROR(__xludf.DUMMYFUNCTION("IF(AA42 = """", """", GOOGLETRANSLATE(AA42, ""en"", ""hi""))"),"")</f>
        <v/>
      </c>
      <c r="AF42" s="5" t="str">
        <f ca="1">IFERROR(__xludf.DUMMYFUNCTION("IF(AB42 = """", """", GOOGLETRANSLATE(AB42, ""en"", ""hi""))"),"")</f>
        <v/>
      </c>
      <c r="AG42" s="5" t="str">
        <f ca="1">IFERROR(__xludf.DUMMYFUNCTION("IF(Y42 = """", """", GOOGLETRANSLATE(Y42, ""en"", ""mr""))"),"काम करताना अतिविचार")</f>
        <v>काम करताना अतिविचार</v>
      </c>
      <c r="AH42" s="5" t="str">
        <f ca="1">IFERROR(__xludf.DUMMYFUNCTION("IF(Z42 = """", """", GOOGLETRANSLATE(Z42, ""en"", ""mr""))"),"धोकादायक काम टाळा")</f>
        <v>धोकादायक काम टाळा</v>
      </c>
      <c r="AI42" s="5" t="str">
        <f ca="1">IFERROR(__xludf.DUMMYFUNCTION("IF(AA42 = """", """", GOOGLETRANSLATE(AA42, ""en"", ""mr""))"),"")</f>
        <v/>
      </c>
      <c r="AJ42" s="5" t="str">
        <f ca="1">IFERROR(__xludf.DUMMYFUNCTION("IF(AB42 = """", """", GOOGLETRANSLATE(AB42, ""en"", ""mr""))"),"")</f>
        <v/>
      </c>
      <c r="AK42" s="5" t="str">
        <f ca="1">IFERROR(__xludf.DUMMYFUNCTION("IF(Y42 = """", """", GOOGLETRANSLATE(Y42, ""en"", ""gu""))"),"કામ કરતી વખતે વધુ પડતું વિચારવું")</f>
        <v>કામ કરતી વખતે વધુ પડતું વિચારવું</v>
      </c>
      <c r="AL42" s="5" t="str">
        <f ca="1">IFERROR(__xludf.DUMMYFUNCTION("IF(Z42 = """", """", GOOGLETRANSLATE(Z42, ""en"", ""gu""))"),"જોખમી કાર્ય ટાળો")</f>
        <v>જોખમી કાર્ય ટાળો</v>
      </c>
      <c r="AM42" s="5" t="str">
        <f ca="1">IFERROR(__xludf.DUMMYFUNCTION("IF(AA42 = """", """", GOOGLETRANSLATE(AA42, ""en"", ""gu""))"),"")</f>
        <v/>
      </c>
      <c r="AN42" s="5" t="str">
        <f ca="1">IFERROR(__xludf.DUMMYFUNCTION("IF(AB42 = """", """", GOOGLETRANSLATE(AB42, ""en"", ""gu""))"),"")</f>
        <v/>
      </c>
      <c r="AO42" s="5" t="str">
        <f ca="1">IFERROR(__xludf.DUMMYFUNCTION("IF(Y42 = """", """", GOOGLETRANSLATE(Y42, ""en"", ""bn""))"),"কাজ করার সময় অতিরিক্ত চিন্তা করা")</f>
        <v>কাজ করার সময় অতিরিক্ত চিন্তা করা</v>
      </c>
      <c r="AP42" s="5" t="str">
        <f ca="1">IFERROR(__xludf.DUMMYFUNCTION("IF(Z42 = """", """", GOOGLETRANSLATE(Z42, ""en"", ""bn""))"),"ঝুঁকিপূর্ণ কাজ এড়িয়ে চলুন")</f>
        <v>ঝুঁকিপূর্ণ কাজ এড়িয়ে চলুন</v>
      </c>
      <c r="AQ42" s="5" t="str">
        <f ca="1">IFERROR(__xludf.DUMMYFUNCTION("IF(AA42 = """", """", GOOGLETRANSLATE(AA42, ""en"", ""bn""))"),"")</f>
        <v/>
      </c>
      <c r="AR42" s="5" t="str">
        <f ca="1">IFERROR(__xludf.DUMMYFUNCTION("IF(AB42 = """", """", GOOGLETRANSLATE(AB42, ""en"", ""bn""))"),"")</f>
        <v/>
      </c>
      <c r="AS42" s="1" t="s">
        <v>62</v>
      </c>
      <c r="AT42" s="1" t="s">
        <v>94</v>
      </c>
      <c r="AU42" s="5" t="str">
        <f ca="1">IFERROR(__xludf.DUMMYFUNCTION("IF(Y42 = """", """", GOOGLETRANSLATE(Y42, ""en"", ""te""))"),"పని చేస్తున్నప్పుడు అతిగా ఆలోచించడం")</f>
        <v>పని చేస్తున్నప్పుడు అతిగా ఆలోచించడం</v>
      </c>
      <c r="AV42" s="5" t="str">
        <f ca="1">IFERROR(__xludf.DUMMYFUNCTION("IF(Z42 = """", """", GOOGLETRANSLATE(Z42, ""en"", ""te""))"),"ప్రమాదకర పనిని నివారించండి")</f>
        <v>ప్రమాదకర పనిని నివారించండి</v>
      </c>
      <c r="AW42" s="5" t="str">
        <f ca="1">IFERROR(__xludf.DUMMYFUNCTION("IF(AA42 = """", """", GOOGLETRANSLATE(AA42, ""en"", ""te""))"),"")</f>
        <v/>
      </c>
      <c r="AX42" s="5" t="str">
        <f ca="1">IFERROR(__xludf.DUMMYFUNCTION("IF(AB42 = """", """", GOOGLETRANSLATE(AB42, ""en"", ""te""))"),"")</f>
        <v/>
      </c>
    </row>
    <row r="43" spans="1:50" x14ac:dyDescent="0.25">
      <c r="A43" s="1">
        <v>49</v>
      </c>
      <c r="B43" s="1" t="s">
        <v>56</v>
      </c>
      <c r="C43" s="6">
        <v>45826</v>
      </c>
      <c r="D43" s="6">
        <v>45826</v>
      </c>
      <c r="E43" s="1">
        <v>7</v>
      </c>
      <c r="F43" s="1">
        <v>1</v>
      </c>
      <c r="G43" s="3" t="s">
        <v>191</v>
      </c>
      <c r="H43" s="4">
        <v>1.1516203703703704E-2</v>
      </c>
      <c r="I43" s="7" t="s">
        <v>208</v>
      </c>
      <c r="J43" s="7" t="s">
        <v>211</v>
      </c>
      <c r="K43" s="1" t="s">
        <v>58</v>
      </c>
      <c r="L43" s="1" t="s">
        <v>64</v>
      </c>
      <c r="M43" s="1" t="s">
        <v>14</v>
      </c>
      <c r="O43" s="1" t="s">
        <v>91</v>
      </c>
      <c r="P43" s="1" t="s">
        <v>61</v>
      </c>
      <c r="Q43" s="1" t="s">
        <v>61</v>
      </c>
      <c r="R43" s="1" t="s">
        <v>61</v>
      </c>
      <c r="S43" s="1" t="s">
        <v>61</v>
      </c>
      <c r="T43" s="1" t="s">
        <v>61</v>
      </c>
      <c r="V43" s="1" t="s">
        <v>61</v>
      </c>
      <c r="W43" s="1" t="s">
        <v>61</v>
      </c>
      <c r="X43" s="1" t="s">
        <v>61</v>
      </c>
      <c r="Y43" s="1" t="s">
        <v>212</v>
      </c>
      <c r="Z43" s="1" t="s">
        <v>213</v>
      </c>
      <c r="AB43" s="1"/>
      <c r="AC43" s="5" t="str">
        <f ca="1">IFERROR(__xludf.DUMMYFUNCTION("IF(Y43 = """", """", GOOGLETRANSLATE(Y43, ""en"", ""hi""))
"),"सभी लंबित कार्य करें")</f>
        <v>सभी लंबित कार्य करें</v>
      </c>
      <c r="AD43" s="5" t="str">
        <f ca="1">IFERROR(__xludf.DUMMYFUNCTION("IF(Z43 = """", """", GOOGLETRANSLATE(Z43, ""en"", ""hi""))"),"शब्दों के साथ बुद्धिमान बनें")</f>
        <v>शब्दों के साथ बुद्धिमान बनें</v>
      </c>
      <c r="AE43" s="5" t="str">
        <f ca="1">IFERROR(__xludf.DUMMYFUNCTION("IF(AA43 = """", """", GOOGLETRANSLATE(AA43, ""en"", ""hi""))"),"")</f>
        <v/>
      </c>
      <c r="AF43" s="5" t="str">
        <f ca="1">IFERROR(__xludf.DUMMYFUNCTION("IF(AB43 = """", """", GOOGLETRANSLATE(AB43, ""en"", ""hi""))"),"")</f>
        <v/>
      </c>
      <c r="AG43" s="5" t="str">
        <f ca="1">IFERROR(__xludf.DUMMYFUNCTION("IF(Y43 = """", """", GOOGLETRANSLATE(Y43, ""en"", ""mr""))"),"सर्व प्रलंबित कामे करा")</f>
        <v>सर्व प्रलंबित कामे करा</v>
      </c>
      <c r="AH43" s="5" t="str">
        <f ca="1">IFERROR(__xludf.DUMMYFUNCTION("IF(Z43 = """", """", GOOGLETRANSLATE(Z43, ""en"", ""mr""))"),"शब्दांनी शहाणे व्हा")</f>
        <v>शब्दांनी शहाणे व्हा</v>
      </c>
      <c r="AI43" s="5" t="str">
        <f ca="1">IFERROR(__xludf.DUMMYFUNCTION("IF(AA43 = """", """", GOOGLETRANSLATE(AA43, ""en"", ""mr""))"),"")</f>
        <v/>
      </c>
      <c r="AJ43" s="5" t="str">
        <f ca="1">IFERROR(__xludf.DUMMYFUNCTION("IF(AB43 = """", """", GOOGLETRANSLATE(AB43, ""en"", ""mr""))"),"")</f>
        <v/>
      </c>
      <c r="AK43" s="5" t="str">
        <f ca="1">IFERROR(__xludf.DUMMYFUNCTION("IF(Y43 = """", """", GOOGLETRANSLATE(Y43, ""en"", ""gu""))"),"બધા બાકી કામો કરો")</f>
        <v>બધા બાકી કામો કરો</v>
      </c>
      <c r="AL43" s="5" t="str">
        <f ca="1">IFERROR(__xludf.DUMMYFUNCTION("IF(Z43 = """", """", GOOGLETRANSLATE(Z43, ""en"", ""gu""))"),"શબ્દો સાથે સમજદાર બનો")</f>
        <v>શબ્દો સાથે સમજદાર બનો</v>
      </c>
      <c r="AM43" s="5" t="str">
        <f ca="1">IFERROR(__xludf.DUMMYFUNCTION("IF(AA43 = """", """", GOOGLETRANSLATE(AA43, ""en"", ""gu""))"),"")</f>
        <v/>
      </c>
      <c r="AN43" s="5" t="str">
        <f ca="1">IFERROR(__xludf.DUMMYFUNCTION("IF(AB43 = """", """", GOOGLETRANSLATE(AB43, ""en"", ""gu""))"),"")</f>
        <v/>
      </c>
      <c r="AO43" s="5" t="str">
        <f ca="1">IFERROR(__xludf.DUMMYFUNCTION("IF(Y43 = """", """", GOOGLETRANSLATE(Y43, ""en"", ""bn""))"),"সমস্ত মুলতুবি কাজ করুন")</f>
        <v>সমস্ত মুলতুবি কাজ করুন</v>
      </c>
      <c r="AP43" s="5" t="str">
        <f ca="1">IFERROR(__xludf.DUMMYFUNCTION("IF(Z43 = """", """", GOOGLETRANSLATE(Z43, ""en"", ""bn""))"),"কথায় জ্ঞানী হও")</f>
        <v>কথায় জ্ঞানী হও</v>
      </c>
      <c r="AQ43" s="5" t="str">
        <f ca="1">IFERROR(__xludf.DUMMYFUNCTION("IF(AA43 = """", """", GOOGLETRANSLATE(AA43, ""en"", ""bn""))"),"")</f>
        <v/>
      </c>
      <c r="AR43" s="5" t="str">
        <f ca="1">IFERROR(__xludf.DUMMYFUNCTION("IF(AB43 = """", """", GOOGLETRANSLATE(AB43, ""en"", ""bn""))"),"")</f>
        <v/>
      </c>
      <c r="AS43" s="1" t="s">
        <v>62</v>
      </c>
      <c r="AT43" s="1" t="s">
        <v>94</v>
      </c>
      <c r="AU43" s="5" t="str">
        <f ca="1">IFERROR(__xludf.DUMMYFUNCTION("IF(Y43 = """", """", GOOGLETRANSLATE(Y43, ""en"", ""te""))"),"పెండింగ్‌లో ఉన్న పనులన్నీ చేయండి")</f>
        <v>పెండింగ్‌లో ఉన్న పనులన్నీ చేయండి</v>
      </c>
      <c r="AV43" s="5" t="str">
        <f ca="1">IFERROR(__xludf.DUMMYFUNCTION("IF(Z43 = """", """", GOOGLETRANSLATE(Z43, ""en"", ""te""))"),"మాటలతో తెలివిగా ఉండండి")</f>
        <v>మాటలతో తెలివిగా ఉండండి</v>
      </c>
      <c r="AW43" s="5" t="str">
        <f ca="1">IFERROR(__xludf.DUMMYFUNCTION("IF(AA43 = """", """", GOOGLETRANSLATE(AA43, ""en"", ""te""))"),"")</f>
        <v/>
      </c>
      <c r="AX43" s="5" t="str">
        <f ca="1">IFERROR(__xludf.DUMMYFUNCTION("IF(AB43 = """", """", GOOGLETRANSLATE(AB43, ""en"", ""te""))"),"")</f>
        <v/>
      </c>
    </row>
    <row r="44" spans="1:50" x14ac:dyDescent="0.25">
      <c r="A44" s="1">
        <v>50</v>
      </c>
      <c r="B44" s="1" t="s">
        <v>56</v>
      </c>
      <c r="C44" s="6">
        <v>45826</v>
      </c>
      <c r="D44" s="6">
        <v>45826</v>
      </c>
      <c r="E44" s="1">
        <v>8</v>
      </c>
      <c r="F44" s="1">
        <v>1</v>
      </c>
      <c r="G44" s="3" t="s">
        <v>191</v>
      </c>
      <c r="H44" s="4">
        <v>1.1516203703703704E-2</v>
      </c>
      <c r="I44" s="7" t="s">
        <v>211</v>
      </c>
      <c r="J44" s="7" t="s">
        <v>214</v>
      </c>
      <c r="K44" s="1" t="s">
        <v>58</v>
      </c>
      <c r="L44" s="1" t="s">
        <v>68</v>
      </c>
      <c r="M44" s="1" t="s">
        <v>215</v>
      </c>
      <c r="O44" s="1" t="s">
        <v>61</v>
      </c>
      <c r="P44" s="1" t="s">
        <v>61</v>
      </c>
      <c r="Q44" s="1" t="s">
        <v>61</v>
      </c>
      <c r="R44" s="1" t="s">
        <v>61</v>
      </c>
      <c r="S44" s="1" t="s">
        <v>61</v>
      </c>
      <c r="T44" s="1" t="s">
        <v>109</v>
      </c>
      <c r="U44" s="1" t="s">
        <v>91</v>
      </c>
      <c r="V44" s="1" t="s">
        <v>61</v>
      </c>
      <c r="W44" s="1" t="s">
        <v>61</v>
      </c>
      <c r="X44" s="1" t="s">
        <v>61</v>
      </c>
      <c r="Y44" s="1" t="s">
        <v>98</v>
      </c>
      <c r="Z44" s="1" t="s">
        <v>216</v>
      </c>
      <c r="AB44" s="1"/>
      <c r="AC44" s="5" t="str">
        <f ca="1">IFERROR(__xludf.DUMMYFUNCTION("IF(Y44 = """", """", GOOGLETRANSLATE(Y44, ""en"", ""hi""))
"),"शब्दों के साथ सावधान रहें")</f>
        <v>शब्दों के साथ सावधान रहें</v>
      </c>
      <c r="AD44" s="5" t="str">
        <f ca="1">IFERROR(__xludf.DUMMYFUNCTION("IF(Z44 = """", """", GOOGLETRANSLATE(Z44, ""en"", ""hi""))"),"किसी भी क्रिया पर कोई प्रतिक्रिया नहीं")</f>
        <v>किसी भी क्रिया पर कोई प्रतिक्रिया नहीं</v>
      </c>
      <c r="AE44" s="5" t="str">
        <f ca="1">IFERROR(__xludf.DUMMYFUNCTION("IF(AA44 = """", """", GOOGLETRANSLATE(AA44, ""en"", ""hi""))"),"")</f>
        <v/>
      </c>
      <c r="AF44" s="5" t="str">
        <f ca="1">IFERROR(__xludf.DUMMYFUNCTION("IF(AB44 = """", """", GOOGLETRANSLATE(AB44, ""en"", ""hi""))"),"")</f>
        <v/>
      </c>
      <c r="AG44" s="5" t="str">
        <f ca="1">IFERROR(__xludf.DUMMYFUNCTION("IF(Y44 = """", """", GOOGLETRANSLATE(Y44, ""en"", ""mr""))"),"शब्दांसह सावध रहा")</f>
        <v>शब्दांसह सावध रहा</v>
      </c>
      <c r="AH44" s="5" t="str">
        <f ca="1">IFERROR(__xludf.DUMMYFUNCTION("IF(Z44 = """", """", GOOGLETRANSLATE(Z44, ""en"", ""mr""))"),"कोणत्याही कृतीवर प्रतिक्रिया नाही")</f>
        <v>कोणत्याही कृतीवर प्रतिक्रिया नाही</v>
      </c>
      <c r="AI44" s="5" t="str">
        <f ca="1">IFERROR(__xludf.DUMMYFUNCTION("IF(AA44 = """", """", GOOGLETRANSLATE(AA44, ""en"", ""mr""))"),"")</f>
        <v/>
      </c>
      <c r="AJ44" s="5" t="str">
        <f ca="1">IFERROR(__xludf.DUMMYFUNCTION("IF(AB44 = """", """", GOOGLETRANSLATE(AB44, ""en"", ""mr""))"),"")</f>
        <v/>
      </c>
      <c r="AK44" s="5" t="str">
        <f ca="1">IFERROR(__xludf.DUMMYFUNCTION("IF(Y44 = """", """", GOOGLETRANSLATE(Y44, ""en"", ""gu""))"),"શબ્દો સાથે સાવચેત રહો")</f>
        <v>શબ્દો સાથે સાવચેત રહો</v>
      </c>
      <c r="AL44" s="5" t="str">
        <f ca="1">IFERROR(__xludf.DUMMYFUNCTION("IF(Z44 = """", """", GOOGLETRANSLATE(Z44, ""en"", ""gu""))"),"કોઈપણ ક્રિયા પર કોઈ પ્રતિક્રિયા નથી")</f>
        <v>કોઈપણ ક્રિયા પર કોઈ પ્રતિક્રિયા નથી</v>
      </c>
      <c r="AM44" s="5" t="str">
        <f ca="1">IFERROR(__xludf.DUMMYFUNCTION("IF(AA44 = """", """", GOOGLETRANSLATE(AA44, ""en"", ""gu""))"),"")</f>
        <v/>
      </c>
      <c r="AN44" s="5" t="str">
        <f ca="1">IFERROR(__xludf.DUMMYFUNCTION("IF(AB44 = """", """", GOOGLETRANSLATE(AB44, ""en"", ""gu""))"),"")</f>
        <v/>
      </c>
      <c r="AO44" s="5" t="str">
        <f ca="1">IFERROR(__xludf.DUMMYFUNCTION("IF(Y44 = """", """", GOOGLETRANSLATE(Y44, ""en"", ""bn""))"),"শব্দের সাথে সতর্ক থাকুন")</f>
        <v>শব্দের সাথে সতর্ক থাকুন</v>
      </c>
      <c r="AP44" s="5" t="str">
        <f ca="1">IFERROR(__xludf.DUMMYFUNCTION("IF(Z44 = """", """", GOOGLETRANSLATE(Z44, ""en"", ""bn""))"),"কোন কর্মের উপর কোন প্রতিক্রিয়া নেই")</f>
        <v>কোন কর্মের উপর কোন প্রতিক্রিয়া নেই</v>
      </c>
      <c r="AQ44" s="5" t="str">
        <f ca="1">IFERROR(__xludf.DUMMYFUNCTION("IF(AA44 = """", """", GOOGLETRANSLATE(AA44, ""en"", ""bn""))"),"")</f>
        <v/>
      </c>
      <c r="AR44" s="5" t="str">
        <f ca="1">IFERROR(__xludf.DUMMYFUNCTION("IF(AB44 = """", """", GOOGLETRANSLATE(AB44, ""en"", ""bn""))"),"")</f>
        <v/>
      </c>
      <c r="AS44" s="1" t="s">
        <v>62</v>
      </c>
      <c r="AT44" s="1" t="s">
        <v>94</v>
      </c>
      <c r="AU44" s="5" t="str">
        <f ca="1">IFERROR(__xludf.DUMMYFUNCTION("IF(Y44 = """", """", GOOGLETRANSLATE(Y44, ""en"", ""te""))"),"మాటలతో జాగ్రత్తగా ఉండండి")</f>
        <v>మాటలతో జాగ్రత్తగా ఉండండి</v>
      </c>
      <c r="AV44" s="5" t="str">
        <f ca="1">IFERROR(__xludf.DUMMYFUNCTION("IF(Z44 = """", """", GOOGLETRANSLATE(Z44, ""en"", ""te""))"),"ఏ చర్యపైనా స్పందన లేదు")</f>
        <v>ఏ చర్యపైనా స్పందన లేదు</v>
      </c>
      <c r="AW44" s="5" t="str">
        <f ca="1">IFERROR(__xludf.DUMMYFUNCTION("IF(AA44 = """", """", GOOGLETRANSLATE(AA44, ""en"", ""te""))"),"")</f>
        <v/>
      </c>
      <c r="AX44" s="5" t="str">
        <f ca="1">IFERROR(__xludf.DUMMYFUNCTION("IF(AB44 = """", """", GOOGLETRANSLATE(AB44, ""en"", ""te""))"),"")</f>
        <v/>
      </c>
    </row>
    <row r="45" spans="1:50" x14ac:dyDescent="0.25">
      <c r="A45" s="1">
        <v>51</v>
      </c>
      <c r="B45" s="1" t="s">
        <v>56</v>
      </c>
      <c r="C45" s="6">
        <v>45826</v>
      </c>
      <c r="D45" s="6">
        <v>45826</v>
      </c>
      <c r="E45" s="1">
        <v>9</v>
      </c>
      <c r="F45" s="1">
        <v>1</v>
      </c>
      <c r="G45" s="3" t="s">
        <v>191</v>
      </c>
      <c r="H45" s="4">
        <v>1.1516203703703704E-2</v>
      </c>
      <c r="I45" s="7" t="s">
        <v>214</v>
      </c>
      <c r="J45" s="7" t="s">
        <v>217</v>
      </c>
      <c r="K45" s="1" t="s">
        <v>58</v>
      </c>
      <c r="L45" s="1" t="s">
        <v>72</v>
      </c>
      <c r="M45" s="1" t="s">
        <v>19</v>
      </c>
      <c r="O45" s="1" t="s">
        <v>61</v>
      </c>
      <c r="P45" s="1" t="s">
        <v>61</v>
      </c>
      <c r="Q45" s="1" t="s">
        <v>61</v>
      </c>
      <c r="R45" s="1" t="s">
        <v>61</v>
      </c>
      <c r="S45" s="1" t="s">
        <v>61</v>
      </c>
      <c r="T45" s="1" t="s">
        <v>91</v>
      </c>
      <c r="V45" s="1" t="s">
        <v>61</v>
      </c>
      <c r="W45" s="1" t="s">
        <v>61</v>
      </c>
      <c r="X45" s="1" t="s">
        <v>61</v>
      </c>
      <c r="Y45" s="1" t="s">
        <v>218</v>
      </c>
      <c r="Z45" s="1" t="s">
        <v>219</v>
      </c>
      <c r="AA45" s="1" t="s">
        <v>220</v>
      </c>
      <c r="AB45" s="1"/>
      <c r="AC45" s="5" t="str">
        <f ca="1">IFERROR(__xludf.DUMMYFUNCTION("IF(Y45 = """", """", GOOGLETRANSLATE(Y45, ""en"", ""hi""))
"),"दैनिक कार्य में कठिनाई होगी")</f>
        <v>दैनिक कार्य में कठिनाई होगी</v>
      </c>
      <c r="AD45" s="5" t="str">
        <f ca="1">IFERROR(__xludf.DUMMYFUNCTION("IF(Z45 = """", """", GOOGLETRANSLATE(Z45, ""en"", ""hi""))"),"आज का दिन शुभ नहीं")</f>
        <v>आज का दिन शुभ नहीं</v>
      </c>
      <c r="AE45" s="5" t="str">
        <f ca="1">IFERROR(__xludf.DUMMYFUNCTION("IF(AA45 = """", """", GOOGLETRANSLATE(AA45, ""en"", ""hi""))"),"कई योजनाएँ रखें")</f>
        <v>कई योजनाएँ रखें</v>
      </c>
      <c r="AF45" s="5" t="str">
        <f ca="1">IFERROR(__xludf.DUMMYFUNCTION("IF(AB45 = """", """", GOOGLETRANSLATE(AB45, ""en"", ""hi""))"),"")</f>
        <v/>
      </c>
      <c r="AG45" s="5" t="str">
        <f ca="1">IFERROR(__xludf.DUMMYFUNCTION("IF(Y45 = """", """", GOOGLETRANSLATE(Y45, ""en"", ""mr""))"),"दैनंदिन कामात अडचण येईल")</f>
        <v>दैनंदिन कामात अडचण येईल</v>
      </c>
      <c r="AH45" s="5" t="str">
        <f ca="1">IFERROR(__xludf.DUMMYFUNCTION("IF(Z45 = """", """", GOOGLETRANSLATE(Z45, ""en"", ""mr""))"),"दिवसासाठी भाग्य नाही")</f>
        <v>दिवसासाठी भाग्य नाही</v>
      </c>
      <c r="AI45" s="5" t="str">
        <f ca="1">IFERROR(__xludf.DUMMYFUNCTION("IF(AA45 = """", """", GOOGLETRANSLATE(AA45, ""en"", ""mr""))"),"अनेक योजना ठेवा")</f>
        <v>अनेक योजना ठेवा</v>
      </c>
      <c r="AJ45" s="5" t="str">
        <f ca="1">IFERROR(__xludf.DUMMYFUNCTION("IF(AB45 = """", """", GOOGLETRANSLATE(AB45, ""en"", ""mr""))"),"")</f>
        <v/>
      </c>
      <c r="AK45" s="5" t="str">
        <f ca="1">IFERROR(__xludf.DUMMYFUNCTION("IF(Y45 = """", """", GOOGLETRANSLATE(Y45, ""en"", ""gu""))"),"રોજિંદા કામમાં મુશ્કેલી આવશે")</f>
        <v>રોજિંદા કામમાં મુશ્કેલી આવશે</v>
      </c>
      <c r="AL45" s="5" t="str">
        <f ca="1">IFERROR(__xludf.DUMMYFUNCTION("IF(Z45 = """", """", GOOGLETRANSLATE(Z45, ""en"", ""gu""))"),"દિવસ માટે કોઈ નસીબ નથી")</f>
        <v>દિવસ માટે કોઈ નસીબ નથી</v>
      </c>
      <c r="AM45" s="5" t="str">
        <f ca="1">IFERROR(__xludf.DUMMYFUNCTION("IF(AA45 = """", """", GOOGLETRANSLATE(AA45, ""en"", ""gu""))"),"બહુવિધ યોજનાઓ રાખો")</f>
        <v>બહુવિધ યોજનાઓ રાખો</v>
      </c>
      <c r="AN45" s="5" t="str">
        <f ca="1">IFERROR(__xludf.DUMMYFUNCTION("IF(AB45 = """", """", GOOGLETRANSLATE(AB45, ""en"", ""gu""))"),"")</f>
        <v/>
      </c>
      <c r="AO45" s="5" t="str">
        <f ca="1">IFERROR(__xludf.DUMMYFUNCTION("IF(Y45 = """", """", GOOGLETRANSLATE(Y45, ""en"", ""bn""))"),"দৈনন্দিন কাজে অসুবিধা হবে")</f>
        <v>দৈনন্দিন কাজে অসুবিধা হবে</v>
      </c>
      <c r="AP45" s="5" t="str">
        <f ca="1">IFERROR(__xludf.DUMMYFUNCTION("IF(Z45 = """", """", GOOGLETRANSLATE(Z45, ""en"", ""bn""))"),"দিনের জন্য কোন ভাগ্য নেই")</f>
        <v>দিনের জন্য কোন ভাগ্য নেই</v>
      </c>
      <c r="AQ45" s="5" t="str">
        <f ca="1">IFERROR(__xludf.DUMMYFUNCTION("IF(AA45 = """", """", GOOGLETRANSLATE(AA45, ""en"", ""bn""))"),"একাধিক পরিকল্পনা রাখুন")</f>
        <v>একাধিক পরিকল্পনা রাখুন</v>
      </c>
      <c r="AR45" s="5" t="str">
        <f ca="1">IFERROR(__xludf.DUMMYFUNCTION("IF(AB45 = """", """", GOOGLETRANSLATE(AB45, ""en"", ""bn""))"),"")</f>
        <v/>
      </c>
      <c r="AS45" s="1" t="s">
        <v>62</v>
      </c>
      <c r="AT45" s="1" t="s">
        <v>94</v>
      </c>
      <c r="AU45" s="5" t="str">
        <f ca="1">IFERROR(__xludf.DUMMYFUNCTION("IF(Y45 = """", """", GOOGLETRANSLATE(Y45, ""en"", ""te""))"),"రోజువారీ పనుల్లో ఇబ్బందులు పడతారు")</f>
        <v>రోజువారీ పనుల్లో ఇబ్బందులు పడతారు</v>
      </c>
      <c r="AV45" s="5" t="str">
        <f ca="1">IFERROR(__xludf.DUMMYFUNCTION("IF(Z45 = """", """", GOOGLETRANSLATE(Z45, ""en"", ""te""))"),"రోజు అదృష్టం లేదు")</f>
        <v>రోజు అదృష్టం లేదు</v>
      </c>
      <c r="AW45" s="5" t="str">
        <f ca="1">IFERROR(__xludf.DUMMYFUNCTION("IF(AA45 = """", """", GOOGLETRANSLATE(AA45, ""en"", ""te""))"),"బహుళ ప్రణాళికలను ఉంచండి")</f>
        <v>బహుళ ప్రణాళికలను ఉంచండి</v>
      </c>
      <c r="AX45" s="5" t="str">
        <f ca="1">IFERROR(__xludf.DUMMYFUNCTION("IF(AB45 = """", """", GOOGLETRANSLATE(AB45, ""en"", ""te""))"),"")</f>
        <v/>
      </c>
    </row>
    <row r="46" spans="1:50" x14ac:dyDescent="0.25">
      <c r="A46" s="1">
        <v>52</v>
      </c>
      <c r="B46" s="1" t="s">
        <v>56</v>
      </c>
      <c r="C46" s="6">
        <v>45826</v>
      </c>
      <c r="D46" s="6">
        <v>45826</v>
      </c>
      <c r="E46" s="1">
        <v>10</v>
      </c>
      <c r="F46" s="1">
        <v>1</v>
      </c>
      <c r="G46" s="3" t="s">
        <v>191</v>
      </c>
      <c r="H46" s="4">
        <v>1.1516203703703704E-2</v>
      </c>
      <c r="I46" s="7" t="s">
        <v>217</v>
      </c>
      <c r="J46" s="7" t="s">
        <v>221</v>
      </c>
      <c r="K46" s="1" t="s">
        <v>58</v>
      </c>
      <c r="L46" s="1" t="s">
        <v>76</v>
      </c>
      <c r="M46" s="1" t="s">
        <v>14</v>
      </c>
      <c r="O46" s="1" t="s">
        <v>91</v>
      </c>
      <c r="P46" s="1" t="s">
        <v>61</v>
      </c>
      <c r="Q46" s="1" t="s">
        <v>61</v>
      </c>
      <c r="R46" s="1" t="s">
        <v>61</v>
      </c>
      <c r="S46" s="1" t="s">
        <v>61</v>
      </c>
      <c r="T46" s="1" t="s">
        <v>61</v>
      </c>
      <c r="V46" s="1" t="s">
        <v>61</v>
      </c>
      <c r="W46" s="1" t="s">
        <v>61</v>
      </c>
      <c r="X46" s="1" t="s">
        <v>61</v>
      </c>
      <c r="Y46" s="1" t="s">
        <v>222</v>
      </c>
      <c r="Z46" s="1" t="s">
        <v>223</v>
      </c>
      <c r="AB46" s="1"/>
      <c r="AC46" s="5" t="str">
        <f ca="1">IFERROR(__xludf.DUMMYFUNCTION("IF(Y46 = """", """", GOOGLETRANSLATE(Y46, ""en"", ""hi""))
"),"लंबित कार्यों को समाप्त करने के लिए अच्छा दिन")</f>
        <v>लंबित कार्यों को समाप्त करने के लिए अच्छा दिन</v>
      </c>
      <c r="AD46" s="5" t="str">
        <f ca="1">IFERROR(__xludf.DUMMYFUNCTION("IF(Z46 = """", """", GOOGLETRANSLATE(Z46, ""en"", ""hi""))"),"पारिवारिक समारोहों या समारोहों में खर्च करना")</f>
        <v>पारिवारिक समारोहों या समारोहों में खर्च करना</v>
      </c>
      <c r="AE46" s="5" t="str">
        <f ca="1">IFERROR(__xludf.DUMMYFUNCTION("IF(AA46 = """", """", GOOGLETRANSLATE(AA46, ""en"", ""hi""))"),"")</f>
        <v/>
      </c>
      <c r="AF46" s="5" t="str">
        <f ca="1">IFERROR(__xludf.DUMMYFUNCTION("IF(AB46 = """", """", GOOGLETRANSLATE(AB46, ""en"", ""hi""))"),"")</f>
        <v/>
      </c>
      <c r="AG46" s="5" t="str">
        <f ca="1">IFERROR(__xludf.DUMMYFUNCTION("IF(Y46 = """", """", GOOGLETRANSLATE(Y46, ""en"", ""mr""))"),"प्रलंबित कामे पूर्ण करण्यासाठी चांगला दिवस")</f>
        <v>प्रलंबित कामे पूर्ण करण्यासाठी चांगला दिवस</v>
      </c>
      <c r="AH46" s="5" t="str">
        <f ca="1">IFERROR(__xludf.DUMMYFUNCTION("IF(Z46 = """", """", GOOGLETRANSLATE(Z46, ""en"", ""mr""))"),"कौटुंबिक एकत्र येणे किंवा कार्ये मध्ये खर्च")</f>
        <v>कौटुंबिक एकत्र येणे किंवा कार्ये मध्ये खर्च</v>
      </c>
      <c r="AI46" s="5" t="str">
        <f ca="1">IFERROR(__xludf.DUMMYFUNCTION("IF(AA46 = """", """", GOOGLETRANSLATE(AA46, ""en"", ""mr""))"),"")</f>
        <v/>
      </c>
      <c r="AJ46" s="5" t="str">
        <f ca="1">IFERROR(__xludf.DUMMYFUNCTION("IF(AB46 = """", """", GOOGLETRANSLATE(AB46, ""en"", ""mr""))"),"")</f>
        <v/>
      </c>
      <c r="AK46" s="5" t="str">
        <f ca="1">IFERROR(__xludf.DUMMYFUNCTION("IF(Y46 = """", """", GOOGLETRANSLATE(Y46, ""en"", ""gu""))"),"અટકેલા કાર્યો પૂરા કરવા માટે સારો દિવસ")</f>
        <v>અટકેલા કાર્યો પૂરા કરવા માટે સારો દિવસ</v>
      </c>
      <c r="AL46" s="5" t="str">
        <f ca="1">IFERROR(__xludf.DUMMYFUNCTION("IF(Z46 = """", """", GOOGLETRANSLATE(Z46, ""en"", ""gu""))"),"કૌટુંબિક મેળાવડા અથવા કાર્યોમાં ખર્ચ કરવો")</f>
        <v>કૌટુંબિક મેળાવડા અથવા કાર્યોમાં ખર્ચ કરવો</v>
      </c>
      <c r="AM46" s="5" t="str">
        <f ca="1">IFERROR(__xludf.DUMMYFUNCTION("IF(AA46 = """", """", GOOGLETRANSLATE(AA46, ""en"", ""gu""))"),"")</f>
        <v/>
      </c>
      <c r="AN46" s="5" t="str">
        <f ca="1">IFERROR(__xludf.DUMMYFUNCTION("IF(AB46 = """", """", GOOGLETRANSLATE(AB46, ""en"", ""gu""))"),"")</f>
        <v/>
      </c>
      <c r="AO46" s="5" t="str">
        <f ca="1">IFERROR(__xludf.DUMMYFUNCTION("IF(Y46 = """", """", GOOGLETRANSLATE(Y46, ""en"", ""bn""))"),"অমীমাংসিত কাজ শেষ করার জন্য শুভ দিন")</f>
        <v>অমীমাংসিত কাজ শেষ করার জন্য শুভ দিন</v>
      </c>
      <c r="AP46" s="5" t="str">
        <f ca="1">IFERROR(__xludf.DUMMYFUNCTION("IF(Z46 = """", """", GOOGLETRANSLATE(Z46, ""en"", ""bn""))"),"পারিবারিক গেটগেদার বা ফাংশনে খরচ করা")</f>
        <v>পারিবারিক গেটগেদার বা ফাংশনে খরচ করা</v>
      </c>
      <c r="AQ46" s="5" t="str">
        <f ca="1">IFERROR(__xludf.DUMMYFUNCTION("IF(AA46 = """", """", GOOGLETRANSLATE(AA46, ""en"", ""bn""))"),"")</f>
        <v/>
      </c>
      <c r="AR46" s="5" t="str">
        <f ca="1">IFERROR(__xludf.DUMMYFUNCTION("IF(AB46 = """", """", GOOGLETRANSLATE(AB46, ""en"", ""bn""))"),"")</f>
        <v/>
      </c>
      <c r="AS46" s="1" t="s">
        <v>62</v>
      </c>
      <c r="AT46" s="1" t="s">
        <v>94</v>
      </c>
      <c r="AU46" s="5" t="str">
        <f ca="1">IFERROR(__xludf.DUMMYFUNCTION("IF(Y46 = """", """", GOOGLETRANSLATE(Y46, ""en"", ""te""))"),"పెండింగ్ పనులను ముగించడానికి మంచి రోజు")</f>
        <v>పెండింగ్ పనులను ముగించడానికి మంచి రోజు</v>
      </c>
      <c r="AV46" s="5" t="str">
        <f ca="1">IFERROR(__xludf.DUMMYFUNCTION("IF(Z46 = """", """", GOOGLETRANSLATE(Z46, ""en"", ""te""))"),"కుటుంబ కలయిక లేదా ఫంక్షన్లలో ఖర్చు చేయడం")</f>
        <v>కుటుంబ కలయిక లేదా ఫంక్షన్లలో ఖర్చు చేయడం</v>
      </c>
      <c r="AW46" s="5" t="str">
        <f ca="1">IFERROR(__xludf.DUMMYFUNCTION("IF(AA46 = """", """", GOOGLETRANSLATE(AA46, ""en"", ""te""))"),"")</f>
        <v/>
      </c>
      <c r="AX46" s="5" t="str">
        <f ca="1">IFERROR(__xludf.DUMMYFUNCTION("IF(AB46 = """", """", GOOGLETRANSLATE(AB46, ""en"", ""te""))"),"")</f>
        <v/>
      </c>
    </row>
    <row r="47" spans="1:50" x14ac:dyDescent="0.25">
      <c r="A47" s="1">
        <v>53</v>
      </c>
      <c r="B47" s="1" t="s">
        <v>56</v>
      </c>
      <c r="C47" s="6">
        <v>45826</v>
      </c>
      <c r="D47" s="6">
        <v>45826</v>
      </c>
      <c r="E47" s="1">
        <v>11</v>
      </c>
      <c r="F47" s="1">
        <v>1</v>
      </c>
      <c r="G47" s="3" t="s">
        <v>191</v>
      </c>
      <c r="H47" s="4">
        <v>1.1516203703703704E-2</v>
      </c>
      <c r="I47" s="7" t="s">
        <v>221</v>
      </c>
      <c r="J47" s="4">
        <v>8.6805555555555559E-3</v>
      </c>
      <c r="K47" s="1" t="s">
        <v>58</v>
      </c>
      <c r="L47" s="1" t="s">
        <v>79</v>
      </c>
      <c r="O47" s="1" t="s">
        <v>61</v>
      </c>
      <c r="P47" s="1" t="s">
        <v>61</v>
      </c>
      <c r="Q47" s="1" t="s">
        <v>61</v>
      </c>
      <c r="R47" s="1" t="s">
        <v>61</v>
      </c>
      <c r="S47" s="1" t="s">
        <v>61</v>
      </c>
      <c r="T47" s="1" t="s">
        <v>61</v>
      </c>
      <c r="V47" s="1" t="s">
        <v>61</v>
      </c>
      <c r="W47" s="1" t="s">
        <v>61</v>
      </c>
      <c r="X47" s="1" t="s">
        <v>61</v>
      </c>
      <c r="Y47" s="1" t="s">
        <v>224</v>
      </c>
      <c r="Z47" s="1" t="s">
        <v>225</v>
      </c>
      <c r="AB47" s="1"/>
      <c r="AC47" s="5" t="str">
        <f ca="1">IFERROR(__xludf.DUMMYFUNCTION("IF(Y47 = """", """", GOOGLETRANSLATE(Y47, ""en"", ""hi""))
"),"अधिक प्रयास और कार्यभार")</f>
        <v>अधिक प्रयास और कार्यभार</v>
      </c>
      <c r="AD47" s="5" t="str">
        <f ca="1">IFERROR(__xludf.DUMMYFUNCTION("IF(Z47 = """", """", GOOGLETRANSLATE(Z47, ""en"", ""hi""))"),"प्रयासों का परिणाम मिलेगा")</f>
        <v>प्रयासों का परिणाम मिलेगा</v>
      </c>
      <c r="AE47" s="5" t="str">
        <f ca="1">IFERROR(__xludf.DUMMYFUNCTION("IF(AA47 = """", """", GOOGLETRANSLATE(AA47, ""en"", ""hi""))"),"")</f>
        <v/>
      </c>
      <c r="AF47" s="5" t="str">
        <f ca="1">IFERROR(__xludf.DUMMYFUNCTION("IF(AB47 = """", """", GOOGLETRANSLATE(AB47, ""en"", ""hi""))"),"")</f>
        <v/>
      </c>
      <c r="AG47" s="5" t="str">
        <f ca="1">IFERROR(__xludf.DUMMYFUNCTION("IF(Y47 = """", """", GOOGLETRANSLATE(Y47, ""en"", ""mr""))"),"अधिक मेहनत आणि कामाचा ताण")</f>
        <v>अधिक मेहनत आणि कामाचा ताण</v>
      </c>
      <c r="AH47" s="5" t="str">
        <f ca="1">IFERROR(__xludf.DUMMYFUNCTION("IF(Z47 = """", """", GOOGLETRANSLATE(Z47, ""en"", ""mr""))"),"प्रयत्नांचे फळ मिळेल")</f>
        <v>प्रयत्नांचे फळ मिळेल</v>
      </c>
      <c r="AI47" s="5" t="str">
        <f ca="1">IFERROR(__xludf.DUMMYFUNCTION("IF(AA47 = """", """", GOOGLETRANSLATE(AA47, ""en"", ""mr""))"),"")</f>
        <v/>
      </c>
      <c r="AJ47" s="5" t="str">
        <f ca="1">IFERROR(__xludf.DUMMYFUNCTION("IF(AB47 = """", """", GOOGLETRANSLATE(AB47, ""en"", ""mr""))"),"")</f>
        <v/>
      </c>
      <c r="AK47" s="5" t="str">
        <f ca="1">IFERROR(__xludf.DUMMYFUNCTION("IF(Y47 = """", """", GOOGLETRANSLATE(Y47, ""en"", ""gu""))"),"વધુ મહેનત અને કામનું ભારણ")</f>
        <v>વધુ મહેનત અને કામનું ભારણ</v>
      </c>
      <c r="AL47" s="5" t="str">
        <f ca="1">IFERROR(__xludf.DUMMYFUNCTION("IF(Z47 = """", """", GOOGLETRANSLATE(Z47, ""en"", ""gu""))"),"પ્રયત્નોનું પરિણામ મળશે")</f>
        <v>પ્રયત્નોનું પરિણામ મળશે</v>
      </c>
      <c r="AM47" s="5" t="str">
        <f ca="1">IFERROR(__xludf.DUMMYFUNCTION("IF(AA47 = """", """", GOOGLETRANSLATE(AA47, ""en"", ""gu""))"),"")</f>
        <v/>
      </c>
      <c r="AN47" s="5" t="str">
        <f ca="1">IFERROR(__xludf.DUMMYFUNCTION("IF(AB47 = """", """", GOOGLETRANSLATE(AB47, ""en"", ""gu""))"),"")</f>
        <v/>
      </c>
      <c r="AO47" s="5" t="str">
        <f ca="1">IFERROR(__xludf.DUMMYFUNCTION("IF(Y47 = """", """", GOOGLETRANSLATE(Y47, ""en"", ""bn""))"),"আরো প্রচেষ্টা এবং কাজের চাপ")</f>
        <v>আরো প্রচেষ্টা এবং কাজের চাপ</v>
      </c>
      <c r="AP47" s="5" t="str">
        <f ca="1">IFERROR(__xludf.DUMMYFUNCTION("IF(Z47 = """", """", GOOGLETRANSLATE(Z47, ""en"", ""bn""))"),"প্রচেষ্টার ফল পাবেন")</f>
        <v>প্রচেষ্টার ফল পাবেন</v>
      </c>
      <c r="AQ47" s="5" t="str">
        <f ca="1">IFERROR(__xludf.DUMMYFUNCTION("IF(AA47 = """", """", GOOGLETRANSLATE(AA47, ""en"", ""bn""))"),"")</f>
        <v/>
      </c>
      <c r="AR47" s="5" t="str">
        <f ca="1">IFERROR(__xludf.DUMMYFUNCTION("IF(AB47 = """", """", GOOGLETRANSLATE(AB47, ""en"", ""bn""))"),"")</f>
        <v/>
      </c>
      <c r="AS47" s="1" t="s">
        <v>62</v>
      </c>
      <c r="AT47" s="1" t="s">
        <v>94</v>
      </c>
      <c r="AU47" s="5" t="str">
        <f ca="1">IFERROR(__xludf.DUMMYFUNCTION("IF(Y47 = """", """", GOOGLETRANSLATE(Y47, ""en"", ""te""))"),"ఎక్కువ శ్రమ మరియు పనిభారం")</f>
        <v>ఎక్కువ శ్రమ మరియు పనిభారం</v>
      </c>
      <c r="AV47" s="5" t="str">
        <f ca="1">IFERROR(__xludf.DUMMYFUNCTION("IF(Z47 = """", """", GOOGLETRANSLATE(Z47, ""en"", ""te""))"),"ప్రయత్నాలకు ఫలితం లభిస్తుంది")</f>
        <v>ప్రయత్నాలకు ఫలితం లభిస్తుంది</v>
      </c>
      <c r="AW47" s="5" t="str">
        <f ca="1">IFERROR(__xludf.DUMMYFUNCTION("IF(AA47 = """", """", GOOGLETRANSLATE(AA47, ""en"", ""te""))"),"")</f>
        <v/>
      </c>
      <c r="AX47" s="5" t="str">
        <f ca="1">IFERROR(__xludf.DUMMYFUNCTION("IF(AB47 = """", """", GOOGLETRANSLATE(AB47, ""en"", ""te""))"),"")</f>
        <v/>
      </c>
    </row>
    <row r="48" spans="1:50" x14ac:dyDescent="0.25">
      <c r="A48" s="1">
        <v>60</v>
      </c>
      <c r="B48" s="1" t="s">
        <v>56</v>
      </c>
      <c r="C48" s="8">
        <v>45827</v>
      </c>
      <c r="D48" s="8">
        <v>45827</v>
      </c>
      <c r="E48" s="1">
        <v>4</v>
      </c>
      <c r="F48" s="1">
        <v>1</v>
      </c>
      <c r="G48" s="3" t="s">
        <v>226</v>
      </c>
      <c r="H48" s="4">
        <v>1.1759259259259259E-2</v>
      </c>
      <c r="I48" s="7" t="s">
        <v>227</v>
      </c>
      <c r="J48" s="7" t="s">
        <v>228</v>
      </c>
      <c r="K48" s="1" t="s">
        <v>58</v>
      </c>
      <c r="L48" s="1" t="s">
        <v>102</v>
      </c>
      <c r="M48" s="1" t="s">
        <v>14</v>
      </c>
      <c r="O48" s="1" t="s">
        <v>61</v>
      </c>
      <c r="P48" s="1" t="s">
        <v>61</v>
      </c>
      <c r="Q48" s="1" t="s">
        <v>61</v>
      </c>
      <c r="R48" s="1" t="s">
        <v>61</v>
      </c>
      <c r="S48" s="1" t="s">
        <v>61</v>
      </c>
      <c r="T48" s="1" t="s">
        <v>61</v>
      </c>
      <c r="V48" s="1" t="s">
        <v>61</v>
      </c>
      <c r="W48" s="1" t="s">
        <v>61</v>
      </c>
      <c r="X48" s="1" t="s">
        <v>61</v>
      </c>
      <c r="Y48" s="1" t="s">
        <v>229</v>
      </c>
      <c r="Z48" s="1" t="s">
        <v>230</v>
      </c>
      <c r="AA48" s="1" t="s">
        <v>231</v>
      </c>
      <c r="AB48" s="1" t="s">
        <v>232</v>
      </c>
      <c r="AC48" s="5" t="str">
        <f ca="1">IFERROR(__xludf.DUMMYFUNCTION("IF(Y48 = """", """", GOOGLETRANSLATE(Y48, ""en"", ""hi""))
"),"विदेशी मामलों और वित्तीय लेन-देन के लिए अनुकूल।")</f>
        <v>विदेशी मामलों और वित्तीय लेन-देन के लिए अनुकूल।</v>
      </c>
      <c r="AD48" s="5" t="str">
        <f ca="1">IFERROR(__xludf.DUMMYFUNCTION("IF(Z48 = """", """", GOOGLETRANSLATE(Z48, ""en"", ""hi""))"),"भावनात्मक वित्तीय निर्णय लेने से बचें।")</f>
        <v>भावनात्मक वित्तीय निर्णय लेने से बचें।</v>
      </c>
      <c r="AE48" s="5" t="str">
        <f ca="1">IFERROR(__xludf.DUMMYFUNCTION("IF(AA48 = """", """", GOOGLETRANSLATE(AA48, ""en"", ""hi""))"),"अनियोजित व्यय या मामूली चोट संभव है।")</f>
        <v>अनियोजित व्यय या मामूली चोट संभव है।</v>
      </c>
      <c r="AF48" s="5" t="str">
        <f ca="1">IFERROR(__xludf.DUMMYFUNCTION("IF(AB48 = """", """", GOOGLETRANSLATE(AB48, ""en"", ""hi""))"),"ध्यान से चलाएं।")</f>
        <v>ध्यान से चलाएं।</v>
      </c>
      <c r="AG48" s="5" t="str">
        <f ca="1">IFERROR(__xludf.DUMMYFUNCTION("IF(Y48 = """", """", GOOGLETRANSLATE(Y48, ""en"", ""mr""))"),"परराष्ट्र व्यवहार आणि आर्थिक व्यवहारासाठी अनुकूल.")</f>
        <v>परराष्ट्र व्यवहार आणि आर्थिक व्यवहारासाठी अनुकूल.</v>
      </c>
      <c r="AH48" s="5" t="str">
        <f ca="1">IFERROR(__xludf.DUMMYFUNCTION("IF(Z48 = """", """", GOOGLETRANSLATE(Z48, ""en"", ""mr""))"),"भावनिक आर्थिक निर्णय टाळा.")</f>
        <v>भावनिक आर्थिक निर्णय टाळा.</v>
      </c>
      <c r="AI48" s="5" t="str">
        <f ca="1">IFERROR(__xludf.DUMMYFUNCTION("IF(AA48 = """", """", GOOGLETRANSLATE(AA48, ""en"", ""mr""))"),"संभाव्य अनियोजित खर्च किंवा किरकोळ दुखापत.")</f>
        <v>संभाव्य अनियोजित खर्च किंवा किरकोळ दुखापत.</v>
      </c>
      <c r="AJ48" s="5" t="str">
        <f ca="1">IFERROR(__xludf.DUMMYFUNCTION("IF(AB48 = """", """", GOOGLETRANSLATE(AB48, ""en"", ""mr""))"),"जपून चालवा.")</f>
        <v>जपून चालवा.</v>
      </c>
      <c r="AK48" s="5" t="str">
        <f ca="1">IFERROR(__xludf.DUMMYFUNCTION("IF(Y48 = """", """", GOOGLETRANSLATE(Y48, ""en"", ""gu""))"),"વિદેશી બાબતો અને નાણાકીય વ્યવહારો માટે અનુકૂળ.")</f>
        <v>વિદેશી બાબતો અને નાણાકીય વ્યવહારો માટે અનુકૂળ.</v>
      </c>
      <c r="AL48" s="5" t="str">
        <f ca="1">IFERROR(__xludf.DUMMYFUNCTION("IF(Z48 = """", """", GOOGLETRANSLATE(Z48, ""en"", ""gu""))"),"ભાવનાત્મક નાણાકીય નિર્ણયો ટાળો.")</f>
        <v>ભાવનાત્મક નાણાકીય નિર્ણયો ટાળો.</v>
      </c>
      <c r="AM48" s="5" t="str">
        <f ca="1">IFERROR(__xludf.DUMMYFUNCTION("IF(AA48 = """", """", GOOGLETRANSLATE(AA48, ""en"", ""gu""))"),"સંભવિત બિનઆયોજિત ખર્ચ અથવા નાની ઈજા.")</f>
        <v>સંભવિત બિનઆયોજિત ખર્ચ અથવા નાની ઈજા.</v>
      </c>
      <c r="AN48" s="5" t="str">
        <f ca="1">IFERROR(__xludf.DUMMYFUNCTION("IF(AB48 = """", """", GOOGLETRANSLATE(AB48, ""en"", ""gu""))"),"કાળજીપૂર્વક વાહન ચલાવો.")</f>
        <v>કાળજીપૂર્વક વાહન ચલાવો.</v>
      </c>
      <c r="AO48" s="5" t="str">
        <f ca="1">IFERROR(__xludf.DUMMYFUNCTION("IF(Y48 = """", """", GOOGLETRANSLATE(Y48, ""en"", ""bn""))"),"বৈদেশিক বিষয় এবং আর্থিক লেনদেনের জন্য অনুকূল।")</f>
        <v>বৈদেশিক বিষয় এবং আর্থিক লেনদেনের জন্য অনুকূল।</v>
      </c>
      <c r="AP48" s="5" t="str">
        <f ca="1">IFERROR(__xludf.DUMMYFUNCTION("IF(Z48 = """", """", GOOGLETRANSLATE(Z48, ""en"", ""bn""))"),"মানসিক আর্থিক সিদ্ধান্ত এড়িয়ে চলুন।")</f>
        <v>মানসিক আর্থিক সিদ্ধান্ত এড়িয়ে চলুন।</v>
      </c>
      <c r="AQ48" s="5" t="str">
        <f ca="1">IFERROR(__xludf.DUMMYFUNCTION("IF(AA48 = """", """", GOOGLETRANSLATE(AA48, ""en"", ""bn""))"),"সম্ভাব্য অপরিকল্পিত খরচ বা ছোটখাটো আঘাত।")</f>
        <v>সম্ভাব্য অপরিকল্পিত খরচ বা ছোটখাটো আঘাত।</v>
      </c>
      <c r="AR48" s="5" t="str">
        <f ca="1">IFERROR(__xludf.DUMMYFUNCTION("IF(AB48 = """", """", GOOGLETRANSLATE(AB48, ""en"", ""bn""))"),"সাবধানে চালান।")</f>
        <v>সাবধানে চালান।</v>
      </c>
      <c r="AS48" s="1" t="s">
        <v>62</v>
      </c>
      <c r="AT48" s="1" t="s">
        <v>94</v>
      </c>
      <c r="AU48" s="5" t="str">
        <f ca="1">IFERROR(__xludf.DUMMYFUNCTION("IF(Y48 = """", """", GOOGLETRANSLATE(Y48, ""en"", ""te""))"),"విదేశీ వ్యవహారాలు, ఆర్థిక వ్యవహారాలకు అనుకూలం.")</f>
        <v>విదేశీ వ్యవహారాలు, ఆర్థిక వ్యవహారాలకు అనుకూలం.</v>
      </c>
      <c r="AV48" s="5" t="str">
        <f ca="1">IFERROR(__xludf.DUMMYFUNCTION("IF(Z48 = """", """", GOOGLETRANSLATE(Z48, ""en"", ""te""))"),"భావోద్వేగ ఆర్థిక నిర్ణయాలకు దూరంగా ఉండండి.")</f>
        <v>భావోద్వేగ ఆర్థిక నిర్ణయాలకు దూరంగా ఉండండి.</v>
      </c>
      <c r="AW48" s="5" t="str">
        <f ca="1">IFERROR(__xludf.DUMMYFUNCTION("IF(AA48 = """", """", GOOGLETRANSLATE(AA48, ""en"", ""te""))"),"సాధ్యమైన ప్రణాళిక లేని ఖర్చులు లేదా చిన్న గాయం.")</f>
        <v>సాధ్యమైన ప్రణాళిక లేని ఖర్చులు లేదా చిన్న గాయం.</v>
      </c>
      <c r="AX48" s="5" t="str">
        <f ca="1">IFERROR(__xludf.DUMMYFUNCTION("IF(AB48 = """", """", GOOGLETRANSLATE(AB48, ""en"", ""te""))"),"జాగ్రత్తగా డ్రైవ్ చేయండి.")</f>
        <v>జాగ్రత్తగా డ్రైవ్ చేయండి.</v>
      </c>
    </row>
    <row r="49" spans="1:50" x14ac:dyDescent="0.25">
      <c r="A49" s="1">
        <v>61</v>
      </c>
      <c r="B49" s="1" t="s">
        <v>56</v>
      </c>
      <c r="C49" s="8">
        <v>45827</v>
      </c>
      <c r="D49" s="8">
        <v>45827</v>
      </c>
      <c r="E49" s="1">
        <v>5</v>
      </c>
      <c r="F49" s="1">
        <v>1</v>
      </c>
      <c r="G49" s="3" t="s">
        <v>226</v>
      </c>
      <c r="H49" s="4">
        <v>1.1759259259259259E-2</v>
      </c>
      <c r="I49" s="7" t="s">
        <v>228</v>
      </c>
      <c r="J49" s="7" t="s">
        <v>233</v>
      </c>
      <c r="K49" s="1" t="s">
        <v>58</v>
      </c>
      <c r="L49" s="1" t="s">
        <v>108</v>
      </c>
      <c r="M49" s="1" t="s">
        <v>19</v>
      </c>
      <c r="O49" s="1" t="s">
        <v>61</v>
      </c>
      <c r="P49" s="1" t="s">
        <v>61</v>
      </c>
      <c r="Q49" s="1" t="s">
        <v>61</v>
      </c>
      <c r="R49" s="1" t="s">
        <v>61</v>
      </c>
      <c r="S49" s="1" t="s">
        <v>61</v>
      </c>
      <c r="T49" s="1" t="s">
        <v>61</v>
      </c>
      <c r="V49" s="1" t="s">
        <v>61</v>
      </c>
      <c r="W49" s="1" t="s">
        <v>61</v>
      </c>
      <c r="X49" s="1" t="s">
        <v>61</v>
      </c>
      <c r="Y49" s="1" t="s">
        <v>234</v>
      </c>
      <c r="Z49" s="1" t="s">
        <v>235</v>
      </c>
      <c r="AA49" s="1" t="s">
        <v>236</v>
      </c>
      <c r="AB49" s="1"/>
      <c r="AC49" s="5" t="str">
        <f ca="1">IFERROR(__xludf.DUMMYFUNCTION("IF(Y49 = """", """", GOOGLETRANSLATE(Y49, ""en"", ""hi""))
"),"अचानक व्यवधान या असफलता की संभावना।")</f>
        <v>अचानक व्यवधान या असफलता की संभावना।</v>
      </c>
      <c r="AD49" s="5" t="str">
        <f ca="1">IFERROR(__xludf.DUMMYFUNCTION("IF(Z49 = """", """", GOOGLETRANSLATE(Z49, ""en"", ""hi""))"),"वाहन सावधानीपूर्वक चलाएं, अधिक शारीरिक परिश्रम से बचें।")</f>
        <v>वाहन सावधानीपूर्वक चलाएं, अधिक शारीरिक परिश्रम से बचें।</v>
      </c>
      <c r="AE49" s="5" t="str">
        <f ca="1">IFERROR(__xludf.DUMMYFUNCTION("IF(AA49 = """", """", GOOGLETRANSLATE(AA49, ""en"", ""hi""))"),"शांत और संयमित रहें।")</f>
        <v>शांत और संयमित रहें।</v>
      </c>
      <c r="AF49" s="5" t="str">
        <f ca="1">IFERROR(__xludf.DUMMYFUNCTION("IF(AB49 = """", """", GOOGLETRANSLATE(AB49, ""en"", ""hi""))"),"")</f>
        <v/>
      </c>
      <c r="AG49" s="5" t="str">
        <f ca="1">IFERROR(__xludf.DUMMYFUNCTION("IF(Y49 = """", """", GOOGLETRANSLATE(Y49, ""en"", ""mr""))"),"अचानक व्यत्यय किंवा अडथळे संभवतात.")</f>
        <v>अचानक व्यत्यय किंवा अडथळे संभवतात.</v>
      </c>
      <c r="AH49" s="5" t="str">
        <f ca="1">IFERROR(__xludf.DUMMYFUNCTION("IF(Z49 = """", """", GOOGLETRANSLATE(Z49, ""en"", ""mr""))"),"काळजीपूर्वक वाहन चालवा, मोठे शारीरिक श्रम टाळा.")</f>
        <v>काळजीपूर्वक वाहन चालवा, मोठे शारीरिक श्रम टाळा.</v>
      </c>
      <c r="AI49" s="5" t="str">
        <f ca="1">IFERROR(__xludf.DUMMYFUNCTION("IF(AA49 = """", """", GOOGLETRANSLATE(AA49, ""en"", ""mr""))"),"शांत आणि संयमित राहा.")</f>
        <v>शांत आणि संयमित राहा.</v>
      </c>
      <c r="AJ49" s="5" t="str">
        <f ca="1">IFERROR(__xludf.DUMMYFUNCTION("IF(AB49 = """", """", GOOGLETRANSLATE(AB49, ""en"", ""mr""))"),"")</f>
        <v/>
      </c>
      <c r="AK49" s="5" t="str">
        <f ca="1">IFERROR(__xludf.DUMMYFUNCTION("IF(Y49 = """", """", GOOGLETRANSLATE(Y49, ""en"", ""gu""))"),"અચાનક વિક્ષેપ અથવા આંચકોની સંભાવના.")</f>
        <v>અચાનક વિક્ષેપ અથવા આંચકોની સંભાવના.</v>
      </c>
      <c r="AL49" s="5" t="str">
        <f ca="1">IFERROR(__xludf.DUMMYFUNCTION("IF(Z49 = """", """", GOOGLETRANSLATE(Z49, ""en"", ""gu""))"),"કાળજીપૂર્વક વાહન ચલાવો, મોટા શારીરિક શ્રમ ટાળો.")</f>
        <v>કાળજીપૂર્વક વાહન ચલાવો, મોટા શારીરિક શ્રમ ટાળો.</v>
      </c>
      <c r="AM49" s="5" t="str">
        <f ca="1">IFERROR(__xludf.DUMMYFUNCTION("IF(AA49 = """", """", GOOGLETRANSLATE(AA49, ""en"", ""gu""))"),"શાંત અને કંપોઝ રહો.")</f>
        <v>શાંત અને કંપોઝ રહો.</v>
      </c>
      <c r="AN49" s="5" t="str">
        <f ca="1">IFERROR(__xludf.DUMMYFUNCTION("IF(AB49 = """", """", GOOGLETRANSLATE(AB49, ""en"", ""gu""))"),"")</f>
        <v/>
      </c>
      <c r="AO49" s="5" t="str">
        <f ca="1">IFERROR(__xludf.DUMMYFUNCTION("IF(Y49 = """", """", GOOGLETRANSLATE(Y49, ""en"", ""bn""))"),"হঠাৎ বাধা বা বিপত্তির সম্ভাবনা।")</f>
        <v>হঠাৎ বাধা বা বিপত্তির সম্ভাবনা।</v>
      </c>
      <c r="AP49" s="5" t="str">
        <f ca="1">IFERROR(__xludf.DUMMYFUNCTION("IF(Z49 = """", """", GOOGLETRANSLATE(Z49, ""en"", ""bn""))"),"সাবধানে গাড়ি চালান, বড় শারীরিক পরিশ্রম এড়িয়ে চলুন।")</f>
        <v>সাবধানে গাড়ি চালান, বড় শারীরিক পরিশ্রম এড়িয়ে চলুন।</v>
      </c>
      <c r="AQ49" s="5" t="str">
        <f ca="1">IFERROR(__xludf.DUMMYFUNCTION("IF(AA49 = """", """", GOOGLETRANSLATE(AA49, ""en"", ""bn""))"),"শান্ত এবং সংযত থাকুন।")</f>
        <v>শান্ত এবং সংযত থাকুন।</v>
      </c>
      <c r="AR49" s="5" t="str">
        <f ca="1">IFERROR(__xludf.DUMMYFUNCTION("IF(AB49 = """", """", GOOGLETRANSLATE(AB49, ""en"", ""bn""))"),"")</f>
        <v/>
      </c>
      <c r="AS49" s="1" t="s">
        <v>62</v>
      </c>
      <c r="AT49" s="1" t="s">
        <v>94</v>
      </c>
      <c r="AU49" s="5" t="str">
        <f ca="1">IFERROR(__xludf.DUMMYFUNCTION("IF(Y49 = """", """", GOOGLETRANSLATE(Y49, ""en"", ""te""))"),"ఆకస్మిక ఆటంకాలు లేదా ఎదురుదెబ్బలు వచ్చే అవకాశం ఉంది.")</f>
        <v>ఆకస్మిక ఆటంకాలు లేదా ఎదురుదెబ్బలు వచ్చే అవకాశం ఉంది.</v>
      </c>
      <c r="AV49" s="5" t="str">
        <f ca="1">IFERROR(__xludf.DUMMYFUNCTION("IF(Z49 = """", """", GOOGLETRANSLATE(Z49, ""en"", ""te""))"),"జాగ్రత్తగా డ్రైవ్ చేయండి, పెద్ద శారీరక శ్రమను నివారించండి.")</f>
        <v>జాగ్రత్తగా డ్రైవ్ చేయండి, పెద్ద శారీరక శ్రమను నివారించండి.</v>
      </c>
      <c r="AW49" s="5" t="str">
        <f ca="1">IFERROR(__xludf.DUMMYFUNCTION("IF(AA49 = """", """", GOOGLETRANSLATE(AA49, ""en"", ""te""))"),"ప్రశాంతంగా మరియు కూర్చోండి.")</f>
        <v>ప్రశాంతంగా మరియు కూర్చోండి.</v>
      </c>
      <c r="AX49" s="5" t="str">
        <f ca="1">IFERROR(__xludf.DUMMYFUNCTION("IF(AB49 = """", """", GOOGLETRANSLATE(AB49, ""en"", ""te""))"),"")</f>
        <v/>
      </c>
    </row>
    <row r="50" spans="1:50" x14ac:dyDescent="0.25">
      <c r="A50" s="1">
        <v>62</v>
      </c>
      <c r="B50" s="1" t="s">
        <v>56</v>
      </c>
      <c r="C50" s="8">
        <v>45827</v>
      </c>
      <c r="D50" s="8">
        <v>45827</v>
      </c>
      <c r="E50" s="1">
        <v>6</v>
      </c>
      <c r="F50" s="1">
        <v>1</v>
      </c>
      <c r="G50" s="3" t="s">
        <v>226</v>
      </c>
      <c r="H50" s="4">
        <v>1.1759259259259259E-2</v>
      </c>
      <c r="I50" s="7" t="s">
        <v>233</v>
      </c>
      <c r="J50" s="7" t="s">
        <v>237</v>
      </c>
      <c r="K50" s="1" t="s">
        <v>58</v>
      </c>
      <c r="L50" s="1" t="s">
        <v>113</v>
      </c>
      <c r="M50" s="1" t="s">
        <v>14</v>
      </c>
      <c r="O50" s="1" t="s">
        <v>61</v>
      </c>
      <c r="P50" s="1" t="s">
        <v>61</v>
      </c>
      <c r="Q50" s="1" t="s">
        <v>61</v>
      </c>
      <c r="R50" s="1" t="s">
        <v>61</v>
      </c>
      <c r="S50" s="1" t="s">
        <v>61</v>
      </c>
      <c r="T50" s="1" t="s">
        <v>61</v>
      </c>
      <c r="V50" s="1" t="s">
        <v>61</v>
      </c>
      <c r="W50" s="1" t="s">
        <v>61</v>
      </c>
      <c r="X50" s="1" t="s">
        <v>61</v>
      </c>
      <c r="Y50" s="1" t="s">
        <v>238</v>
      </c>
      <c r="Z50" s="1" t="s">
        <v>239</v>
      </c>
      <c r="AA50" s="1" t="s">
        <v>240</v>
      </c>
      <c r="AB50" s="1"/>
      <c r="AC50" s="5" t="str">
        <f ca="1">IFERROR(__xludf.DUMMYFUNCTION("IF(Y50 = """", """", GOOGLETRANSLATE(Y50, ""en"", ""hi""))
"),"व्यस्त एवं शारीरिक रूप से थका देने वाला दिन।")</f>
        <v>व्यस्त एवं शारीरिक रूप से थका देने वाला दिन।</v>
      </c>
      <c r="AD50" s="5" t="str">
        <f ca="1">IFERROR(__xludf.DUMMYFUNCTION("IF(Z50 = """", """", GOOGLETRANSLATE(Z50, ""en"", ""hi""))"),"काम का दबाव बहुत अधिक है, लेकिन संतुष्टिदायक है।")</f>
        <v>काम का दबाव बहुत अधिक है, लेकिन संतुष्टिदायक है।</v>
      </c>
      <c r="AE50" s="5" t="str">
        <f ca="1">IFERROR(__xludf.DUMMYFUNCTION("IF(AA50 = """", """", GOOGLETRANSLATE(AA50, ""en"", ""hi""))"),"कार्यों को पूरा करने से संतुष्टि।")</f>
        <v>कार्यों को पूरा करने से संतुष्टि।</v>
      </c>
      <c r="AF50" s="5" t="str">
        <f ca="1">IFERROR(__xludf.DUMMYFUNCTION("IF(AB50 = """", """", GOOGLETRANSLATE(AB50, ""en"", ""hi""))"),"")</f>
        <v/>
      </c>
      <c r="AG50" s="5" t="str">
        <f ca="1">IFERROR(__xludf.DUMMYFUNCTION("IF(Y50 = """", """", GOOGLETRANSLATE(Y50, ""en"", ""mr""))"),"व्यस्त आणि शारीरिकदृष्ट्या थकवणारा दिवस.")</f>
        <v>व्यस्त आणि शारीरिकदृष्ट्या थकवणारा दिवस.</v>
      </c>
      <c r="AH50" s="5" t="str">
        <f ca="1">IFERROR(__xludf.DUMMYFUNCTION("IF(Z50 = """", """", GOOGLETRANSLATE(Z50, ""en"", ""mr""))"),"कामाचा दबाव जास्त आहे, परंतु पूर्ण होईल.")</f>
        <v>कामाचा दबाव जास्त आहे, परंतु पूर्ण होईल.</v>
      </c>
      <c r="AI50" s="5" t="str">
        <f ca="1">IFERROR(__xludf.DUMMYFUNCTION("IF(AA50 = """", """", GOOGLETRANSLATE(AA50, ""en"", ""mr""))"),"कामे पूर्ण केल्याने समाधान मिळेल.")</f>
        <v>कामे पूर्ण केल्याने समाधान मिळेल.</v>
      </c>
      <c r="AJ50" s="5" t="str">
        <f ca="1">IFERROR(__xludf.DUMMYFUNCTION("IF(AB50 = """", """", GOOGLETRANSLATE(AB50, ""en"", ""mr""))"),"")</f>
        <v/>
      </c>
      <c r="AK50" s="5" t="str">
        <f ca="1">IFERROR(__xludf.DUMMYFUNCTION("IF(Y50 = """", """", GOOGLETRANSLATE(Y50, ""en"", ""gu""))"),"વ્યસ્ત અને શારીરિક રીતે થકવી નાખનારો દિવસ.")</f>
        <v>વ્યસ્ત અને શારીરિક રીતે થકવી નાખનારો દિવસ.</v>
      </c>
      <c r="AL50" s="5" t="str">
        <f ca="1">IFERROR(__xludf.DUMMYFUNCTION("IF(Z50 = """", """", GOOGLETRANSLATE(Z50, ""en"", ""gu""))"),"કામનું દબાણ વધારે છે પણ પરિપૂર્ણ.")</f>
        <v>કામનું દબાણ વધારે છે પણ પરિપૂર્ણ.</v>
      </c>
      <c r="AM50" s="5" t="str">
        <f ca="1">IFERROR(__xludf.DUMMYFUNCTION("IF(AA50 = """", """", GOOGLETRANSLATE(AA50, ""en"", ""gu""))"),"કાર્યો પૂર્ણ થવાથી સંતોષ.")</f>
        <v>કાર્યો પૂર્ણ થવાથી સંતોષ.</v>
      </c>
      <c r="AN50" s="5" t="str">
        <f ca="1">IFERROR(__xludf.DUMMYFUNCTION("IF(AB50 = """", """", GOOGLETRANSLATE(AB50, ""en"", ""gu""))"),"")</f>
        <v/>
      </c>
      <c r="AO50" s="5" t="str">
        <f ca="1">IFERROR(__xludf.DUMMYFUNCTION("IF(Y50 = """", """", GOOGLETRANSLATE(Y50, ""en"", ""bn""))"),"ব্যস্ততা ও শারীরিকভাবে ক্লান্তিকর দিন।")</f>
        <v>ব্যস্ততা ও শারীরিকভাবে ক্লান্তিকর দিন।</v>
      </c>
      <c r="AP50" s="5" t="str">
        <f ca="1">IFERROR(__xludf.DUMMYFUNCTION("IF(Z50 = """", """", GOOGLETRANSLATE(Z50, ""en"", ""bn""))"),"উচ্চ কাজের চাপ কিন্তু পূরণ.")</f>
        <v>উচ্চ কাজের চাপ কিন্তু পূরণ.</v>
      </c>
      <c r="AQ50" s="5" t="str">
        <f ca="1">IFERROR(__xludf.DUMMYFUNCTION("IF(AA50 = """", """", GOOGLETRANSLATE(AA50, ""en"", ""bn""))"),"কাজ শেষ করে সন্তুষ্টি।")</f>
        <v>কাজ শেষ করে সন্তুষ্টি।</v>
      </c>
      <c r="AR50" s="5" t="str">
        <f ca="1">IFERROR(__xludf.DUMMYFUNCTION("IF(AB50 = """", """", GOOGLETRANSLATE(AB50, ""en"", ""bn""))"),"")</f>
        <v/>
      </c>
      <c r="AS50" s="1" t="s">
        <v>62</v>
      </c>
      <c r="AT50" s="1" t="s">
        <v>94</v>
      </c>
      <c r="AU50" s="5" t="str">
        <f ca="1">IFERROR(__xludf.DUMMYFUNCTION("IF(Y50 = """", """", GOOGLETRANSLATE(Y50, ""en"", ""te""))"),"బిజీగా మరియు శారీరకంగా అలసిపోయే రోజు.")</f>
        <v>బిజీగా మరియు శారీరకంగా అలసిపోయే రోజు.</v>
      </c>
      <c r="AV50" s="5" t="str">
        <f ca="1">IFERROR(__xludf.DUMMYFUNCTION("IF(Z50 = """", """", GOOGLETRANSLATE(Z50, ""en"", ""te""))"),"అధిక పని ఒత్తిడి కానీ నెరవేరుతుంది.")</f>
        <v>అధిక పని ఒత్తిడి కానీ నెరవేరుతుంది.</v>
      </c>
      <c r="AW50" s="5" t="str">
        <f ca="1">IFERROR(__xludf.DUMMYFUNCTION("IF(AA50 = """", """", GOOGLETRANSLATE(AA50, ""en"", ""te""))"),"పనులు పూర్తి చేసినందుకు సంతృప్తి.")</f>
        <v>పనులు పూర్తి చేసినందుకు సంతృప్తి.</v>
      </c>
      <c r="AX50" s="5" t="str">
        <f ca="1">IFERROR(__xludf.DUMMYFUNCTION("IF(AB50 = """", """", GOOGLETRANSLATE(AB50, ""en"", ""te""))"),"")</f>
        <v/>
      </c>
    </row>
    <row r="51" spans="1:50" x14ac:dyDescent="0.25">
      <c r="A51" s="1">
        <v>63</v>
      </c>
      <c r="B51" s="1" t="s">
        <v>56</v>
      </c>
      <c r="C51" s="8">
        <v>45827</v>
      </c>
      <c r="D51" s="8">
        <v>45827</v>
      </c>
      <c r="E51" s="1">
        <v>7</v>
      </c>
      <c r="F51" s="1">
        <v>1</v>
      </c>
      <c r="G51" s="3" t="s">
        <v>226</v>
      </c>
      <c r="H51" s="4">
        <v>1.1759259259259259E-2</v>
      </c>
      <c r="I51" s="7" t="s">
        <v>237</v>
      </c>
      <c r="J51" s="7" t="s">
        <v>241</v>
      </c>
      <c r="K51" s="1" t="s">
        <v>58</v>
      </c>
      <c r="L51" s="1" t="s">
        <v>64</v>
      </c>
      <c r="M51" s="1" t="s">
        <v>17</v>
      </c>
      <c r="O51" s="1" t="s">
        <v>61</v>
      </c>
      <c r="P51" s="1" t="s">
        <v>61</v>
      </c>
      <c r="Q51" s="1" t="s">
        <v>61</v>
      </c>
      <c r="R51" s="1" t="s">
        <v>61</v>
      </c>
      <c r="S51" s="1" t="s">
        <v>61</v>
      </c>
      <c r="T51" s="1" t="s">
        <v>61</v>
      </c>
      <c r="V51" s="1" t="s">
        <v>61</v>
      </c>
      <c r="W51" s="1" t="s">
        <v>61</v>
      </c>
      <c r="X51" s="1" t="s">
        <v>61</v>
      </c>
      <c r="Y51" s="1" t="s">
        <v>242</v>
      </c>
      <c r="Z51" s="1" t="s">
        <v>243</v>
      </c>
      <c r="AA51" s="1" t="s">
        <v>244</v>
      </c>
      <c r="AB51" s="1"/>
      <c r="AC51" s="5" t="str">
        <f ca="1">IFERROR(__xludf.DUMMYFUNCTION("IF(Y51 = """", """", GOOGLETRANSLATE(Y51, ""en"", ""hi""))
"),"कार्यभार अप्रत्याशित रूप से बढ़ेगा।")</f>
        <v>कार्यभार अप्रत्याशित रूप से बढ़ेगा।</v>
      </c>
      <c r="AD51" s="5" t="str">
        <f ca="1">IFERROR(__xludf.DUMMYFUNCTION("IF(Z51 = """", """", GOOGLETRANSLATE(Z51, ""en"", ""hi""))"),"शांतचित्त रहें, ऊर्जा के साथ काम करें।")</f>
        <v>शांतचित्त रहें, ऊर्जा के साथ काम करें।</v>
      </c>
      <c r="AE51" s="5" t="str">
        <f ca="1">IFERROR(__xludf.DUMMYFUNCTION("IF(AA51 = """", """", GOOGLETRANSLATE(AA51, ""en"", ""hi""))"),"मीठी वाणी लाभ पहुंचाती है।")</f>
        <v>मीठी वाणी लाभ पहुंचाती है।</v>
      </c>
      <c r="AF51" s="5" t="str">
        <f ca="1">IFERROR(__xludf.DUMMYFUNCTION("IF(AB51 = """", """", GOOGLETRANSLATE(AB51, ""en"", ""hi""))"),"")</f>
        <v/>
      </c>
      <c r="AG51" s="5" t="str">
        <f ca="1">IFERROR(__xludf.DUMMYFUNCTION("IF(Y51 = """", """", GOOGLETRANSLATE(Y51, ""en"", ""mr""))"),"कामाचा ताण अनपेक्षितपणे वाढेल.")</f>
        <v>कामाचा ताण अनपेक्षितपणे वाढेल.</v>
      </c>
      <c r="AH51" s="5" t="str">
        <f ca="1">IFERROR(__xludf.DUMMYFUNCTION("IF(Z51 = """", """", GOOGLETRANSLATE(Z51, ""en"", ""mr""))"),"संयमी राहा, उर्जेने कार्य करा.")</f>
        <v>संयमी राहा, उर्जेने कार्य करा.</v>
      </c>
      <c r="AI51" s="5" t="str">
        <f ca="1">IFERROR(__xludf.DUMMYFUNCTION("IF(AA51 = """", """", GOOGLETRANSLATE(AA51, ""en"", ""mr""))"),"गोड बोलण्याने फायदा होतो.")</f>
        <v>गोड बोलण्याने फायदा होतो.</v>
      </c>
      <c r="AJ51" s="5" t="str">
        <f ca="1">IFERROR(__xludf.DUMMYFUNCTION("IF(AB51 = """", """", GOOGLETRANSLATE(AB51, ""en"", ""mr""))"),"")</f>
        <v/>
      </c>
      <c r="AK51" s="5" t="str">
        <f ca="1">IFERROR(__xludf.DUMMYFUNCTION("IF(Y51 = """", """", GOOGLETRANSLATE(Y51, ""en"", ""gu""))"),"કામનો બોજ અણધારી રીતે વધશે.")</f>
        <v>કામનો બોજ અણધારી રીતે વધશે.</v>
      </c>
      <c r="AL51" s="5" t="str">
        <f ca="1">IFERROR(__xludf.DUMMYFUNCTION("IF(Z51 = """", """", GOOGLETRANSLATE(Z51, ""en"", ""gu""))"),"સંયમિત રહો, ઉર્જાથી કામ કરો.")</f>
        <v>સંયમિત રહો, ઉર્જાથી કામ કરો.</v>
      </c>
      <c r="AM51" s="5" t="str">
        <f ca="1">IFERROR(__xludf.DUMMYFUNCTION("IF(AA51 = """", """", GOOGLETRANSLATE(AA51, ""en"", ""gu""))"),"મધુર વાણીથી લાભ થાય.")</f>
        <v>મધુર વાણીથી લાભ થાય.</v>
      </c>
      <c r="AN51" s="5" t="str">
        <f ca="1">IFERROR(__xludf.DUMMYFUNCTION("IF(AB51 = """", """", GOOGLETRANSLATE(AB51, ""en"", ""gu""))"),"")</f>
        <v/>
      </c>
      <c r="AO51" s="5" t="str">
        <f ca="1">IFERROR(__xludf.DUMMYFUNCTION("IF(Y51 = """", """", GOOGLETRANSLATE(Y51, ""en"", ""bn""))"),"কাজের চাপ অপ্রত্যাশিতভাবে বাড়বে।")</f>
        <v>কাজের চাপ অপ্রত্যাশিতভাবে বাড়বে।</v>
      </c>
      <c r="AP51" s="5" t="str">
        <f ca="1">IFERROR(__xludf.DUMMYFUNCTION("IF(Z51 = """", """", GOOGLETRANSLATE(Z51, ""en"", ""bn""))"),"সংযত থাকুন, শক্তি দিয়ে কাজ করুন।")</f>
        <v>সংযত থাকুন, শক্তি দিয়ে কাজ করুন।</v>
      </c>
      <c r="AQ51" s="5" t="str">
        <f ca="1">IFERROR(__xludf.DUMMYFUNCTION("IF(AA51 = """", """", GOOGLETRANSLATE(AA51, ""en"", ""bn""))"),"মিষ্টি কথাবার্তা সুফল বয়ে আনে।")</f>
        <v>মিষ্টি কথাবার্তা সুফল বয়ে আনে।</v>
      </c>
      <c r="AR51" s="5" t="str">
        <f ca="1">IFERROR(__xludf.DUMMYFUNCTION("IF(AB51 = """", """", GOOGLETRANSLATE(AB51, ""en"", ""bn""))"),"")</f>
        <v/>
      </c>
      <c r="AU51" s="5" t="str">
        <f ca="1">IFERROR(__xludf.DUMMYFUNCTION("IF(Y51 = """", """", GOOGLETRANSLATE(Y51, ""en"", ""te""))"),"పనిభారం అనుకోని విధంగా పెరుగుతుంది.")</f>
        <v>పనిభారం అనుకోని విధంగా పెరుగుతుంది.</v>
      </c>
      <c r="AV51" s="5" t="str">
        <f ca="1">IFERROR(__xludf.DUMMYFUNCTION("IF(Z51 = """", """", GOOGLETRANSLATE(Z51, ""en"", ""te""))"),"సంయమనంతో ఉండండి, శక్తితో పని చేయండి.")</f>
        <v>సంయమనంతో ఉండండి, శక్తితో పని చేయండి.</v>
      </c>
      <c r="AW51" s="5" t="str">
        <f ca="1">IFERROR(__xludf.DUMMYFUNCTION("IF(AA51 = """", """", GOOGLETRANSLATE(AA51, ""en"", ""te""))"),"మధురమైన మాటలు లాభాలను కలిగిస్తాయి.")</f>
        <v>మధురమైన మాటలు లాభాలను కలిగిస్తాయి.</v>
      </c>
      <c r="AX51" s="5" t="str">
        <f ca="1">IFERROR(__xludf.DUMMYFUNCTION("IF(AB51 = """", """", GOOGLETRANSLATE(AB51, ""en"", ""te""))"),"")</f>
        <v/>
      </c>
    </row>
    <row r="52" spans="1:50" x14ac:dyDescent="0.25">
      <c r="A52" s="1">
        <v>64</v>
      </c>
      <c r="B52" s="1" t="s">
        <v>56</v>
      </c>
      <c r="C52" s="8">
        <v>45827</v>
      </c>
      <c r="D52" s="8">
        <v>45827</v>
      </c>
      <c r="E52" s="1">
        <v>8</v>
      </c>
      <c r="F52" s="1">
        <v>1</v>
      </c>
      <c r="G52" s="3" t="s">
        <v>226</v>
      </c>
      <c r="H52" s="4">
        <v>1.1759259259259259E-2</v>
      </c>
      <c r="I52" s="7" t="s">
        <v>241</v>
      </c>
      <c r="J52" s="7" t="s">
        <v>245</v>
      </c>
      <c r="K52" s="1" t="s">
        <v>58</v>
      </c>
      <c r="L52" s="1" t="s">
        <v>68</v>
      </c>
      <c r="M52" s="1" t="s">
        <v>19</v>
      </c>
      <c r="O52" s="1" t="s">
        <v>61</v>
      </c>
      <c r="P52" s="1" t="s">
        <v>61</v>
      </c>
      <c r="Q52" s="1" t="s">
        <v>61</v>
      </c>
      <c r="R52" s="1" t="s">
        <v>61</v>
      </c>
      <c r="S52" s="1" t="s">
        <v>61</v>
      </c>
      <c r="T52" s="1" t="s">
        <v>61</v>
      </c>
      <c r="V52" s="1" t="s">
        <v>61</v>
      </c>
      <c r="W52" s="1" t="s">
        <v>61</v>
      </c>
      <c r="X52" s="1" t="s">
        <v>61</v>
      </c>
      <c r="Y52" s="1" t="s">
        <v>246</v>
      </c>
      <c r="Z52" s="1" t="s">
        <v>247</v>
      </c>
      <c r="AA52" s="1" t="s">
        <v>248</v>
      </c>
      <c r="AB52" s="1"/>
      <c r="AC52" s="5" t="str">
        <f ca="1">IFERROR(__xludf.DUMMYFUNCTION("IF(Y52 = """", """", GOOGLETRANSLATE(Y52, ""en"", ""hi""))
"),"परिवार और बच्चों से संबंधित चिंताएँ।")</f>
        <v>परिवार और बच्चों से संबंधित चिंताएँ।</v>
      </c>
      <c r="AD52" s="5" t="str">
        <f ca="1">IFERROR(__xludf.DUMMYFUNCTION("IF(Z52 = """", """", GOOGLETRANSLATE(Z52, ""en"", ""hi""))"),"जीवनसाथी के साथ बहस से बचना चाहिए।")</f>
        <v>जीवनसाथी के साथ बहस से बचना चाहिए।</v>
      </c>
      <c r="AE52" s="5" t="str">
        <f ca="1">IFERROR(__xludf.DUMMYFUNCTION("IF(AA52 = """", """", GOOGLETRANSLATE(AA52, ""en"", ""hi""))"),"पुराने मुद्दों को खोदने से बचें।")</f>
        <v>पुराने मुद्दों को खोदने से बचें।</v>
      </c>
      <c r="AF52" s="5" t="str">
        <f ca="1">IFERROR(__xludf.DUMMYFUNCTION("IF(AB52 = """", """", GOOGLETRANSLATE(AB52, ""en"", ""hi""))"),"")</f>
        <v/>
      </c>
      <c r="AG52" s="5" t="str">
        <f ca="1">IFERROR(__xludf.DUMMYFUNCTION("IF(Y52 = """", """", GOOGLETRANSLATE(Y52, ""en"", ""mr""))"),"कौटुंबिक आणि मुलांशी संबंधित चिंता.")</f>
        <v>कौटुंबिक आणि मुलांशी संबंधित चिंता.</v>
      </c>
      <c r="AH52" s="5" t="str">
        <f ca="1">IFERROR(__xludf.DUMMYFUNCTION("IF(Z52 = """", """", GOOGLETRANSLATE(Z52, ""en"", ""mr""))"),"जोडीदाराशी वाद टाळावा.")</f>
        <v>जोडीदाराशी वाद टाळावा.</v>
      </c>
      <c r="AI52" s="5" t="str">
        <f ca="1">IFERROR(__xludf.DUMMYFUNCTION("IF(AA52 = """", """", GOOGLETRANSLATE(AA52, ""en"", ""mr""))"),"मागील समस्या खोदणे टाळा.")</f>
        <v>मागील समस्या खोदणे टाळा.</v>
      </c>
      <c r="AJ52" s="5" t="str">
        <f ca="1">IFERROR(__xludf.DUMMYFUNCTION("IF(AB52 = """", """", GOOGLETRANSLATE(AB52, ""en"", ""mr""))"),"")</f>
        <v/>
      </c>
      <c r="AK52" s="5" t="str">
        <f ca="1">IFERROR(__xludf.DUMMYFUNCTION("IF(Y52 = """", """", GOOGLETRANSLATE(Y52, ""en"", ""gu""))"),"કુટુંબ અને સંતાન સંબંધી ચિંતા.")</f>
        <v>કુટુંબ અને સંતાન સંબંધી ચિંતા.</v>
      </c>
      <c r="AL52" s="5" t="str">
        <f ca="1">IFERROR(__xludf.DUMMYFUNCTION("IF(Z52 = """", """", GOOGLETRANSLATE(Z52, ""en"", ""gu""))"),"જીવનસાથી સાથે વાદવિવાદ ટાળવો જોઈએ.")</f>
        <v>જીવનસાથી સાથે વાદવિવાદ ટાળવો જોઈએ.</v>
      </c>
      <c r="AM52" s="5" t="str">
        <f ca="1">IFERROR(__xludf.DUMMYFUNCTION("IF(AA52 = """", """", GOOGLETRANSLATE(AA52, ""en"", ""gu""))"),"ભૂતકાળના મુદ્દાઓ ખોદવાનું ટાળો.")</f>
        <v>ભૂતકાળના મુદ્દાઓ ખોદવાનું ટાળો.</v>
      </c>
      <c r="AN52" s="5" t="str">
        <f ca="1">IFERROR(__xludf.DUMMYFUNCTION("IF(AB52 = """", """", GOOGLETRANSLATE(AB52, ""en"", ""gu""))"),"")</f>
        <v/>
      </c>
      <c r="AO52" s="5" t="str">
        <f ca="1">IFERROR(__xludf.DUMMYFUNCTION("IF(Y52 = """", """", GOOGLETRANSLATE(Y52, ""en"", ""bn""))"),"পরিবার এবং সন্তান-সম্পর্কিত উদ্বেগ।")</f>
        <v>পরিবার এবং সন্তান-সম্পর্কিত উদ্বেগ।</v>
      </c>
      <c r="AP52" s="5" t="str">
        <f ca="1">IFERROR(__xludf.DUMMYFUNCTION("IF(Z52 = """", """", GOOGLETRANSLATE(Z52, ""en"", ""bn""))"),"স্ত্রীর সাথে তর্ক-বিতর্ক এড়িয়ে চলতে হবে।")</f>
        <v>স্ত্রীর সাথে তর্ক-বিতর্ক এড়িয়ে চলতে হবে।</v>
      </c>
      <c r="AQ52" s="5" t="str">
        <f ca="1">IFERROR(__xludf.DUMMYFUNCTION("IF(AA52 = """", """", GOOGLETRANSLATE(AA52, ""en"", ""bn""))"),"অতীতের সমস্যাগুলি খনন করা এড়িয়ে চলুন।")</f>
        <v>অতীতের সমস্যাগুলি খনন করা এড়িয়ে চলুন।</v>
      </c>
      <c r="AR52" s="5" t="str">
        <f ca="1">IFERROR(__xludf.DUMMYFUNCTION("IF(AB52 = """", """", GOOGLETRANSLATE(AB52, ""en"", ""bn""))"),"")</f>
        <v/>
      </c>
      <c r="AU52" s="5" t="str">
        <f ca="1">IFERROR(__xludf.DUMMYFUNCTION("IF(Y52 = """", """", GOOGLETRANSLATE(Y52, ""en"", ""te""))"),"కుటుంబం మరియు పిల్లల సంబంధిత ఆందోళనలు.")</f>
        <v>కుటుంబం మరియు పిల్లల సంబంధిత ఆందోళనలు.</v>
      </c>
      <c r="AV52" s="5" t="str">
        <f ca="1">IFERROR(__xludf.DUMMYFUNCTION("IF(Z52 = """", """", GOOGLETRANSLATE(Z52, ""en"", ""te""))"),"జీవిత భాగస్వామితో వాగ్వాదాలకు దూరంగా ఉండాలి.")</f>
        <v>జీవిత భాగస్వామితో వాగ్వాదాలకు దూరంగా ఉండాలి.</v>
      </c>
      <c r="AW52" s="5" t="str">
        <f ca="1">IFERROR(__xludf.DUMMYFUNCTION("IF(AA52 = """", """", GOOGLETRANSLATE(AA52, ""en"", ""te""))"),"గత సమస్యలను త్రవ్వడం మానుకోండి.")</f>
        <v>గత సమస్యలను త్రవ్వడం మానుకోండి.</v>
      </c>
      <c r="AX52" s="5" t="str">
        <f ca="1">IFERROR(__xludf.DUMMYFUNCTION("IF(AB52 = """", """", GOOGLETRANSLATE(AB52, ""en"", ""te""))"),"")</f>
        <v/>
      </c>
    </row>
    <row r="53" spans="1:50" x14ac:dyDescent="0.25">
      <c r="A53" s="1">
        <v>65</v>
      </c>
      <c r="B53" s="1" t="s">
        <v>56</v>
      </c>
      <c r="C53" s="8">
        <v>45827</v>
      </c>
      <c r="D53" s="8">
        <v>45827</v>
      </c>
      <c r="E53" s="1">
        <v>9</v>
      </c>
      <c r="F53" s="1">
        <v>1</v>
      </c>
      <c r="G53" s="3" t="s">
        <v>226</v>
      </c>
      <c r="H53" s="4">
        <v>1.1759259259259259E-2</v>
      </c>
      <c r="I53" s="7" t="s">
        <v>245</v>
      </c>
      <c r="J53" s="7" t="s">
        <v>249</v>
      </c>
      <c r="K53" s="1" t="s">
        <v>58</v>
      </c>
      <c r="L53" s="1" t="s">
        <v>72</v>
      </c>
      <c r="M53" s="1" t="s">
        <v>19</v>
      </c>
      <c r="O53" s="1" t="s">
        <v>61</v>
      </c>
      <c r="P53" s="1" t="s">
        <v>61</v>
      </c>
      <c r="Q53" s="1" t="s">
        <v>61</v>
      </c>
      <c r="R53" s="1" t="s">
        <v>61</v>
      </c>
      <c r="S53" s="1" t="s">
        <v>61</v>
      </c>
      <c r="T53" s="1" t="s">
        <v>61</v>
      </c>
      <c r="V53" s="1" t="s">
        <v>61</v>
      </c>
      <c r="W53" s="1" t="s">
        <v>61</v>
      </c>
      <c r="X53" s="1" t="s">
        <v>61</v>
      </c>
      <c r="Y53" s="1" t="s">
        <v>250</v>
      </c>
      <c r="Z53" s="1" t="s">
        <v>251</v>
      </c>
      <c r="AA53" s="1" t="s">
        <v>252</v>
      </c>
      <c r="AB53" s="1"/>
      <c r="AC53" s="5" t="str">
        <f ca="1">IFERROR(__xludf.DUMMYFUNCTION("IF(Y53 = """", """", GOOGLETRANSLATE(Y53, ""en"", ""hi""))
"),"पूरी योजना बनाएं और बैकअप रखें।")</f>
        <v>पूरी योजना बनाएं और बैकअप रखें।</v>
      </c>
      <c r="AD53" s="5" t="str">
        <f ca="1">IFERROR(__xludf.DUMMYFUNCTION("IF(Z53 = """", """", GOOGLETRANSLATE(Z53, ""en"", ""hi""))"),"किसी भी काम को आवेग में आकर शुरू करने से बचें।")</f>
        <v>किसी भी काम को आवेग में आकर शुरू करने से बचें।</v>
      </c>
      <c r="AE53" s="5" t="str">
        <f ca="1">IFERROR(__xludf.DUMMYFUNCTION("IF(AA53 = """", """", GOOGLETRANSLATE(AA53, ""en"", ""hi""))"),"हो सकता है कि चीजें अपेक्षा के अनुरूप न हों।")</f>
        <v>हो सकता है कि चीजें अपेक्षा के अनुरूप न हों।</v>
      </c>
      <c r="AF53" s="5" t="str">
        <f ca="1">IFERROR(__xludf.DUMMYFUNCTION("IF(AB53 = """", """", GOOGLETRANSLATE(AB53, ""en"", ""hi""))"),"")</f>
        <v/>
      </c>
      <c r="AG53" s="5" t="str">
        <f ca="1">IFERROR(__xludf.DUMMYFUNCTION("IF(Y53 = """", """", GOOGLETRANSLATE(Y53, ""en"", ""mr""))"),"कसून योजना करा आणि बॅकअप ठेवा.")</f>
        <v>कसून योजना करा आणि बॅकअप ठेवा.</v>
      </c>
      <c r="AH53" s="5" t="str">
        <f ca="1">IFERROR(__xludf.DUMMYFUNCTION("IF(Z53 = """", """", GOOGLETRANSLATE(Z53, ""en"", ""mr""))"),"आवेगपूर्णपणे काहीही सुरू करणे टाळा.")</f>
        <v>आवेगपूर्णपणे काहीही सुरू करणे टाळा.</v>
      </c>
      <c r="AI53" s="5" t="str">
        <f ca="1">IFERROR(__xludf.DUMMYFUNCTION("IF(AA53 = """", """", GOOGLETRANSLATE(AA53, ""en"", ""mr""))"),"गोष्टी अपेक्षेप्रमाणे होणार नाहीत.")</f>
        <v>गोष्टी अपेक्षेप्रमाणे होणार नाहीत.</v>
      </c>
      <c r="AJ53" s="5" t="str">
        <f ca="1">IFERROR(__xludf.DUMMYFUNCTION("IF(AB53 = """", """", GOOGLETRANSLATE(AB53, ""en"", ""mr""))"),"")</f>
        <v/>
      </c>
      <c r="AK53" s="5" t="str">
        <f ca="1">IFERROR(__xludf.DUMMYFUNCTION("IF(Y53 = """", """", GOOGLETRANSLATE(Y53, ""en"", ""gu""))"),"સારી રીતે પ્લાન કરો અને બેકઅપ રાખો.")</f>
        <v>સારી રીતે પ્લાન કરો અને બેકઅપ રાખો.</v>
      </c>
      <c r="AL53" s="5" t="str">
        <f ca="1">IFERROR(__xludf.DUMMYFUNCTION("IF(Z53 = """", """", GOOGLETRANSLATE(Z53, ""en"", ""gu""))"),"આવેગપૂર્વક કંઈપણ શરૂ કરવાનું ટાળો.")</f>
        <v>આવેગપૂર્વક કંઈપણ શરૂ કરવાનું ટાળો.</v>
      </c>
      <c r="AM53" s="5" t="str">
        <f ca="1">IFERROR(__xludf.DUMMYFUNCTION("IF(AA53 = """", """", GOOGLETRANSLATE(AA53, ""en"", ""gu""))"),"વસ્તુઓ અપેક્ષા મુજબ ન થઈ શકે.")</f>
        <v>વસ્તુઓ અપેક્ષા મુજબ ન થઈ શકે.</v>
      </c>
      <c r="AN53" s="5" t="str">
        <f ca="1">IFERROR(__xludf.DUMMYFUNCTION("IF(AB53 = """", """", GOOGLETRANSLATE(AB53, ""en"", ""gu""))"),"")</f>
        <v/>
      </c>
      <c r="AO53" s="5" t="str">
        <f ca="1">IFERROR(__xludf.DUMMYFUNCTION("IF(Y53 = """", """", GOOGLETRANSLATE(Y53, ""en"", ""bn""))"),"পুঙ্খানুপুঙ্খভাবে পরিকল্পনা করুন এবং একটি ব্যাকআপ রাখুন।")</f>
        <v>পুঙ্খানুপুঙ্খভাবে পরিকল্পনা করুন এবং একটি ব্যাকআপ রাখুন।</v>
      </c>
      <c r="AP53" s="5" t="str">
        <f ca="1">IFERROR(__xludf.DUMMYFUNCTION("IF(Z53 = """", """", GOOGLETRANSLATE(Z53, ""en"", ""bn""))"),"আবেগপ্রবণভাবে কিছু শুরু করা এড়িয়ে চলুন।")</f>
        <v>আবেগপ্রবণভাবে কিছু শুরু করা এড়িয়ে চলুন।</v>
      </c>
      <c r="AQ53" s="5" t="str">
        <f ca="1">IFERROR(__xludf.DUMMYFUNCTION("IF(AA53 = """", """", GOOGLETRANSLATE(AA53, ""en"", ""bn""))"),"জিনিসগুলি প্রত্যাশা অনুযায়ী নাও যেতে পারে।")</f>
        <v>জিনিসগুলি প্রত্যাশা অনুযায়ী নাও যেতে পারে।</v>
      </c>
      <c r="AR53" s="5" t="str">
        <f ca="1">IFERROR(__xludf.DUMMYFUNCTION("IF(AB53 = """", """", GOOGLETRANSLATE(AB53, ""en"", ""bn""))"),"")</f>
        <v/>
      </c>
      <c r="AU53" s="5" t="str">
        <f ca="1">IFERROR(__xludf.DUMMYFUNCTION("IF(Y53 = """", """", GOOGLETRANSLATE(Y53, ""en"", ""te""))"),"పూర్తిగా ప్లాన్ చేయండి మరియు బ్యాకప్ ఉంచండి.")</f>
        <v>పూర్తిగా ప్లాన్ చేయండి మరియు బ్యాకప్ ఉంచండి.</v>
      </c>
      <c r="AV53" s="5" t="str">
        <f ca="1">IFERROR(__xludf.DUMMYFUNCTION("IF(Z53 = """", """", GOOGLETRANSLATE(Z53, ""en"", ""te""))"),"ఏదైనా హఠాత్తుగా ప్రారంభించడం మానుకోండి.")</f>
        <v>ఏదైనా హఠాత్తుగా ప్రారంభించడం మానుకోండి.</v>
      </c>
      <c r="AW53" s="5" t="str">
        <f ca="1">IFERROR(__xludf.DUMMYFUNCTION("IF(AA53 = """", """", GOOGLETRANSLATE(AA53, ""en"", ""te""))"),"అనుకున్న విధంగా పనులు జరగకపోవచ్చు.")</f>
        <v>అనుకున్న విధంగా పనులు జరగకపోవచ్చు.</v>
      </c>
      <c r="AX53" s="5" t="str">
        <f ca="1">IFERROR(__xludf.DUMMYFUNCTION("IF(AB53 = """", """", GOOGLETRANSLATE(AB53, ""en"", ""te""))"),"")</f>
        <v/>
      </c>
    </row>
    <row r="54" spans="1:50" x14ac:dyDescent="0.25">
      <c r="A54" s="1">
        <v>66</v>
      </c>
      <c r="B54" s="1" t="s">
        <v>56</v>
      </c>
      <c r="C54" s="8">
        <v>45827</v>
      </c>
      <c r="D54" s="8">
        <v>45827</v>
      </c>
      <c r="E54" s="1">
        <v>10</v>
      </c>
      <c r="F54" s="1">
        <v>1</v>
      </c>
      <c r="G54" s="3" t="s">
        <v>226</v>
      </c>
      <c r="H54" s="4">
        <v>1.1759259259259259E-2</v>
      </c>
      <c r="I54" s="7" t="s">
        <v>249</v>
      </c>
      <c r="J54" s="7" t="s">
        <v>221</v>
      </c>
      <c r="K54" s="1" t="s">
        <v>58</v>
      </c>
      <c r="L54" s="1" t="s">
        <v>76</v>
      </c>
      <c r="M54" s="1" t="s">
        <v>14</v>
      </c>
      <c r="O54" s="1" t="s">
        <v>61</v>
      </c>
      <c r="P54" s="1" t="s">
        <v>61</v>
      </c>
      <c r="Q54" s="1" t="s">
        <v>61</v>
      </c>
      <c r="R54" s="1" t="s">
        <v>61</v>
      </c>
      <c r="S54" s="1" t="s">
        <v>61</v>
      </c>
      <c r="T54" s="1" t="s">
        <v>61</v>
      </c>
      <c r="V54" s="1" t="s">
        <v>61</v>
      </c>
      <c r="W54" s="1" t="s">
        <v>61</v>
      </c>
      <c r="X54" s="1" t="s">
        <v>61</v>
      </c>
      <c r="Y54" s="1" t="s">
        <v>253</v>
      </c>
      <c r="Z54" s="1" t="s">
        <v>254</v>
      </c>
      <c r="AA54" s="1" t="s">
        <v>255</v>
      </c>
      <c r="AB54" s="1"/>
      <c r="AC54" s="5" t="str">
        <f ca="1">IFERROR(__xludf.DUMMYFUNCTION("IF(Y54 = """", """", GOOGLETRANSLATE(Y54, ""en"", ""hi""))
"),"कैरियर के अवसरों का लाभ उठाया जाना चाहिए।")</f>
        <v>कैरियर के अवसरों का लाभ उठाया जाना चाहिए।</v>
      </c>
      <c r="AD54" s="5" t="str">
        <f ca="1">IFERROR(__xludf.DUMMYFUNCTION("IF(Z54 = """", """", GOOGLETRANSLATE(Z54, ""en"", ""hi""))"),"सम्मान और मान्यता में वृद्धि।")</f>
        <v>सम्मान और मान्यता में वृद्धि।</v>
      </c>
      <c r="AE54" s="5" t="str">
        <f ca="1">IFERROR(__xludf.DUMMYFUNCTION("IF(AA54 = """", """", GOOGLETRANSLATE(AA54, ""en"", ""hi""))"),"व्यावसायिक विकास के लिए सकारात्मक चरण।")</f>
        <v>व्यावसायिक विकास के लिए सकारात्मक चरण।</v>
      </c>
      <c r="AF54" s="5" t="str">
        <f ca="1">IFERROR(__xludf.DUMMYFUNCTION("IF(AB54 = """", """", GOOGLETRANSLATE(AB54, ""en"", ""hi""))"),"")</f>
        <v/>
      </c>
      <c r="AG54" s="5" t="str">
        <f ca="1">IFERROR(__xludf.DUMMYFUNCTION("IF(Y54 = """", """", GOOGLETRANSLATE(Y54, ""en"", ""mr""))"),"करिअरच्या संधींचा फायदा घ्यावा.")</f>
        <v>करिअरच्या संधींचा फायदा घ्यावा.</v>
      </c>
      <c r="AH54" s="5" t="str">
        <f ca="1">IFERROR(__xludf.DUMMYFUNCTION("IF(Z54 = """", """", GOOGLETRANSLATE(Z54, ""en"", ""mr""))"),"आदर आणि ओळख वाढवा.")</f>
        <v>आदर आणि ओळख वाढवा.</v>
      </c>
      <c r="AI54" s="5" t="str">
        <f ca="1">IFERROR(__xludf.DUMMYFUNCTION("IF(AA54 = """", """", GOOGLETRANSLATE(AA54, ""en"", ""mr""))"),"व्यावसायिक वाढीसाठी सकारात्मक टप्पा.")</f>
        <v>व्यावसायिक वाढीसाठी सकारात्मक टप्पा.</v>
      </c>
      <c r="AJ54" s="5" t="str">
        <f ca="1">IFERROR(__xludf.DUMMYFUNCTION("IF(AB54 = """", """", GOOGLETRANSLATE(AB54, ""en"", ""mr""))"),"")</f>
        <v/>
      </c>
      <c r="AK54" s="5" t="str">
        <f ca="1">IFERROR(__xludf.DUMMYFUNCTION("IF(Y54 = """", """", GOOGLETRANSLATE(Y54, ""en"", ""gu""))"),"કરિયરની તકો ઝડપી લેવી જોઈએ.")</f>
        <v>કરિયરની તકો ઝડપી લેવી જોઈએ.</v>
      </c>
      <c r="AL54" s="5" t="str">
        <f ca="1">IFERROR(__xludf.DUMMYFUNCTION("IF(Z54 = """", """", GOOGLETRANSLATE(Z54, ""en"", ""gu""))"),"આદર અને માન્યતામાં વધારો.")</f>
        <v>આદર અને માન્યતામાં વધારો.</v>
      </c>
      <c r="AM54" s="5" t="str">
        <f ca="1">IFERROR(__xludf.DUMMYFUNCTION("IF(AA54 = """", """", GOOGLETRANSLATE(AA54, ""en"", ""gu""))"),"વ્યાવસાયિક વૃદ્ધિ માટે સકારાત્મક તબક્કો.")</f>
        <v>વ્યાવસાયિક વૃદ્ધિ માટે સકારાત્મક તબક્કો.</v>
      </c>
      <c r="AN54" s="5" t="str">
        <f ca="1">IFERROR(__xludf.DUMMYFUNCTION("IF(AB54 = """", """", GOOGLETRANSLATE(AB54, ""en"", ""gu""))"),"")</f>
        <v/>
      </c>
      <c r="AO54" s="5" t="str">
        <f ca="1">IFERROR(__xludf.DUMMYFUNCTION("IF(Y54 = """", """", GOOGLETRANSLATE(Y54, ""en"", ""bn""))"),"ক্যারিয়ারের সুযোগগুলোকে কাজে লাগাতে হবে।")</f>
        <v>ক্যারিয়ারের সুযোগগুলোকে কাজে লাগাতে হবে।</v>
      </c>
      <c r="AP54" s="5" t="str">
        <f ca="1">IFERROR(__xludf.DUMMYFUNCTION("IF(Z54 = """", """", GOOGLETRANSLATE(Z54, ""en"", ""bn""))"),"সম্মান এবং স্বীকৃতি বৃদ্ধি.")</f>
        <v>সম্মান এবং স্বীকৃতি বৃদ্ধি.</v>
      </c>
      <c r="AQ54" s="5" t="str">
        <f ca="1">IFERROR(__xludf.DUMMYFUNCTION("IF(AA54 = """", """", GOOGLETRANSLATE(AA54, ""en"", ""bn""))"),"পেশাদার বৃদ্ধির জন্য ইতিবাচক পর্যায়।")</f>
        <v>পেশাদার বৃদ্ধির জন্য ইতিবাচক পর্যায়।</v>
      </c>
      <c r="AR54" s="5" t="str">
        <f ca="1">IFERROR(__xludf.DUMMYFUNCTION("IF(AB54 = """", """", GOOGLETRANSLATE(AB54, ""en"", ""bn""))"),"")</f>
        <v/>
      </c>
      <c r="AU54" s="5" t="str">
        <f ca="1">IFERROR(__xludf.DUMMYFUNCTION("IF(Y54 = """", """", GOOGLETRANSLATE(Y54, ""en"", ""te""))"),"కెరీర్ అవకాశాలను అందిపుచ్చుకోవాలి.")</f>
        <v>కెరీర్ అవకాశాలను అందిపుచ్చుకోవాలి.</v>
      </c>
      <c r="AV54" s="5" t="str">
        <f ca="1">IFERROR(__xludf.DUMMYFUNCTION("IF(Z54 = """", """", GOOGLETRANSLATE(Z54, ""en"", ""te""))"),"గౌరవం మరియు గుర్తింపు పెరుగుతుంది.")</f>
        <v>గౌరవం మరియు గుర్తింపు పెరుగుతుంది.</v>
      </c>
      <c r="AW54" s="5" t="str">
        <f ca="1">IFERROR(__xludf.DUMMYFUNCTION("IF(AA54 = """", """", GOOGLETRANSLATE(AA54, ""en"", ""te""))"),"వృత్తిపరమైన వృద్ధికి అనుకూల దశ.")</f>
        <v>వృత్తిపరమైన వృద్ధికి అనుకూల దశ.</v>
      </c>
      <c r="AX54" s="5" t="str">
        <f ca="1">IFERROR(__xludf.DUMMYFUNCTION("IF(AB54 = """", """", GOOGLETRANSLATE(AB54, ""en"", ""te""))"),"")</f>
        <v/>
      </c>
    </row>
    <row r="55" spans="1:50" x14ac:dyDescent="0.25">
      <c r="A55" s="1">
        <v>67</v>
      </c>
      <c r="B55" s="1" t="s">
        <v>56</v>
      </c>
      <c r="C55" s="8">
        <v>45827</v>
      </c>
      <c r="D55" s="8">
        <v>45827</v>
      </c>
      <c r="E55" s="1">
        <v>11</v>
      </c>
      <c r="F55" s="1">
        <v>1</v>
      </c>
      <c r="G55" s="3" t="s">
        <v>226</v>
      </c>
      <c r="H55" s="4">
        <v>1.1759259259259259E-2</v>
      </c>
      <c r="I55" s="7" t="s">
        <v>221</v>
      </c>
      <c r="J55" s="7" t="s">
        <v>256</v>
      </c>
      <c r="K55" s="1" t="s">
        <v>58</v>
      </c>
      <c r="L55" s="1" t="s">
        <v>79</v>
      </c>
      <c r="M55" s="1" t="s">
        <v>14</v>
      </c>
      <c r="O55" s="1" t="s">
        <v>61</v>
      </c>
      <c r="P55" s="1" t="s">
        <v>61</v>
      </c>
      <c r="Q55" s="1" t="s">
        <v>61</v>
      </c>
      <c r="R55" s="1" t="s">
        <v>61</v>
      </c>
      <c r="S55" s="1" t="s">
        <v>61</v>
      </c>
      <c r="T55" s="1" t="s">
        <v>61</v>
      </c>
      <c r="V55" s="1" t="s">
        <v>61</v>
      </c>
      <c r="W55" s="1" t="s">
        <v>61</v>
      </c>
      <c r="X55" s="1" t="s">
        <v>61</v>
      </c>
      <c r="Y55" s="1" t="s">
        <v>257</v>
      </c>
      <c r="Z55" s="1" t="s">
        <v>258</v>
      </c>
      <c r="AA55" s="1" t="s">
        <v>259</v>
      </c>
      <c r="AB55" s="1"/>
      <c r="AC55" s="5" t="str">
        <f ca="1">IFERROR(__xludf.DUMMYFUNCTION("IF(Y55 = """", """", GOOGLETRANSLATE(Y55, ""en"", ""hi""))
"),"तनाव और स्वास्थ्य समस्याओं से राहत।")</f>
        <v>तनाव और स्वास्थ्य समस्याओं से राहत।</v>
      </c>
      <c r="AD55" s="5" t="str">
        <f ca="1">IFERROR(__xludf.DUMMYFUNCTION("IF(Z55 = """", """", GOOGLETRANSLATE(Z55, ""en"", ""hi""))"),"मजबूत पारिवारिक समर्थन.")</f>
        <v>मजबूत पारिवारिक समर्थन.</v>
      </c>
      <c r="AE55" s="5" t="str">
        <f ca="1">IFERROR(__xludf.DUMMYFUNCTION("IF(AA55 = """", """", GOOGLETRANSLATE(AA55, ""en"", ""hi""))"),"मानसिक शांति और स्वास्थ्य लाभ के लिए अच्छा है।")</f>
        <v>मानसिक शांति और स्वास्थ्य लाभ के लिए अच्छा है।</v>
      </c>
      <c r="AF55" s="5" t="str">
        <f ca="1">IFERROR(__xludf.DUMMYFUNCTION("IF(AB55 = """", """", GOOGLETRANSLATE(AB55, ""en"", ""hi""))"),"")</f>
        <v/>
      </c>
      <c r="AG55" s="5" t="str">
        <f ca="1">IFERROR(__xludf.DUMMYFUNCTION("IF(Y55 = """", """", GOOGLETRANSLATE(Y55, ""en"", ""mr""))"),"तणाव आणि आरोग्याच्या समस्यांपासून मुक्तता.")</f>
        <v>तणाव आणि आरोग्याच्या समस्यांपासून मुक्तता.</v>
      </c>
      <c r="AH55" s="5" t="str">
        <f ca="1">IFERROR(__xludf.DUMMYFUNCTION("IF(Z55 = """", """", GOOGLETRANSLATE(Z55, ""en"", ""mr""))"),"कुटुंबाचा मजबूत पाठिंबा.")</f>
        <v>कुटुंबाचा मजबूत पाठिंबा.</v>
      </c>
      <c r="AI55" s="5" t="str">
        <f ca="1">IFERROR(__xludf.DUMMYFUNCTION("IF(AA55 = """", """", GOOGLETRANSLATE(AA55, ""en"", ""mr""))"),"मानसिक शांती आणि पुनर्प्राप्तीसाठी चांगले.")</f>
        <v>मानसिक शांती आणि पुनर्प्राप्तीसाठी चांगले.</v>
      </c>
      <c r="AJ55" s="5" t="str">
        <f ca="1">IFERROR(__xludf.DUMMYFUNCTION("IF(AB55 = """", """", GOOGLETRANSLATE(AB55, ""en"", ""mr""))"),"")</f>
        <v/>
      </c>
      <c r="AK55" s="5" t="str">
        <f ca="1">IFERROR(__xludf.DUMMYFUNCTION("IF(Y55 = """", """", GOOGLETRANSLATE(Y55, ""en"", ""gu""))"),"તણાવ અને સ્વાસ્થ્ય સંબંધી સમસ્યાઓથી રાહત.")</f>
        <v>તણાવ અને સ્વાસ્થ્ય સંબંધી સમસ્યાઓથી રાહત.</v>
      </c>
      <c r="AL55" s="5" t="str">
        <f ca="1">IFERROR(__xludf.DUMMYFUNCTION("IF(Z55 = """", """", GOOGLETRANSLATE(Z55, ""en"", ""gu""))"),"કુટુંબનો મજબૂત ટેકો.")</f>
        <v>કુટુંબનો મજબૂત ટેકો.</v>
      </c>
      <c r="AM55" s="5" t="str">
        <f ca="1">IFERROR(__xludf.DUMMYFUNCTION("IF(AA55 = """", """", GOOGLETRANSLATE(AA55, ""en"", ""gu""))"),"માનસિક શાંતિ અને પુનઃપ્રાપ્તિ માટે સારું.")</f>
        <v>માનસિક શાંતિ અને પુનઃપ્રાપ્તિ માટે સારું.</v>
      </c>
      <c r="AN55" s="5" t="str">
        <f ca="1">IFERROR(__xludf.DUMMYFUNCTION("IF(AB55 = """", """", GOOGLETRANSLATE(AB55, ""en"", ""gu""))"),"")</f>
        <v/>
      </c>
      <c r="AO55" s="5" t="str">
        <f ca="1">IFERROR(__xludf.DUMMYFUNCTION("IF(Y55 = """", """", GOOGLETRANSLATE(Y55, ""en"", ""bn""))"),"মানসিক চাপ এবং স্বাস্থ্য সমস্যা থেকে মুক্তি।")</f>
        <v>মানসিক চাপ এবং স্বাস্থ্য সমস্যা থেকে মুক্তি।</v>
      </c>
      <c r="AP55" s="5" t="str">
        <f ca="1">IFERROR(__xludf.DUMMYFUNCTION("IF(Z55 = """", """", GOOGLETRANSLATE(Z55, ""en"", ""bn""))"),"দৃঢ় পারিবারিক সমর্থন।")</f>
        <v>দৃঢ় পারিবারিক সমর্থন।</v>
      </c>
      <c r="AQ55" s="5" t="str">
        <f ca="1">IFERROR(__xludf.DUMMYFUNCTION("IF(AA55 = """", """", GOOGLETRANSLATE(AA55, ""en"", ""bn""))"),"মানসিক শান্তি এবং পুনরুদ্ধারের জন্য ভাল।")</f>
        <v>মানসিক শান্তি এবং পুনরুদ্ধারের জন্য ভাল।</v>
      </c>
      <c r="AR55" s="5" t="str">
        <f ca="1">IFERROR(__xludf.DUMMYFUNCTION("IF(AB55 = """", """", GOOGLETRANSLATE(AB55, ""en"", ""bn""))"),"")</f>
        <v/>
      </c>
      <c r="AU55" s="5" t="str">
        <f ca="1">IFERROR(__xludf.DUMMYFUNCTION("IF(Y55 = """", """", GOOGLETRANSLATE(Y55, ""en"", ""te""))"),"ఒత్తిడి మరియు ఆరోగ్య సమస్యల నుండి ఉపశమనం.")</f>
        <v>ఒత్తిడి మరియు ఆరోగ్య సమస్యల నుండి ఉపశమనం.</v>
      </c>
      <c r="AV55" s="5" t="str">
        <f ca="1">IFERROR(__xludf.DUMMYFUNCTION("IF(Z55 = """", """", GOOGLETRANSLATE(Z55, ""en"", ""te""))"),"బలమైన కుటుంబ మద్దతు.")</f>
        <v>బలమైన కుటుంబ మద్దతు.</v>
      </c>
      <c r="AW55" s="5" t="str">
        <f ca="1">IFERROR(__xludf.DUMMYFUNCTION("IF(AA55 = """", """", GOOGLETRANSLATE(AA55, ""en"", ""te""))"),"మానసిక ప్రశాంతత మరియు కోలుకోవడానికి మంచిది.")</f>
        <v>మానసిక ప్రశాంతత మరియు కోలుకోవడానికి మంచిది.</v>
      </c>
      <c r="AX55" s="5" t="str">
        <f ca="1">IFERROR(__xludf.DUMMYFUNCTION("IF(AB55 = """", """", GOOGLETRANSLATE(AB55, ""en"", ""te""))"),"")</f>
        <v/>
      </c>
    </row>
    <row r="56" spans="1:50" x14ac:dyDescent="0.25">
      <c r="A56" s="1">
        <v>68</v>
      </c>
      <c r="B56" s="1" t="s">
        <v>56</v>
      </c>
      <c r="C56" s="8">
        <v>45827</v>
      </c>
      <c r="D56" s="8">
        <v>45827</v>
      </c>
      <c r="E56" s="1">
        <v>12</v>
      </c>
      <c r="F56" s="1">
        <v>1</v>
      </c>
      <c r="G56" s="3" t="s">
        <v>226</v>
      </c>
      <c r="H56" s="4">
        <v>1.1759259259259259E-2</v>
      </c>
      <c r="I56" s="7" t="s">
        <v>256</v>
      </c>
      <c r="J56" s="4">
        <v>8.3449074074074068E-3</v>
      </c>
      <c r="K56" s="1" t="s">
        <v>58</v>
      </c>
      <c r="L56" s="1" t="s">
        <v>81</v>
      </c>
      <c r="M56" s="1" t="s">
        <v>17</v>
      </c>
      <c r="O56" s="1" t="s">
        <v>61</v>
      </c>
      <c r="P56" s="1" t="s">
        <v>61</v>
      </c>
      <c r="Q56" s="1" t="s">
        <v>61</v>
      </c>
      <c r="R56" s="1" t="s">
        <v>61</v>
      </c>
      <c r="S56" s="1" t="s">
        <v>61</v>
      </c>
      <c r="T56" s="1" t="s">
        <v>61</v>
      </c>
      <c r="V56" s="1" t="s">
        <v>61</v>
      </c>
      <c r="W56" s="1" t="s">
        <v>61</v>
      </c>
      <c r="X56" s="1" t="s">
        <v>61</v>
      </c>
      <c r="Y56" s="1" t="s">
        <v>260</v>
      </c>
      <c r="Z56" s="1" t="s">
        <v>261</v>
      </c>
      <c r="AA56" s="1" t="s">
        <v>262</v>
      </c>
      <c r="AB56" s="1"/>
      <c r="AC56" s="5" t="str">
        <f ca="1">IFERROR(__xludf.DUMMYFUNCTION("IF(Y56 = """", """", GOOGLETRANSLATE(Y56, ""en"", ""hi""))
"),"चंचल ऊर्जा को नियंत्रित किया जाना चाहिए।")</f>
        <v>चंचल ऊर्जा को नियंत्रित किया जाना चाहिए।</v>
      </c>
      <c r="AD56" s="5" t="str">
        <f ca="1">IFERROR(__xludf.DUMMYFUNCTION("IF(Z56 = """", """", GOOGLETRANSLATE(Z56, ""en"", ""hi""))"),"हर चीज़ की सावधानीपूर्वक योजना बनायें।")</f>
        <v>हर चीज़ की सावधानीपूर्वक योजना बनायें।</v>
      </c>
      <c r="AE56" s="5" t="str">
        <f ca="1">IFERROR(__xludf.DUMMYFUNCTION("IF(AA56 = """", """", GOOGLETRANSLATE(AA56, ""en"", ""hi""))"),"बृहस्पति पर राहु के प्रभाव से सावधानी की आवश्यकता है।")</f>
        <v>बृहस्पति पर राहु के प्रभाव से सावधानी की आवश्यकता है।</v>
      </c>
      <c r="AF56" s="5" t="str">
        <f ca="1">IFERROR(__xludf.DUMMYFUNCTION("IF(AB56 = """", """", GOOGLETRANSLATE(AB56, ""en"", ""hi""))"),"")</f>
        <v/>
      </c>
      <c r="AG56" s="5" t="str">
        <f ca="1">IFERROR(__xludf.DUMMYFUNCTION("IF(Y56 = """", """", GOOGLETRANSLATE(Y56, ""en"", ""mr""))"),"चंचल (अस्वस्थ) ऊर्जेवर नियंत्रण ठेवावे.")</f>
        <v>चंचल (अस्वस्थ) ऊर्जेवर नियंत्रण ठेवावे.</v>
      </c>
      <c r="AH56" s="5" t="str">
        <f ca="1">IFERROR(__xludf.DUMMYFUNCTION("IF(Z56 = """", """", GOOGLETRANSLATE(Z56, ""en"", ""mr""))"),"प्रत्येक गोष्टीची काळजीपूर्वक योजना करा.")</f>
        <v>प्रत्येक गोष्टीची काळजीपूर्वक योजना करा.</v>
      </c>
      <c r="AI56" s="5" t="str">
        <f ca="1">IFERROR(__xludf.DUMMYFUNCTION("IF(AA56 = """", """", GOOGLETRANSLATE(AA56, ""en"", ""mr""))"),"बृहस्पतिवर राहूचा प्रभाव सावधगिरीची गरज आहे.")</f>
        <v>बृहस्पतिवर राहूचा प्रभाव सावधगिरीची गरज आहे.</v>
      </c>
      <c r="AJ56" s="5" t="str">
        <f ca="1">IFERROR(__xludf.DUMMYFUNCTION("IF(AB56 = """", """", GOOGLETRANSLATE(AB56, ""en"", ""mr""))"),"")</f>
        <v/>
      </c>
      <c r="AK56" s="5" t="str">
        <f ca="1">IFERROR(__xludf.DUMMYFUNCTION("IF(Y56 = """", """", GOOGLETRANSLATE(Y56, ""en"", ""gu""))"),"ચંચલ (બેચેની) ઉર્જા પર નિયંત્રણ રાખવું જોઈએ.")</f>
        <v>ચંચલ (બેચેની) ઉર્જા પર નિયંત્રણ રાખવું જોઈએ.</v>
      </c>
      <c r="AL56" s="5" t="str">
        <f ca="1">IFERROR(__xludf.DUMMYFUNCTION("IF(Z56 = """", """", GOOGLETRANSLATE(Z56, ""en"", ""gu""))"),"દરેક વસ્તુનું કાળજીપૂર્વક આયોજન કરો.")</f>
        <v>દરેક વસ્તુનું કાળજીપૂર્વક આયોજન કરો.</v>
      </c>
      <c r="AM56" s="5" t="str">
        <f ca="1">IFERROR(__xludf.DUMMYFUNCTION("IF(AA56 = """", """", GOOGLETRANSLATE(AA56, ""en"", ""gu""))"),"ગુરુ પર રાહુની અસર સાવધાની જરૂરી છે.")</f>
        <v>ગુરુ પર રાહુની અસર સાવધાની જરૂરી છે.</v>
      </c>
      <c r="AN56" s="5" t="str">
        <f ca="1">IFERROR(__xludf.DUMMYFUNCTION("IF(AB56 = """", """", GOOGLETRANSLATE(AB56, ""en"", ""gu""))"),"")</f>
        <v/>
      </c>
      <c r="AO56" s="5" t="str">
        <f ca="1">IFERROR(__xludf.DUMMYFUNCTION("IF(Y56 = """", """", GOOGLETRANSLATE(Y56, ""en"", ""bn""))"),"চঞ্চল (চঞ্চল) শক্তি নিয়ন্ত্রণ করতে হবে।")</f>
        <v>চঞ্চল (চঞ্চল) শক্তি নিয়ন্ত্রণ করতে হবে।</v>
      </c>
      <c r="AP56" s="5" t="str">
        <f ca="1">IFERROR(__xludf.DUMMYFUNCTION("IF(Z56 = """", """", GOOGLETRANSLATE(Z56, ""en"", ""bn""))"),"সবকিছু সাবধানে পরিকল্পনা করুন।")</f>
        <v>সবকিছু সাবধানে পরিকল্পনা করুন।</v>
      </c>
      <c r="AQ56" s="5" t="str">
        <f ca="1">IFERROR(__xludf.DUMMYFUNCTION("IF(AA56 = """", """", GOOGLETRANSLATE(AA56, ""en"", ""bn""))"),"বৃহস্পতির উপর রাহুর প্রভাব সতর্কতার প্রয়োজন।")</f>
        <v>বৃহস্পতির উপর রাহুর প্রভাব সতর্কতার প্রয়োজন।</v>
      </c>
      <c r="AR56" s="5" t="str">
        <f ca="1">IFERROR(__xludf.DUMMYFUNCTION("IF(AB56 = """", """", GOOGLETRANSLATE(AB56, ""en"", ""bn""))"),"")</f>
        <v/>
      </c>
      <c r="AU56" s="5" t="str">
        <f ca="1">IFERROR(__xludf.DUMMYFUNCTION("IF(Y56 = """", """", GOOGLETRANSLATE(Y56, ""en"", ""te""))"),"చంచల్ (విశ్రాంతి లేని) శక్తిని నియంత్రించాలి.")</f>
        <v>చంచల్ (విశ్రాంతి లేని) శక్తిని నియంత్రించాలి.</v>
      </c>
      <c r="AV56" s="5" t="str">
        <f ca="1">IFERROR(__xludf.DUMMYFUNCTION("IF(Z56 = """", """", GOOGLETRANSLATE(Z56, ""en"", ""te""))"),"ప్రతిదీ జాగ్రత్తగా ప్లాన్ చేయండి.")</f>
        <v>ప్రతిదీ జాగ్రత్తగా ప్లాన్ చేయండి.</v>
      </c>
      <c r="AW56" s="5" t="str">
        <f ca="1">IFERROR(__xludf.DUMMYFUNCTION("IF(AA56 = """", """", GOOGLETRANSLATE(AA56, ""en"", ""te""))"),"బృహస్పతిపై రాహువు ప్రభావం జాగ్రత్త అవసరం.")</f>
        <v>బృహస్పతిపై రాహువు ప్రభావం జాగ్రత్త అవసరం.</v>
      </c>
      <c r="AX56" s="5" t="str">
        <f ca="1">IFERROR(__xludf.DUMMYFUNCTION("IF(AB56 = """", """", GOOGLETRANSLATE(AB56, ""en"", ""te""))"),"")</f>
        <v/>
      </c>
    </row>
    <row r="57" spans="1:50" x14ac:dyDescent="0.25">
      <c r="A57" s="1">
        <v>69</v>
      </c>
      <c r="B57" s="1" t="s">
        <v>56</v>
      </c>
      <c r="C57" s="8">
        <v>45827</v>
      </c>
      <c r="D57" s="8">
        <v>45827</v>
      </c>
      <c r="E57" s="1">
        <v>13</v>
      </c>
      <c r="F57" s="1">
        <v>1</v>
      </c>
      <c r="G57" s="3" t="s">
        <v>226</v>
      </c>
      <c r="H57" s="4">
        <v>1.1759259259259259E-2</v>
      </c>
      <c r="I57" s="4">
        <v>8.3449074074074068E-3</v>
      </c>
      <c r="J57" s="4">
        <v>1.1759259259259259E-2</v>
      </c>
      <c r="K57" s="1" t="s">
        <v>58</v>
      </c>
      <c r="L57" s="1" t="s">
        <v>137</v>
      </c>
      <c r="O57" s="1" t="s">
        <v>61</v>
      </c>
      <c r="P57" s="1" t="s">
        <v>61</v>
      </c>
      <c r="Q57" s="1" t="s">
        <v>61</v>
      </c>
      <c r="R57" s="1" t="s">
        <v>61</v>
      </c>
      <c r="S57" s="1" t="s">
        <v>61</v>
      </c>
      <c r="T57" s="1" t="s">
        <v>61</v>
      </c>
      <c r="V57" s="1" t="s">
        <v>61</v>
      </c>
      <c r="W57" s="1" t="s">
        <v>61</v>
      </c>
      <c r="X57" s="1" t="s">
        <v>61</v>
      </c>
      <c r="AB57" s="1"/>
      <c r="AC57" s="5" t="str">
        <f ca="1">IFERROR(__xludf.DUMMYFUNCTION("IF(Y57 = """", """", GOOGLETRANSLATE(Y57, ""en"", ""hi""))
"),"")</f>
        <v/>
      </c>
      <c r="AD57" s="5" t="str">
        <f ca="1">IFERROR(__xludf.DUMMYFUNCTION("IF(Z57 = """", """", GOOGLETRANSLATE(Z57, ""en"", ""hi""))"),"")</f>
        <v/>
      </c>
      <c r="AE57" s="5" t="str">
        <f ca="1">IFERROR(__xludf.DUMMYFUNCTION("IF(AA57 = """", """", GOOGLETRANSLATE(AA57, ""en"", ""hi""))"),"")</f>
        <v/>
      </c>
      <c r="AF57" s="5" t="str">
        <f ca="1">IFERROR(__xludf.DUMMYFUNCTION("IF(AB57 = """", """", GOOGLETRANSLATE(AB57, ""en"", ""hi""))"),"")</f>
        <v/>
      </c>
      <c r="AG57" s="5" t="str">
        <f ca="1">IFERROR(__xludf.DUMMYFUNCTION("IF(Y57 = """", """", GOOGLETRANSLATE(Y57, ""en"", ""mr""))"),"")</f>
        <v/>
      </c>
      <c r="AH57" s="5" t="str">
        <f ca="1">IFERROR(__xludf.DUMMYFUNCTION("IF(Z57 = """", """", GOOGLETRANSLATE(Z57, ""en"", ""mr""))"),"")</f>
        <v/>
      </c>
      <c r="AI57" s="5" t="str">
        <f ca="1">IFERROR(__xludf.DUMMYFUNCTION("IF(AA57 = """", """", GOOGLETRANSLATE(AA57, ""en"", ""mr""))"),"")</f>
        <v/>
      </c>
      <c r="AJ57" s="5" t="str">
        <f ca="1">IFERROR(__xludf.DUMMYFUNCTION("IF(AB57 = """", """", GOOGLETRANSLATE(AB57, ""en"", ""mr""))"),"")</f>
        <v/>
      </c>
      <c r="AK57" s="5" t="str">
        <f ca="1">IFERROR(__xludf.DUMMYFUNCTION("IF(Y57 = """", """", GOOGLETRANSLATE(Y57, ""en"", ""gu""))"),"")</f>
        <v/>
      </c>
      <c r="AL57" s="5" t="str">
        <f ca="1">IFERROR(__xludf.DUMMYFUNCTION("IF(Z57 = """", """", GOOGLETRANSLATE(Z57, ""en"", ""gu""))"),"")</f>
        <v/>
      </c>
      <c r="AM57" s="5" t="str">
        <f ca="1">IFERROR(__xludf.DUMMYFUNCTION("IF(AA57 = """", """", GOOGLETRANSLATE(AA57, ""en"", ""gu""))"),"")</f>
        <v/>
      </c>
      <c r="AN57" s="5" t="str">
        <f ca="1">IFERROR(__xludf.DUMMYFUNCTION("IF(AB57 = """", """", GOOGLETRANSLATE(AB57, ""en"", ""gu""))"),"")</f>
        <v/>
      </c>
      <c r="AO57" s="5" t="str">
        <f ca="1">IFERROR(__xludf.DUMMYFUNCTION("IF(Y57 = """", """", GOOGLETRANSLATE(Y57, ""en"", ""bn""))"),"")</f>
        <v/>
      </c>
      <c r="AP57" s="5" t="str">
        <f ca="1">IFERROR(__xludf.DUMMYFUNCTION("IF(Z57 = """", """", GOOGLETRANSLATE(Z57, ""en"", ""bn""))"),"")</f>
        <v/>
      </c>
      <c r="AQ57" s="5" t="str">
        <f ca="1">IFERROR(__xludf.DUMMYFUNCTION("IF(AA57 = """", """", GOOGLETRANSLATE(AA57, ""en"", ""bn""))"),"")</f>
        <v/>
      </c>
      <c r="AR57" s="5" t="str">
        <f ca="1">IFERROR(__xludf.DUMMYFUNCTION("IF(AB57 = """", """", GOOGLETRANSLATE(AB57, ""en"", ""bn""))"),"")</f>
        <v/>
      </c>
      <c r="AU57" s="5" t="str">
        <f ca="1">IFERROR(__xludf.DUMMYFUNCTION("IF(Y57 = """", """", GOOGLETRANSLATE(Y57, ""en"", ""te""))"),"")</f>
        <v/>
      </c>
      <c r="AV57" s="5" t="str">
        <f ca="1">IFERROR(__xludf.DUMMYFUNCTION("IF(Z57 = """", """", GOOGLETRANSLATE(Z57, ""en"", ""te""))"),"")</f>
        <v/>
      </c>
      <c r="AW57" s="5" t="str">
        <f ca="1">IFERROR(__xludf.DUMMYFUNCTION("IF(AA57 = """", """", GOOGLETRANSLATE(AA57, ""en"", ""te""))"),"")</f>
        <v/>
      </c>
      <c r="AX57" s="5" t="str">
        <f ca="1">IFERROR(__xludf.DUMMYFUNCTION("IF(AB57 = """", """", GOOGLETRANSLATE(AB57, ""en"", ""te""))"),"")</f>
        <v/>
      </c>
    </row>
    <row r="58" spans="1:50" x14ac:dyDescent="0.25">
      <c r="A58" s="1">
        <v>70</v>
      </c>
      <c r="B58" s="1" t="s">
        <v>56</v>
      </c>
      <c r="C58" s="8">
        <v>45828</v>
      </c>
      <c r="D58" s="8">
        <v>45828</v>
      </c>
      <c r="E58" s="1">
        <v>0</v>
      </c>
      <c r="F58" s="1">
        <v>1</v>
      </c>
      <c r="G58" s="3" t="s">
        <v>263</v>
      </c>
      <c r="H58" s="4">
        <v>1.1041666666666667E-2</v>
      </c>
      <c r="I58" s="4">
        <v>0</v>
      </c>
      <c r="J58" s="4">
        <v>1.0300925925925926E-3</v>
      </c>
      <c r="K58" s="1" t="s">
        <v>58</v>
      </c>
      <c r="L58" s="1" t="s">
        <v>59</v>
      </c>
      <c r="O58" s="1" t="s">
        <v>61</v>
      </c>
      <c r="P58" s="1" t="s">
        <v>61</v>
      </c>
      <c r="Q58" s="1" t="s">
        <v>61</v>
      </c>
      <c r="R58" s="1" t="s">
        <v>61</v>
      </c>
      <c r="S58" s="1" t="s">
        <v>61</v>
      </c>
      <c r="T58" s="1" t="s">
        <v>61</v>
      </c>
      <c r="V58" s="1" t="s">
        <v>61</v>
      </c>
      <c r="W58" s="1" t="s">
        <v>61</v>
      </c>
      <c r="X58" s="1" t="s">
        <v>61</v>
      </c>
      <c r="AB58" s="1"/>
      <c r="AC58" s="5" t="str">
        <f ca="1">IFERROR(__xludf.DUMMYFUNCTION("IF(Y58 = """", """", GOOGLETRANSLATE(Y58, ""en"", ""hi""))
"),"")</f>
        <v/>
      </c>
      <c r="AD58" s="5" t="str">
        <f ca="1">IFERROR(__xludf.DUMMYFUNCTION("IF(Z58 = """", """", GOOGLETRANSLATE(Z58, ""en"", ""hi""))"),"")</f>
        <v/>
      </c>
      <c r="AE58" s="5" t="str">
        <f ca="1">IFERROR(__xludf.DUMMYFUNCTION("IF(AA58 = """", """", GOOGLETRANSLATE(AA58, ""en"", ""hi""))"),"")</f>
        <v/>
      </c>
      <c r="AF58" s="5" t="str">
        <f ca="1">IFERROR(__xludf.DUMMYFUNCTION("IF(AB58 = """", """", GOOGLETRANSLATE(AB58, ""en"", ""hi""))"),"")</f>
        <v/>
      </c>
      <c r="AG58" s="5" t="str">
        <f ca="1">IFERROR(__xludf.DUMMYFUNCTION("IF(Y58 = """", """", GOOGLETRANSLATE(Y58, ""en"", ""mr""))"),"")</f>
        <v/>
      </c>
      <c r="AH58" s="5" t="str">
        <f ca="1">IFERROR(__xludf.DUMMYFUNCTION("IF(Z58 = """", """", GOOGLETRANSLATE(Z58, ""en"", ""mr""))"),"")</f>
        <v/>
      </c>
      <c r="AI58" s="5" t="str">
        <f ca="1">IFERROR(__xludf.DUMMYFUNCTION("IF(AA58 = """", """", GOOGLETRANSLATE(AA58, ""en"", ""mr""))"),"")</f>
        <v/>
      </c>
      <c r="AJ58" s="5" t="str">
        <f ca="1">IFERROR(__xludf.DUMMYFUNCTION("IF(AB58 = """", """", GOOGLETRANSLATE(AB58, ""en"", ""mr""))"),"")</f>
        <v/>
      </c>
      <c r="AK58" s="5" t="str">
        <f ca="1">IFERROR(__xludf.DUMMYFUNCTION("IF(Y58 = """", """", GOOGLETRANSLATE(Y58, ""en"", ""gu""))"),"")</f>
        <v/>
      </c>
      <c r="AL58" s="5" t="str">
        <f ca="1">IFERROR(__xludf.DUMMYFUNCTION("IF(Z58 = """", """", GOOGLETRANSLATE(Z58, ""en"", ""gu""))"),"")</f>
        <v/>
      </c>
      <c r="AM58" s="5" t="str">
        <f ca="1">IFERROR(__xludf.DUMMYFUNCTION("IF(AA58 = """", """", GOOGLETRANSLATE(AA58, ""en"", ""gu""))"),"")</f>
        <v/>
      </c>
      <c r="AN58" s="5" t="str">
        <f ca="1">IFERROR(__xludf.DUMMYFUNCTION("IF(AB58 = """", """", GOOGLETRANSLATE(AB58, ""en"", ""gu""))"),"")</f>
        <v/>
      </c>
      <c r="AO58" s="5" t="str">
        <f ca="1">IFERROR(__xludf.DUMMYFUNCTION("IF(Y58 = """", """", GOOGLETRANSLATE(Y58, ""en"", ""bn""))"),"")</f>
        <v/>
      </c>
      <c r="AP58" s="5" t="str">
        <f ca="1">IFERROR(__xludf.DUMMYFUNCTION("IF(Z58 = """", """", GOOGLETRANSLATE(Z58, ""en"", ""bn""))"),"")</f>
        <v/>
      </c>
      <c r="AQ58" s="5" t="str">
        <f ca="1">IFERROR(__xludf.DUMMYFUNCTION("IF(AA58 = """", """", GOOGLETRANSLATE(AA58, ""en"", ""bn""))"),"")</f>
        <v/>
      </c>
      <c r="AR58" s="5" t="str">
        <f ca="1">IFERROR(__xludf.DUMMYFUNCTION("IF(AB58 = """", """", GOOGLETRANSLATE(AB58, ""en"", ""bn""))"),"")</f>
        <v/>
      </c>
      <c r="AU58" s="5" t="str">
        <f ca="1">IFERROR(__xludf.DUMMYFUNCTION("IF(Y58 = """", """", GOOGLETRANSLATE(Y58, ""en"", ""te""))"),"")</f>
        <v/>
      </c>
      <c r="AV58" s="5" t="str">
        <f ca="1">IFERROR(__xludf.DUMMYFUNCTION("IF(Z58 = """", """", GOOGLETRANSLATE(Z58, ""en"", ""te""))"),"")</f>
        <v/>
      </c>
      <c r="AW58" s="5" t="str">
        <f ca="1">IFERROR(__xludf.DUMMYFUNCTION("IF(AA58 = """", """", GOOGLETRANSLATE(AA58, ""en"", ""te""))"),"")</f>
        <v/>
      </c>
      <c r="AX58" s="5" t="str">
        <f ca="1">IFERROR(__xludf.DUMMYFUNCTION("IF(AB58 = """", """", GOOGLETRANSLATE(AB58, ""en"", ""te""))"),"")</f>
        <v/>
      </c>
    </row>
    <row r="59" spans="1:50" x14ac:dyDescent="0.25">
      <c r="A59" s="1">
        <v>71</v>
      </c>
      <c r="B59" s="1" t="s">
        <v>56</v>
      </c>
      <c r="C59" s="8">
        <v>45828</v>
      </c>
      <c r="D59" s="8">
        <v>45828</v>
      </c>
      <c r="E59" s="1">
        <v>1</v>
      </c>
      <c r="F59" s="1">
        <v>1</v>
      </c>
      <c r="G59" s="3" t="s">
        <v>263</v>
      </c>
      <c r="H59" s="4">
        <v>1.1041666666666667E-2</v>
      </c>
      <c r="I59" s="7" t="s">
        <v>264</v>
      </c>
      <c r="J59" s="4">
        <v>1.736111111111111E-3</v>
      </c>
      <c r="K59" s="1" t="s">
        <v>58</v>
      </c>
      <c r="L59" s="1" t="s">
        <v>142</v>
      </c>
      <c r="M59" s="1" t="s">
        <v>19</v>
      </c>
      <c r="O59" s="1" t="s">
        <v>61</v>
      </c>
      <c r="P59" s="1" t="s">
        <v>61</v>
      </c>
      <c r="Q59" s="1" t="s">
        <v>61</v>
      </c>
      <c r="R59" s="1" t="s">
        <v>61</v>
      </c>
      <c r="S59" s="1" t="s">
        <v>61</v>
      </c>
      <c r="T59" s="1" t="s">
        <v>61</v>
      </c>
      <c r="V59" s="1" t="s">
        <v>61</v>
      </c>
      <c r="W59" s="1" t="s">
        <v>61</v>
      </c>
      <c r="X59" s="1" t="s">
        <v>61</v>
      </c>
      <c r="Y59" s="1" t="s">
        <v>265</v>
      </c>
      <c r="Z59" s="1" t="s">
        <v>266</v>
      </c>
      <c r="AA59" s="1" t="s">
        <v>267</v>
      </c>
      <c r="AB59" s="1" t="s">
        <v>268</v>
      </c>
      <c r="AC59" s="5" t="str">
        <f ca="1">IFERROR(__xludf.DUMMYFUNCTION("IF(Y59 = """", """", GOOGLETRANSLATE(Y59, ""en"", ""hi""))
"),"मंगल-केतु का 'पिशाच योग' प्रतिकूल है''")</f>
        <v>मंगल-केतु का 'पिशाच योग' प्रतिकूल है''</v>
      </c>
      <c r="AD59" s="5" t="str">
        <f ca="1">IFERROR(__xludf.DUMMYFUNCTION("IF(Z59 = """", """", GOOGLETRANSLATE(Z59, ""en"", ""hi""))"),"अपने क्रोध और वाणी पर नियंत्रण रखें")</f>
        <v>अपने क्रोध और वाणी पर नियंत्रण रखें</v>
      </c>
      <c r="AE59" s="5" t="str">
        <f ca="1">IFERROR(__xludf.DUMMYFUNCTION("IF(AA59 = """", """", GOOGLETRANSLATE(AA59, ""en"", ""hi""))"),"उकसावे पर आवेगपूर्ण प्रतिक्रिया से बचें")</f>
        <v>उकसावे पर आवेगपूर्ण प्रतिक्रिया से बचें</v>
      </c>
      <c r="AF59" s="5" t="str">
        <f ca="1">IFERROR(__xludf.DUMMYFUNCTION("IF(AB59 = """", """", GOOGLETRANSLATE(AB59, ""en"", ""hi""))"),"अनावश्यक संघर्षों से बचने के लिए शांत रहें")</f>
        <v>अनावश्यक संघर्षों से बचने के लिए शांत रहें</v>
      </c>
      <c r="AG59" s="5" t="str">
        <f ca="1">IFERROR(__xludf.DUMMYFUNCTION("IF(Y59 = """", """", GOOGLETRANSLATE(Y59, ""en"", ""mr""))"),"मंगळ-केतू 'पिसाच योग' ""प्रतिकूल""")</f>
        <v>मंगळ-केतू 'पिसाच योग' "प्रतिकूल"</v>
      </c>
      <c r="AH59" s="5" t="str">
        <f ca="1">IFERROR(__xludf.DUMMYFUNCTION("IF(Z59 = """", """", GOOGLETRANSLATE(Z59, ""en"", ""mr""))"),"रागावर आणि वाणीवर नियंत्रण ठेवा")</f>
        <v>रागावर आणि वाणीवर नियंत्रण ठेवा</v>
      </c>
      <c r="AI59" s="5" t="str">
        <f ca="1">IFERROR(__xludf.DUMMYFUNCTION("IF(AA59 = """", """", GOOGLETRANSLATE(AA59, ""en"", ""mr""))"),"चिथावणीला आवेगपूर्ण प्रतिक्रिया देणे टाळा")</f>
        <v>चिथावणीला आवेगपूर्ण प्रतिक्रिया देणे टाळा</v>
      </c>
      <c r="AJ59" s="5" t="str">
        <f ca="1">IFERROR(__xludf.DUMMYFUNCTION("IF(AB59 = """", """", GOOGLETRANSLATE(AB59, ""en"", ""mr""))"),"अनावश्यक संघर्ष टाळण्यासाठी शांत राहा")</f>
        <v>अनावश्यक संघर्ष टाळण्यासाठी शांत राहा</v>
      </c>
      <c r="AK59" s="5" t="str">
        <f ca="1">IFERROR(__xludf.DUMMYFUNCTION("IF(Y59 = """", """", GOOGLETRANSLATE(Y59, ""en"", ""gu""))"),"મંગળ-કેતુ 'પિસાચ યોગ' ""અનુકૂળ છે""")</f>
        <v>મંગળ-કેતુ 'પિસાચ યોગ' "અનુકૂળ છે"</v>
      </c>
      <c r="AL59" s="5" t="str">
        <f ca="1">IFERROR(__xludf.DUMMYFUNCTION("IF(Z59 = """", """", GOOGLETRANSLATE(Z59, ""en"", ""gu""))"),"તમારા ગુસ્સા અને વાણી પર નિયંત્રણ રાખો")</f>
        <v>તમારા ગુસ્સા અને વાણી પર નિયંત્રણ રાખો</v>
      </c>
      <c r="AM59" s="5" t="str">
        <f ca="1">IFERROR(__xludf.DUMMYFUNCTION("IF(AA59 = """", """", GOOGLETRANSLATE(AA59, ""en"", ""gu""))"),"ઉશ્કેરણી માટે આવેગજન્ય પ્રતિક્રિયા આપવાનું ટાળો")</f>
        <v>ઉશ્કેરણી માટે આવેગજન્ય પ્રતિક્રિયા આપવાનું ટાળો</v>
      </c>
      <c r="AN59" s="5" t="str">
        <f ca="1">IFERROR(__xludf.DUMMYFUNCTION("IF(AB59 = """", """", GOOGLETRANSLATE(AB59, ""en"", ""gu""))"),"બિનજરૂરી તકરારને રોકવા માટે શાંત રહો")</f>
        <v>બિનજરૂરી તકરારને રોકવા માટે શાંત રહો</v>
      </c>
      <c r="AO59" s="5" t="str">
        <f ca="1">IFERROR(__xludf.DUMMYFUNCTION("IF(Y59 = """", """", GOOGLETRANSLATE(Y59, ""en"", ""bn""))"),"মঙ্গল-কেতু 'পিসাচ যোগ' ""প্রতিকূল""")</f>
        <v>মঙ্গল-কেতু 'পিসাচ যোগ' "প্রতিকূল"</v>
      </c>
      <c r="AP59" s="5" t="str">
        <f ca="1">IFERROR(__xludf.DUMMYFUNCTION("IF(Z59 = """", """", GOOGLETRANSLATE(Z59, ""en"", ""bn""))"),"আপনার রাগ এবং কথাবার্তা নিয়ন্ত্রণ করুন")</f>
        <v>আপনার রাগ এবং কথাবার্তা নিয়ন্ত্রণ করুন</v>
      </c>
      <c r="AQ59" s="5" t="str">
        <f ca="1">IFERROR(__xludf.DUMMYFUNCTION("IF(AA59 = """", """", GOOGLETRANSLATE(AA59, ""en"", ""bn""))"),"উসকানিতে আবেগপ্রবণ প্রতিক্রিয়া দেখানো এড়িয়ে চলুন")</f>
        <v>উসকানিতে আবেগপ্রবণ প্রতিক্রিয়া দেখানো এড়িয়ে চলুন</v>
      </c>
      <c r="AR59" s="5" t="str">
        <f ca="1">IFERROR(__xludf.DUMMYFUNCTION("IF(AB59 = """", """", GOOGLETRANSLATE(AB59, ""en"", ""bn""))"),"অপ্রয়োজনীয় সংঘর্ষ এড়াতে শান্ত থাকুন")</f>
        <v>অপ্রয়োজনীয় সংঘর্ষ এড়াতে শান্ত থাকুন</v>
      </c>
      <c r="AU59" s="5" t="str">
        <f ca="1">IFERROR(__xludf.DUMMYFUNCTION("IF(Y59 = """", """", GOOGLETRANSLATE(Y59, ""en"", ""te""))"),"అంగారక-కేతు 'పిశాచ యోగం'"" అననుకూలమైనది """)</f>
        <v>అంగారక-కేతు 'పిశాచ యోగం'" అననుకూలమైనది "</v>
      </c>
      <c r="AV59" s="5" t="str">
        <f ca="1">IFERROR(__xludf.DUMMYFUNCTION("IF(Z59 = """", """", GOOGLETRANSLATE(Z59, ""en"", ""te""))"),"మీ కోపం మరియు మాటలను నియంత్రించండి")</f>
        <v>మీ కోపం మరియు మాటలను నియంత్రించండి</v>
      </c>
      <c r="AW59" s="5" t="str">
        <f ca="1">IFERROR(__xludf.DUMMYFUNCTION("IF(AA59 = """", """", GOOGLETRANSLATE(AA59, ""en"", ""te""))"),"రెచ్చగొట్టడానికి హఠాత్తుగా స్పందించడం మానుకోండి")</f>
        <v>రెచ్చగొట్టడానికి హఠాత్తుగా స్పందించడం మానుకోండి</v>
      </c>
      <c r="AX59" s="5" t="str">
        <f ca="1">IFERROR(__xludf.DUMMYFUNCTION("IF(AB59 = """", """", GOOGLETRANSLATE(AB59, ""en"", ""te""))"),"అనవసర గొడవలు రాకుండా ప్రశాంతంగా ఉండండి")</f>
        <v>అనవసర గొడవలు రాకుండా ప్రశాంతంగా ఉండండి</v>
      </c>
    </row>
    <row r="60" spans="1:50" x14ac:dyDescent="0.25">
      <c r="A60" s="1">
        <v>73</v>
      </c>
      <c r="B60" s="1" t="s">
        <v>56</v>
      </c>
      <c r="C60" s="8">
        <v>45828</v>
      </c>
      <c r="D60" s="8">
        <v>45828</v>
      </c>
      <c r="E60" s="1">
        <v>3</v>
      </c>
      <c r="F60" s="1">
        <v>1</v>
      </c>
      <c r="G60" s="3" t="s">
        <v>263</v>
      </c>
      <c r="H60" s="4">
        <v>1.1041666666666667E-2</v>
      </c>
      <c r="I60" s="4">
        <v>2.2222222222222222E-3</v>
      </c>
      <c r="J60" s="4">
        <v>2.7546296296296294E-3</v>
      </c>
      <c r="K60" s="1" t="s">
        <v>58</v>
      </c>
      <c r="L60" s="1" t="s">
        <v>97</v>
      </c>
      <c r="M60" s="1" t="s">
        <v>17</v>
      </c>
      <c r="O60" s="1" t="s">
        <v>61</v>
      </c>
      <c r="P60" s="1" t="s">
        <v>61</v>
      </c>
      <c r="Q60" s="1" t="s">
        <v>61</v>
      </c>
      <c r="R60" s="1" t="s">
        <v>61</v>
      </c>
      <c r="S60" s="1" t="s">
        <v>61</v>
      </c>
      <c r="T60" s="1" t="s">
        <v>61</v>
      </c>
      <c r="V60" s="1" t="s">
        <v>61</v>
      </c>
      <c r="W60" s="1" t="s">
        <v>61</v>
      </c>
      <c r="X60" s="1" t="s">
        <v>61</v>
      </c>
      <c r="Y60" s="1" t="s">
        <v>269</v>
      </c>
      <c r="Z60" s="1" t="s">
        <v>270</v>
      </c>
      <c r="AA60" s="1" t="s">
        <v>271</v>
      </c>
      <c r="AB60" s="1" t="s">
        <v>272</v>
      </c>
      <c r="AC60" s="5" t="str">
        <f ca="1">IFERROR(__xludf.DUMMYFUNCTION("IF(Y60 = """", """", GOOGLETRANSLATE(Y60, ""en"", ""hi""))
"),"दिन व्यस्त रहेगा")</f>
        <v>दिन व्यस्त रहेगा</v>
      </c>
      <c r="AD60" s="5" t="str">
        <f ca="1">IFERROR(__xludf.DUMMYFUNCTION("IF(Z60 = """", """", GOOGLETRANSLATE(Z60, ""en"", ""hi""))"),"बृहस्पति राहु के नक्षत्र में है—अपने स्वास्थ्य का ध्यान रखें")</f>
        <v>बृहस्पति राहु के नक्षत्र में है—अपने स्वास्थ्य का ध्यान रखें</v>
      </c>
      <c r="AE60" s="5" t="str">
        <f ca="1">IFERROR(__xludf.DUMMYFUNCTION("IF(AA60 = """", """", GOOGLETRANSLATE(AA60, ""en"", ""hi""))"),"मौसमी बीमारियों को नज़रअंदाज़ न करें")</f>
        <v>मौसमी बीमारियों को नज़रअंदाज़ न करें</v>
      </c>
      <c r="AF60" s="5" t="str">
        <f ca="1">IFERROR(__xludf.DUMMYFUNCTION("IF(AB60 = """", """", GOOGLETRANSLATE(AB60, ""en"", ""hi""))"),"शाम के बाद थकान की संभावना")</f>
        <v>शाम के बाद थकान की संभावना</v>
      </c>
      <c r="AG60" s="5" t="str">
        <f ca="1">IFERROR(__xludf.DUMMYFUNCTION("IF(Y60 = """", """", GOOGLETRANSLATE(Y60, ""en"", ""mr""))"),"दिवस व्यस्त असेल")</f>
        <v>दिवस व्यस्त असेल</v>
      </c>
      <c r="AH60" s="5" t="str">
        <f ca="1">IFERROR(__xludf.DUMMYFUNCTION("IF(Z60 = """", """", GOOGLETRANSLATE(Z60, ""en"", ""mr""))"),"बृहस्पति राहूच्या नक्षत्रात आहे - आपल्या आरोग्याकडे लक्ष द्या")</f>
        <v>बृहस्पति राहूच्या नक्षत्रात आहे - आपल्या आरोग्याकडे लक्ष द्या</v>
      </c>
      <c r="AI60" s="5" t="str">
        <f ca="1">IFERROR(__xludf.DUMMYFUNCTION("IF(AA60 = """", """", GOOGLETRANSLATE(AA60, ""en"", ""mr""))"),"हंगामी आजारांकडे दुर्लक्ष करू नका")</f>
        <v>हंगामी आजारांकडे दुर्लक्ष करू नका</v>
      </c>
      <c r="AJ60" s="5" t="str">
        <f ca="1">IFERROR(__xludf.DUMMYFUNCTION("IF(AB60 = """", """", GOOGLETRANSLATE(AB60, ""en"", ""mr""))"),"संध्याकाळनंतर थकवा येण्याची शक्यता आहे")</f>
        <v>संध्याकाळनंतर थकवा येण्याची शक्यता आहे</v>
      </c>
      <c r="AK60" s="5" t="str">
        <f ca="1">IFERROR(__xludf.DUMMYFUNCTION("IF(Y60 = """", """", GOOGLETRANSLATE(Y60, ""en"", ""gu""))"),"દિવસ વ્યસ્ત રહેશે")</f>
        <v>દિવસ વ્યસ્ત રહેશે</v>
      </c>
      <c r="AL60" s="5" t="str">
        <f ca="1">IFERROR(__xludf.DUMMYFUNCTION("IF(Z60 = """", """", GOOGLETRANSLATE(Z60, ""en"", ""gu""))"),"ગુરુ રાહુના નક્ષત્રમાં છે - તમારા સ્વાસ્થ્યનું ધ્યાન રાખો")</f>
        <v>ગુરુ રાહુના નક્ષત્રમાં છે - તમારા સ્વાસ્થ્યનું ધ્યાન રાખો</v>
      </c>
      <c r="AM60" s="5" t="str">
        <f ca="1">IFERROR(__xludf.DUMMYFUNCTION("IF(AA60 = """", """", GOOGLETRANSLATE(AA60, ""en"", ""gu""))"),"મોસમી બીમારીઓને અવગણશો નહીં")</f>
        <v>મોસમી બીમારીઓને અવગણશો નહીં</v>
      </c>
      <c r="AN60" s="5" t="str">
        <f ca="1">IFERROR(__xludf.DUMMYFUNCTION("IF(AB60 = """", """", GOOGLETRANSLATE(AB60, ""en"", ""gu""))"),"સાંજ પછી થાકની શક્યતા")</f>
        <v>સાંજ પછી થાકની શક્યતા</v>
      </c>
      <c r="AO60" s="5" t="str">
        <f ca="1">IFERROR(__xludf.DUMMYFUNCTION("IF(Y60 = """", """", GOOGLETRANSLATE(Y60, ""en"", ""bn""))"),"দিনটি ব্যস্ত থাকবে")</f>
        <v>দিনটি ব্যস্ত থাকবে</v>
      </c>
      <c r="AP60" s="5" t="str">
        <f ca="1">IFERROR(__xludf.DUMMYFUNCTION("IF(Z60 = """", """", GOOGLETRANSLATE(Z60, ""en"", ""bn""))"),"বৃহস্পতি রাহুর নক্ষত্রে রয়েছে - আপনার স্বাস্থ্যের দিকে নজর রাখুন")</f>
        <v>বৃহস্পতি রাহুর নক্ষত্রে রয়েছে - আপনার স্বাস্থ্যের দিকে নজর রাখুন</v>
      </c>
      <c r="AQ60" s="5" t="str">
        <f ca="1">IFERROR(__xludf.DUMMYFUNCTION("IF(AA60 = """", """", GOOGLETRANSLATE(AA60, ""en"", ""bn""))"),"মৌসুমি অসুখ উপেক্ষা করবেন না")</f>
        <v>মৌসুমি অসুখ উপেক্ষা করবেন না</v>
      </c>
      <c r="AR60" s="5" t="str">
        <f ca="1">IFERROR(__xludf.DUMMYFUNCTION("IF(AB60 = """", """", GOOGLETRANSLATE(AB60, ""en"", ""bn""))"),"সন্ধ্যা-পরবর্তী ক্লান্তি সম্ভাবনা")</f>
        <v>সন্ধ্যা-পরবর্তী ক্লান্তি সম্ভাবনা</v>
      </c>
      <c r="AU60" s="5" t="str">
        <f ca="1">IFERROR(__xludf.DUMMYFUNCTION("IF(Y60 = """", """", GOOGLETRANSLATE(Y60, ""en"", ""te""))"),"రోజు ఉల్లాసంగా ఉంటుంది")</f>
        <v>రోజు ఉల్లాసంగా ఉంటుంది</v>
      </c>
      <c r="AV60" s="5" t="str">
        <f ca="1">IFERROR(__xludf.DUMMYFUNCTION("IF(Z60 = """", """", GOOGLETRANSLATE(Z60, ""en"", ""te""))"),"బృహస్పతి రాహు నక్షత్రంలో ఉన్నాడు-మీ ఆరోగ్యాన్ని గమనించండి")</f>
        <v>బృహస్పతి రాహు నక్షత్రంలో ఉన్నాడు-మీ ఆరోగ్యాన్ని గమనించండి</v>
      </c>
      <c r="AW60" s="5" t="str">
        <f ca="1">IFERROR(__xludf.DUMMYFUNCTION("IF(AA60 = """", """", GOOGLETRANSLATE(AA60, ""en"", ""te""))"),"సీజనల్ వ్యాధులను నిర్లక్ష్యం చేయవద్దు")</f>
        <v>సీజనల్ వ్యాధులను నిర్లక్ష్యం చేయవద్దు</v>
      </c>
      <c r="AX60" s="5" t="str">
        <f ca="1">IFERROR(__xludf.DUMMYFUNCTION("IF(AB60 = """", """", GOOGLETRANSLATE(AB60, ""en"", ""te""))"),"సాయంత్రం తర్వాత అలసట వచ్చే అవకాశం ఉంది")</f>
        <v>సాయంత్రం తర్వాత అలసట వచ్చే అవకాశం ఉంది</v>
      </c>
    </row>
    <row r="61" spans="1:50" x14ac:dyDescent="0.25">
      <c r="A61" s="1">
        <v>74</v>
      </c>
      <c r="B61" s="1" t="s">
        <v>56</v>
      </c>
      <c r="C61" s="8">
        <v>45828</v>
      </c>
      <c r="D61" s="8">
        <v>45828</v>
      </c>
      <c r="E61" s="1">
        <v>4</v>
      </c>
      <c r="F61" s="1">
        <v>1</v>
      </c>
      <c r="G61" s="3" t="s">
        <v>263</v>
      </c>
      <c r="H61" s="4">
        <v>1.1041666666666667E-2</v>
      </c>
      <c r="I61" s="4">
        <v>2.7546296296296294E-3</v>
      </c>
      <c r="J61" s="4">
        <v>3.6689814814814814E-3</v>
      </c>
      <c r="K61" s="1" t="s">
        <v>58</v>
      </c>
      <c r="L61" s="1" t="s">
        <v>102</v>
      </c>
      <c r="M61" s="1" t="s">
        <v>14</v>
      </c>
      <c r="O61" s="1" t="s">
        <v>61</v>
      </c>
      <c r="P61" s="1" t="s">
        <v>61</v>
      </c>
      <c r="Q61" s="1" t="s">
        <v>61</v>
      </c>
      <c r="R61" s="1" t="s">
        <v>61</v>
      </c>
      <c r="S61" s="1" t="s">
        <v>61</v>
      </c>
      <c r="T61" s="1" t="s">
        <v>61</v>
      </c>
      <c r="V61" s="1" t="s">
        <v>61</v>
      </c>
      <c r="W61" s="1" t="s">
        <v>61</v>
      </c>
      <c r="X61" s="1" t="s">
        <v>61</v>
      </c>
      <c r="Y61" s="1" t="s">
        <v>273</v>
      </c>
      <c r="Z61" s="1" t="s">
        <v>274</v>
      </c>
      <c r="AA61" s="1" t="s">
        <v>275</v>
      </c>
      <c r="AB61" s="1" t="s">
        <v>276</v>
      </c>
      <c r="AC61" s="5" t="str">
        <f ca="1">IFERROR(__xludf.DUMMYFUNCTION("IF(Y61 = """", """", GOOGLETRANSLATE(Y61, ""en"", ""hi""))
"),"उत्पादक और अनुकूल दिन")</f>
        <v>उत्पादक और अनुकूल दिन</v>
      </c>
      <c r="AD61" s="5" t="str">
        <f ca="1">IFERROR(__xludf.DUMMYFUNCTION("IF(Z61 = """", """", GOOGLETRANSLATE(Z61, ""en"", ""hi""))"),"चोटों और शरीर के दर्द के प्रति सतर्क रहें")</f>
        <v>चोटों और शरीर के दर्द के प्रति सतर्क रहें</v>
      </c>
      <c r="AE61" s="5" t="str">
        <f ca="1">IFERROR(__xludf.DUMMYFUNCTION("IF(AA61 = """", """", GOOGLETRANSLATE(AA61, ""en"", ""hi""))"),"ध्यान से चलाएं")</f>
        <v>ध्यान से चलाएं</v>
      </c>
      <c r="AF61" s="5" t="str">
        <f ca="1">IFERROR(__xludf.DUMMYFUNCTION("IF(AB61 = """", """", GOOGLETRANSLATE(AB61, ""en"", ""hi""))"),"सभी वित्तीय सौदों की दोबारा जांच करें")</f>
        <v>सभी वित्तीय सौदों की दोबारा जांच करें</v>
      </c>
      <c r="AG61" s="5" t="str">
        <f ca="1">IFERROR(__xludf.DUMMYFUNCTION("IF(Y61 = """", """", GOOGLETRANSLATE(Y61, ""en"", ""mr""))"),"फलदायी आणि अनुकूल दिवस")</f>
        <v>फलदायी आणि अनुकूल दिवस</v>
      </c>
      <c r="AH61" s="5" t="str">
        <f ca="1">IFERROR(__xludf.DUMMYFUNCTION("IF(Z61 = """", """", GOOGLETRANSLATE(Z61, ""en"", ""mr""))"),"दुखापत आणि शरीर दुखण्याबाबत सावध राहा")</f>
        <v>दुखापत आणि शरीर दुखण्याबाबत सावध राहा</v>
      </c>
      <c r="AI61" s="5" t="str">
        <f ca="1">IFERROR(__xludf.DUMMYFUNCTION("IF(AA61 = """", """", GOOGLETRANSLATE(AA61, ""en"", ""mr""))"),"जपून चालवा")</f>
        <v>जपून चालवा</v>
      </c>
      <c r="AJ61" s="5" t="str">
        <f ca="1">IFERROR(__xludf.DUMMYFUNCTION("IF(AB61 = """", """", GOOGLETRANSLATE(AB61, ""en"", ""mr""))"),"सर्व आर्थिक सौदे पुन्हा तपासा")</f>
        <v>सर्व आर्थिक सौदे पुन्हा तपासा</v>
      </c>
      <c r="AK61" s="5" t="str">
        <f ca="1">IFERROR(__xludf.DUMMYFUNCTION("IF(Y61 = """", """", GOOGLETRANSLATE(Y61, ""en"", ""gu""))"),"ફળદાયી અને અનુકૂળ દિવસ")</f>
        <v>ફળદાયી અને અનુકૂળ દિવસ</v>
      </c>
      <c r="AL61" s="5" t="str">
        <f ca="1">IFERROR(__xludf.DUMMYFUNCTION("IF(Z61 = """", """", GOOGLETRANSLATE(Z61, ""en"", ""gu""))"),"ઇજાઓ અને શરીરના દુખાવા અંગે સાવધાની રાખો")</f>
        <v>ઇજાઓ અને શરીરના દુખાવા અંગે સાવધાની રાખો</v>
      </c>
      <c r="AM61" s="5" t="str">
        <f ca="1">IFERROR(__xludf.DUMMYFUNCTION("IF(AA61 = """", """", GOOGLETRANSLATE(AA61, ""en"", ""gu""))"),"કાળજીપૂર્વક વાહન ચલાવો")</f>
        <v>કાળજીપૂર્વક વાહન ચલાવો</v>
      </c>
      <c r="AN61" s="5" t="str">
        <f ca="1">IFERROR(__xludf.DUMMYFUNCTION("IF(AB61 = """", """", GOOGLETRANSLATE(AB61, ""en"", ""gu""))"),"તમામ નાણાકીય સોદાઓ બે વાર તપાસો")</f>
        <v>તમામ નાણાકીય સોદાઓ બે વાર તપાસો</v>
      </c>
      <c r="AO61" s="5" t="str">
        <f ca="1">IFERROR(__xludf.DUMMYFUNCTION("IF(Y61 = """", """", GOOGLETRANSLATE(Y61, ""en"", ""bn""))"),"ফলদায়ক এবং অনুকূল দিন")</f>
        <v>ফলদায়ক এবং অনুকূল দিন</v>
      </c>
      <c r="AP61" s="5" t="str">
        <f ca="1">IFERROR(__xludf.DUMMYFUNCTION("IF(Z61 = """", """", GOOGLETRANSLATE(Z61, ""en"", ""bn""))"),"আঘাত এবং শরীরের ব্যথা সম্পর্কে সতর্ক থাকুন")</f>
        <v>আঘাত এবং শরীরের ব্যথা সম্পর্কে সতর্ক থাকুন</v>
      </c>
      <c r="AQ61" s="5" t="str">
        <f ca="1">IFERROR(__xludf.DUMMYFUNCTION("IF(AA61 = """", """", GOOGLETRANSLATE(AA61, ""en"", ""bn""))"),"সাবধানে চালান")</f>
        <v>সাবধানে চালান</v>
      </c>
      <c r="AR61" s="5" t="str">
        <f ca="1">IFERROR(__xludf.DUMMYFUNCTION("IF(AB61 = """", """", GOOGLETRANSLATE(AB61, ""en"", ""bn""))"),"সমস্ত আর্থিক চুক্তি দুবার চেক করুন")</f>
        <v>সমস্ত আর্থিক চুক্তি দুবার চেক করুন</v>
      </c>
      <c r="AU61" s="5" t="str">
        <f ca="1">IFERROR(__xludf.DUMMYFUNCTION("IF(Y61 = """", """", GOOGLETRANSLATE(Y61, ""en"", ""te""))"),"ఉత్పాదక మరియు అనుకూలమైన రోజు")</f>
        <v>ఉత్పాదక మరియు అనుకూలమైన రోజు</v>
      </c>
      <c r="AV61" s="5" t="str">
        <f ca="1">IFERROR(__xludf.DUMMYFUNCTION("IF(Z61 = """", """", GOOGLETRANSLATE(Z61, ""en"", ""te""))"),"గాయాలు మరియు శరీర నొప్పుల పట్ల జాగ్రత్తగా ఉండండి")</f>
        <v>గాయాలు మరియు శరీర నొప్పుల పట్ల జాగ్రత్తగా ఉండండి</v>
      </c>
      <c r="AW61" s="5" t="str">
        <f ca="1">IFERROR(__xludf.DUMMYFUNCTION("IF(AA61 = """", """", GOOGLETRANSLATE(AA61, ""en"", ""te""))"),"జాగ్రత్తగా డ్రైవ్ చేయండి")</f>
        <v>జాగ్రత్తగా డ్రైవ్ చేయండి</v>
      </c>
      <c r="AX61" s="5" t="str">
        <f ca="1">IFERROR(__xludf.DUMMYFUNCTION("IF(AB61 = """", """", GOOGLETRANSLATE(AB61, ""en"", ""te""))"),"అన్ని ఆర్థిక ఒప్పందాలను ఒకటికి రెండుసార్లు తనిఖీ చేయండి")</f>
        <v>అన్ని ఆర్థిక ఒప్పందాలను ఒకటికి రెండుసార్లు తనిఖీ చేయండి</v>
      </c>
    </row>
    <row r="62" spans="1:50" x14ac:dyDescent="0.25">
      <c r="A62" s="1">
        <v>75</v>
      </c>
      <c r="B62" s="1" t="s">
        <v>56</v>
      </c>
      <c r="C62" s="8">
        <v>45828</v>
      </c>
      <c r="D62" s="8">
        <v>45828</v>
      </c>
      <c r="E62" s="1">
        <v>5</v>
      </c>
      <c r="F62" s="1">
        <v>1</v>
      </c>
      <c r="G62" s="3" t="s">
        <v>263</v>
      </c>
      <c r="H62" s="4">
        <v>1.1041666666666667E-2</v>
      </c>
      <c r="I62" s="4">
        <v>3.6689814814814814E-3</v>
      </c>
      <c r="J62" s="4">
        <v>4.1087962962962962E-3</v>
      </c>
      <c r="K62" s="1" t="s">
        <v>58</v>
      </c>
      <c r="L62" s="1" t="s">
        <v>108</v>
      </c>
      <c r="M62" s="1" t="s">
        <v>19</v>
      </c>
      <c r="O62" s="1" t="s">
        <v>61</v>
      </c>
      <c r="P62" s="1" t="s">
        <v>61</v>
      </c>
      <c r="Q62" s="1" t="s">
        <v>61</v>
      </c>
      <c r="R62" s="1" t="s">
        <v>61</v>
      </c>
      <c r="S62" s="1" t="s">
        <v>61</v>
      </c>
      <c r="T62" s="1" t="s">
        <v>61</v>
      </c>
      <c r="V62" s="1" t="s">
        <v>61</v>
      </c>
      <c r="W62" s="1" t="s">
        <v>61</v>
      </c>
      <c r="X62" s="1" t="s">
        <v>61</v>
      </c>
      <c r="Y62" s="1" t="s">
        <v>277</v>
      </c>
      <c r="Z62" s="1" t="s">
        <v>278</v>
      </c>
      <c r="AA62" s="1" t="s">
        <v>279</v>
      </c>
      <c r="AB62" s="1" t="s">
        <v>280</v>
      </c>
      <c r="AC62" s="5" t="str">
        <f ca="1">IFERROR(__xludf.DUMMYFUNCTION("IF(Y62 = """", """", GOOGLETRANSLATE(Y62, ""en"", ""hi""))
"),"स्वास्थ्य संबंधी चिंताएँ बनी हुई हैं")</f>
        <v>स्वास्थ्य संबंधी चिंताएँ बनी हुई हैं</v>
      </c>
      <c r="AD62" s="5" t="str">
        <f ca="1">IFERROR(__xludf.DUMMYFUNCTION("IF(Z62 = """", """", GOOGLETRANSLATE(Z62, ""en"", ""hi""))"),"सामाजिक और कार्य गतिविधियों में अत्यधिक परिश्रम से बचें")</f>
        <v>सामाजिक और कार्य गतिविधियों में अत्यधिक परिश्रम से बचें</v>
      </c>
      <c r="AE62" s="5" t="str">
        <f ca="1">IFERROR(__xludf.DUMMYFUNCTION("IF(AA62 = """", """", GOOGLETRANSLATE(AA62, ""en"", ""hi""))"),"सुरक्षापूर्वक ड्राइव करें")</f>
        <v>सुरक्षापूर्वक ड्राइव करें</v>
      </c>
      <c r="AF62" s="5" t="str">
        <f ca="1">IFERROR(__xludf.DUMMYFUNCTION("IF(AB62 = """", """", GOOGLETRANSLATE(AB62, ""en"", ""hi""))"),"स्वास्थ्य संबंधी परेशानियों से बचने के लिए संतुलन बनाए रखें")</f>
        <v>स्वास्थ्य संबंधी परेशानियों से बचने के लिए संतुलन बनाए रखें</v>
      </c>
      <c r="AG62" s="5" t="str">
        <f ca="1">IFERROR(__xludf.DUMMYFUNCTION("IF(Y62 = """", """", GOOGLETRANSLATE(Y62, ""en"", ""mr""))"),"आरोग्याची चिंता कायम आहे")</f>
        <v>आरोग्याची चिंता कायम आहे</v>
      </c>
      <c r="AH62" s="5" t="str">
        <f ca="1">IFERROR(__xludf.DUMMYFUNCTION("IF(Z62 = """", """", GOOGLETRANSLATE(Z62, ""en"", ""mr""))"),"सामाजिक आणि कामाच्या क्रियाकलापांमध्ये जास्त परिश्रम टाळा")</f>
        <v>सामाजिक आणि कामाच्या क्रियाकलापांमध्ये जास्त परिश्रम टाळा</v>
      </c>
      <c r="AI62" s="5" t="str">
        <f ca="1">IFERROR(__xludf.DUMMYFUNCTION("IF(AA62 = """", """", GOOGLETRANSLATE(AA62, ""en"", ""mr""))"),"सुरक्षितपणे चालवा")</f>
        <v>सुरक्षितपणे चालवा</v>
      </c>
      <c r="AJ62" s="5" t="str">
        <f ca="1">IFERROR(__xludf.DUMMYFUNCTION("IF(AB62 = """", """", GOOGLETRANSLATE(AB62, ""en"", ""mr""))"),"आरोग्याचे नुकसान टाळण्यासाठी संतुलन राखा")</f>
        <v>आरोग्याचे नुकसान टाळण्यासाठी संतुलन राखा</v>
      </c>
      <c r="AK62" s="5" t="str">
        <f ca="1">IFERROR(__xludf.DUMMYFUNCTION("IF(Y62 = """", """", GOOGLETRANSLATE(Y62, ""en"", ""gu""))"),"સ્વાસ્થ્યની ચિંતા રહે")</f>
        <v>સ્વાસ્થ્યની ચિંતા રહે</v>
      </c>
      <c r="AL62" s="5" t="str">
        <f ca="1">IFERROR(__xludf.DUMMYFUNCTION("IF(Z62 = """", """", GOOGLETRANSLATE(Z62, ""en"", ""gu""))"),"સામાજિક અને કાર્યકારી પ્રવૃત્તિઓમાં અતિશય મહેનત ટાળો")</f>
        <v>સામાજિક અને કાર્યકારી પ્રવૃત્તિઓમાં અતિશય મહેનત ટાળો</v>
      </c>
      <c r="AM62" s="5" t="str">
        <f ca="1">IFERROR(__xludf.DUMMYFUNCTION("IF(AA62 = """", """", GOOGLETRANSLATE(AA62, ""en"", ""gu""))"),"સલામત રીતે વાહન ચલાવો")</f>
        <v>સલામત રીતે વાહન ચલાવો</v>
      </c>
      <c r="AN62" s="5" t="str">
        <f ca="1">IFERROR(__xludf.DUMMYFUNCTION("IF(AB62 = """", """", GOOGLETRANSLATE(AB62, ""en"", ""gu""))"),"સ્વાસ્થ્યને લગતી અડચણોથી બચવા માટે સંતુલન જાળવો")</f>
        <v>સ્વાસ્થ્યને લગતી અડચણોથી બચવા માટે સંતુલન જાળવો</v>
      </c>
      <c r="AO62" s="5" t="str">
        <f ca="1">IFERROR(__xludf.DUMMYFUNCTION("IF(Y62 = """", """", GOOGLETRANSLATE(Y62, ""en"", ""bn""))"),"স্বাস্থ্য উদ্বেগ অব্যাহত")</f>
        <v>স্বাস্থ্য উদ্বেগ অব্যাহত</v>
      </c>
      <c r="AP62" s="5" t="str">
        <f ca="1">IFERROR(__xludf.DUMMYFUNCTION("IF(Z62 = """", """", GOOGLETRANSLATE(Z62, ""en"", ""bn""))"),"সামাজিক এবং কাজের ক্রিয়াকলাপে অতিরিক্ত পরিশ্রম এড়িয়ে চলুন")</f>
        <v>সামাজিক এবং কাজের ক্রিয়াকলাপে অতিরিক্ত পরিশ্রম এড়িয়ে চলুন</v>
      </c>
      <c r="AQ62" s="5" t="str">
        <f ca="1">IFERROR(__xludf.DUMMYFUNCTION("IF(AA62 = """", """", GOOGLETRANSLATE(AA62, ""en"", ""bn""))"),"নিরাপদে গাড়ি চালান")</f>
        <v>নিরাপদে গাড়ি চালান</v>
      </c>
      <c r="AR62" s="5" t="str">
        <f ca="1">IFERROR(__xludf.DUMMYFUNCTION("IF(AB62 = """", """", GOOGLETRANSLATE(AB62, ""en"", ""bn""))"),"স্বাস্থ্য বিপর্যয় রোধ করতে ভারসাম্য বজায় রাখুন")</f>
        <v>স্বাস্থ্য বিপর্যয় রোধ করতে ভারসাম্য বজায় রাখুন</v>
      </c>
      <c r="AU62" s="5" t="str">
        <f ca="1">IFERROR(__xludf.DUMMYFUNCTION("IF(Y62 = """", """", GOOGLETRANSLATE(Y62, ""en"", ""te""))"),"ఆరోగ్యపరమైన ఆందోళనలు కొనసాగుతున్నాయి")</f>
        <v>ఆరోగ్యపరమైన ఆందోళనలు కొనసాగుతున్నాయి</v>
      </c>
      <c r="AV62" s="5" t="str">
        <f ca="1">IFERROR(__xludf.DUMMYFUNCTION("IF(Z62 = """", """", GOOGLETRANSLATE(Z62, ""en"", ""te""))"),"సామాజిక మరియు పని కార్యకలాపాలలో అధిక శ్రమను నివారించండి")</f>
        <v>సామాజిక మరియు పని కార్యకలాపాలలో అధిక శ్రమను నివారించండి</v>
      </c>
      <c r="AW62" s="5" t="str">
        <f ca="1">IFERROR(__xludf.DUMMYFUNCTION("IF(AA62 = """", """", GOOGLETRANSLATE(AA62, ""en"", ""te""))"),"సురక్షితంగా డ్రైవ్ చేయండి")</f>
        <v>సురక్షితంగా డ్రైవ్ చేయండి</v>
      </c>
      <c r="AX62" s="5" t="str">
        <f ca="1">IFERROR(__xludf.DUMMYFUNCTION("IF(AB62 = """", """", GOOGLETRANSLATE(AB62, ""en"", ""te""))"),"ఆరోగ్య వైఫల్యాలను నివారించడానికి సమతుల్యతను కాపాడుకోండి")</f>
        <v>ఆరోగ్య వైఫల్యాలను నివారించడానికి సమతుల్యతను కాపాడుకోండి</v>
      </c>
    </row>
    <row r="63" spans="1:50" x14ac:dyDescent="0.25">
      <c r="A63" s="1">
        <v>76</v>
      </c>
      <c r="B63" s="1" t="s">
        <v>56</v>
      </c>
      <c r="C63" s="8">
        <v>45828</v>
      </c>
      <c r="D63" s="8">
        <v>45828</v>
      </c>
      <c r="E63" s="1">
        <v>6</v>
      </c>
      <c r="F63" s="1">
        <v>1</v>
      </c>
      <c r="G63" s="3" t="s">
        <v>263</v>
      </c>
      <c r="H63" s="4">
        <v>1.1041666666666667E-2</v>
      </c>
      <c r="I63" s="4">
        <v>4.1087962962962962E-3</v>
      </c>
      <c r="J63" s="4">
        <v>4.8495370370370368E-3</v>
      </c>
      <c r="K63" s="1" t="s">
        <v>58</v>
      </c>
      <c r="L63" s="1" t="s">
        <v>113</v>
      </c>
      <c r="M63" s="1" t="s">
        <v>14</v>
      </c>
      <c r="O63" s="1" t="s">
        <v>61</v>
      </c>
      <c r="P63" s="1" t="s">
        <v>61</v>
      </c>
      <c r="Q63" s="1" t="s">
        <v>61</v>
      </c>
      <c r="R63" s="1" t="s">
        <v>61</v>
      </c>
      <c r="S63" s="1" t="s">
        <v>61</v>
      </c>
      <c r="T63" s="1" t="s">
        <v>61</v>
      </c>
      <c r="V63" s="1" t="s">
        <v>61</v>
      </c>
      <c r="W63" s="1" t="s">
        <v>61</v>
      </c>
      <c r="X63" s="1" t="s">
        <v>61</v>
      </c>
      <c r="Y63" s="1" t="s">
        <v>281</v>
      </c>
      <c r="Z63" s="1" t="s">
        <v>282</v>
      </c>
      <c r="AA63" s="1" t="s">
        <v>283</v>
      </c>
      <c r="AB63" s="1"/>
      <c r="AC63" s="5" t="str">
        <f ca="1">IFERROR(__xludf.DUMMYFUNCTION("IF(Y63 = """", """", GOOGLETRANSLATE(Y63, ""en"", ""hi""))
"),"पुराने दोस्तों से अचानक पुनः सम्पर्क संभव")</f>
        <v>पुराने दोस्तों से अचानक पुनः सम्पर्क संभव</v>
      </c>
      <c r="AD63" s="5" t="str">
        <f ca="1">IFERROR(__xludf.DUMMYFUNCTION("IF(Z63 = """", """", GOOGLETRANSLATE(Z63, ""en"", ""hi""))"),"महत्वपूर्ण निर्णयों के लिए अच्छा दिन")</f>
        <v>महत्वपूर्ण निर्णयों के लिए अच्छा दिन</v>
      </c>
      <c r="AE63" s="5" t="str">
        <f ca="1">IFERROR(__xludf.DUMMYFUNCTION("IF(AA63 = """", """", GOOGLETRANSLATE(AA63, ""en"", ""hi""))"),"लंबित सरकारी कार्यों पर अनुवर्ती कार्रवाई")</f>
        <v>लंबित सरकारी कार्यों पर अनुवर्ती कार्रवाई</v>
      </c>
      <c r="AF63" s="5" t="str">
        <f ca="1">IFERROR(__xludf.DUMMYFUNCTION("IF(AB63 = """", """", GOOGLETRANSLATE(AB63, ""en"", ""hi""))"),"")</f>
        <v/>
      </c>
      <c r="AG63" s="5" t="str">
        <f ca="1">IFERROR(__xludf.DUMMYFUNCTION("IF(Y63 = """", """", GOOGLETRANSLATE(Y63, ""en"", ""mr""))"),"जुन्या मित्रांशी अचानक पुन्हा संपर्क संभवतो")</f>
        <v>जुन्या मित्रांशी अचानक पुन्हा संपर्क संभवतो</v>
      </c>
      <c r="AH63" s="5" t="str">
        <f ca="1">IFERROR(__xludf.DUMMYFUNCTION("IF(Z63 = """", """", GOOGLETRANSLATE(Z63, ""en"", ""mr""))"),"महत्त्वाच्या निर्णयांसाठी दिवस चांगला आहे")</f>
        <v>महत्त्वाच्या निर्णयांसाठी दिवस चांगला आहे</v>
      </c>
      <c r="AI63" s="5" t="str">
        <f ca="1">IFERROR(__xludf.DUMMYFUNCTION("IF(AA63 = """", """", GOOGLETRANSLATE(AA63, ""en"", ""mr""))"),"प्रलंबित सरकारी कामांचा पाठपुरावा")</f>
        <v>प्रलंबित सरकारी कामांचा पाठपुरावा</v>
      </c>
      <c r="AJ63" s="5" t="str">
        <f ca="1">IFERROR(__xludf.DUMMYFUNCTION("IF(AB63 = """", """", GOOGLETRANSLATE(AB63, ""en"", ""mr""))"),"")</f>
        <v/>
      </c>
      <c r="AK63" s="5" t="str">
        <f ca="1">IFERROR(__xludf.DUMMYFUNCTION("IF(Y63 = """", """", GOOGLETRANSLATE(Y63, ""en"", ""gu""))"),"જૂના મિત્રો સાથે અચાનક ફરી જોડાણ શક્ય છે")</f>
        <v>જૂના મિત્રો સાથે અચાનક ફરી જોડાણ શક્ય છે</v>
      </c>
      <c r="AL63" s="5" t="str">
        <f ca="1">IFERROR(__xludf.DUMMYFUNCTION("IF(Z63 = """", """", GOOGLETRANSLATE(Z63, ""en"", ""gu""))"),"મહત્વપૂર્ણ નિર્ણયો માટે સારો દિવસ")</f>
        <v>મહત્વપૂર્ણ નિર્ણયો માટે સારો દિવસ</v>
      </c>
      <c r="AM63" s="5" t="str">
        <f ca="1">IFERROR(__xludf.DUMMYFUNCTION("IF(AA63 = """", """", GOOGLETRANSLATE(AA63, ""en"", ""gu""))"),"બાકી સરકારી કામકાજ પર ફોલોઅપ કરો")</f>
        <v>બાકી સરકારી કામકાજ પર ફોલોઅપ કરો</v>
      </c>
      <c r="AN63" s="5" t="str">
        <f ca="1">IFERROR(__xludf.DUMMYFUNCTION("IF(AB63 = """", """", GOOGLETRANSLATE(AB63, ""en"", ""gu""))"),"")</f>
        <v/>
      </c>
      <c r="AO63" s="5" t="str">
        <f ca="1">IFERROR(__xludf.DUMMYFUNCTION("IF(Y63 = """", """", GOOGLETRANSLATE(Y63, ""en"", ""bn""))"),"পুরানো বন্ধুদের সাথে হঠাৎ পুনঃসংযোগ সম্ভব")</f>
        <v>পুরানো বন্ধুদের সাথে হঠাৎ পুনঃসংযোগ সম্ভব</v>
      </c>
      <c r="AP63" s="5" t="str">
        <f ca="1">IFERROR(__xludf.DUMMYFUNCTION("IF(Z63 = """", """", GOOGLETRANSLATE(Z63, ""en"", ""bn""))"),"গুরুত্বপূর্ণ সিদ্ধান্তের জন্য দিনটি শুভ")</f>
        <v>গুরুত্বপূর্ণ সিদ্ধান্তের জন্য দিনটি শুভ</v>
      </c>
      <c r="AQ63" s="5" t="str">
        <f ca="1">IFERROR(__xludf.DUMMYFUNCTION("IF(AA63 = """", """", GOOGLETRANSLATE(AA63, ""en"", ""bn""))"),"মুলতুবি থাকা সরকারি কাজ অনুসরণ করুন")</f>
        <v>মুলতুবি থাকা সরকারি কাজ অনুসরণ করুন</v>
      </c>
      <c r="AR63" s="5" t="str">
        <f ca="1">IFERROR(__xludf.DUMMYFUNCTION("IF(AB63 = """", """", GOOGLETRANSLATE(AB63, ""en"", ""bn""))"),"")</f>
        <v/>
      </c>
      <c r="AU63" s="5" t="str">
        <f ca="1">IFERROR(__xludf.DUMMYFUNCTION("IF(Y63 = """", """", GOOGLETRANSLATE(Y63, ""en"", ""te""))"),"పాత మిత్రులతో ఆకస్మిక అనుబంధం సాధ్యమవుతుంది")</f>
        <v>పాత మిత్రులతో ఆకస్మిక అనుబంధం సాధ్యమవుతుంది</v>
      </c>
      <c r="AV63" s="5" t="str">
        <f ca="1">IFERROR(__xludf.DUMMYFUNCTION("IF(Z63 = """", """", GOOGLETRANSLATE(Z63, ""en"", ""te""))"),"ముఖ్యమైన నిర్ణయాలకు మంచి రోజు")</f>
        <v>ముఖ్యమైన నిర్ణయాలకు మంచి రోజు</v>
      </c>
      <c r="AW63" s="5" t="str">
        <f ca="1">IFERROR(__xludf.DUMMYFUNCTION("IF(AA63 = """", """", GOOGLETRANSLATE(AA63, ""en"", ""te""))"),"పెండింగ్‌లో ఉన్న ప్రభుత్వ పనులపై అనుసరించండి")</f>
        <v>పెండింగ్‌లో ఉన్న ప్రభుత్వ పనులపై అనుసరించండి</v>
      </c>
      <c r="AX63" s="5" t="str">
        <f ca="1">IFERROR(__xludf.DUMMYFUNCTION("IF(AB63 = """", """", GOOGLETRANSLATE(AB63, ""en"", ""te""))"),"")</f>
        <v/>
      </c>
    </row>
    <row r="64" spans="1:50" x14ac:dyDescent="0.25">
      <c r="A64" s="1">
        <v>77</v>
      </c>
      <c r="B64" s="1" t="s">
        <v>56</v>
      </c>
      <c r="C64" s="8">
        <v>45828</v>
      </c>
      <c r="D64" s="8">
        <v>45828</v>
      </c>
      <c r="E64" s="1">
        <v>7</v>
      </c>
      <c r="F64" s="1">
        <v>1</v>
      </c>
      <c r="G64" s="3" t="s">
        <v>263</v>
      </c>
      <c r="H64" s="4">
        <v>1.1041666666666667E-2</v>
      </c>
      <c r="I64" s="4">
        <v>4.8495370370370368E-3</v>
      </c>
      <c r="J64" s="4">
        <v>5.3819444444444444E-3</v>
      </c>
      <c r="K64" s="1" t="s">
        <v>58</v>
      </c>
      <c r="L64" s="1" t="s">
        <v>64</v>
      </c>
      <c r="M64" s="1" t="s">
        <v>19</v>
      </c>
      <c r="O64" s="1" t="s">
        <v>61</v>
      </c>
      <c r="P64" s="1" t="s">
        <v>61</v>
      </c>
      <c r="Q64" s="1" t="s">
        <v>61</v>
      </c>
      <c r="R64" s="1" t="s">
        <v>61</v>
      </c>
      <c r="S64" s="1" t="s">
        <v>61</v>
      </c>
      <c r="T64" s="1" t="s">
        <v>61</v>
      </c>
      <c r="V64" s="1" t="s">
        <v>61</v>
      </c>
      <c r="W64" s="1" t="s">
        <v>61</v>
      </c>
      <c r="X64" s="1" t="s">
        <v>61</v>
      </c>
      <c r="Y64" s="1" t="s">
        <v>284</v>
      </c>
      <c r="Z64" s="1" t="s">
        <v>285</v>
      </c>
      <c r="AA64" s="1" t="s">
        <v>286</v>
      </c>
      <c r="AB64" s="1" t="s">
        <v>287</v>
      </c>
      <c r="AC64" s="5" t="str">
        <f ca="1">IFERROR(__xludf.DUMMYFUNCTION("IF(Y64 = """", """", GOOGLETRANSLATE(Y64, ""en"", ""hi""))
"),"छिपे हुए दुश्मन आपके खिलाफ काम कर सकते हैं")</f>
        <v>छिपे हुए दुश्मन आपके खिलाफ काम कर सकते हैं</v>
      </c>
      <c r="AD64" s="5" t="str">
        <f ca="1">IFERROR(__xludf.DUMMYFUNCTION("IF(Z64 = """", """", GOOGLETRANSLATE(Z64, ""en"", ""hi""))"),"अभी प्रतिक्रिया देने या बदला लेने से बचें")</f>
        <v>अभी प्रतिक्रिया देने या बदला लेने से बचें</v>
      </c>
      <c r="AE64" s="5" t="str">
        <f ca="1">IFERROR(__xludf.DUMMYFUNCTION("IF(AA64 = """", """", GOOGLETRANSLATE(AA64, ""en"", ""hi""))"),"शांत रहें और बहस से बचें")</f>
        <v>शांत रहें और बहस से बचें</v>
      </c>
      <c r="AF64" s="5" t="str">
        <f ca="1">IFERROR(__xludf.DUMMYFUNCTION("IF(AB64 = """", """", GOOGLETRANSLATE(AB64, ""en"", ""hi""))"),"क्रोध और वाणी पर नियंत्रण रखें")</f>
        <v>क्रोध और वाणी पर नियंत्रण रखें</v>
      </c>
      <c r="AG64" s="5" t="str">
        <f ca="1">IFERROR(__xludf.DUMMYFUNCTION("IF(Y64 = """", """", GOOGLETRANSLATE(Y64, ""en"", ""mr""))"),"लपलेले शत्रू तुमच्याविरुद्ध कारवाई करू शकतात")</f>
        <v>लपलेले शत्रू तुमच्याविरुद्ध कारवाई करू शकतात</v>
      </c>
      <c r="AH64" s="5" t="str">
        <f ca="1">IFERROR(__xludf.DUMMYFUNCTION("IF(Z64 = """", """", GOOGLETRANSLATE(Z64, ""en"", ""mr""))"),"आता प्रतिक्रिया देणे किंवा बदला घेणे टाळा")</f>
        <v>आता प्रतिक्रिया देणे किंवा बदला घेणे टाळा</v>
      </c>
      <c r="AI64" s="5" t="str">
        <f ca="1">IFERROR(__xludf.DUMMYFUNCTION("IF(AA64 = """", """", GOOGLETRANSLATE(AA64, ""en"", ""mr""))"),"शांत राहा आणि वाद टाळा")</f>
        <v>शांत राहा आणि वाद टाळा</v>
      </c>
      <c r="AJ64" s="5" t="str">
        <f ca="1">IFERROR(__xludf.DUMMYFUNCTION("IF(AB64 = """", """", GOOGLETRANSLATE(AB64, ""en"", ""mr""))"),"राग आणि वाणीवर नियंत्रण ठेवा")</f>
        <v>राग आणि वाणीवर नियंत्रण ठेवा</v>
      </c>
      <c r="AK64" s="5" t="str">
        <f ca="1">IFERROR(__xludf.DUMMYFUNCTION("IF(Y64 = """", """", GOOGLETRANSLATE(Y64, ""en"", ""gu""))"),"છુપાયેલા દુશ્મનો તમારી વિરુદ્ધ કામ કરી શકે છે")</f>
        <v>છુપાયેલા દુશ્મનો તમારી વિરુદ્ધ કામ કરી શકે છે</v>
      </c>
      <c r="AL64" s="5" t="str">
        <f ca="1">IFERROR(__xludf.DUMMYFUNCTION("IF(Z64 = """", """", GOOGLETRANSLATE(Z64, ""en"", ""gu""))"),"હવે પ્રતિક્રિયા આપવાનું કે બદલો લેવાનું ટાળો")</f>
        <v>હવે પ્રતિક્રિયા આપવાનું કે બદલો લેવાનું ટાળો</v>
      </c>
      <c r="AM64" s="5" t="str">
        <f ca="1">IFERROR(__xludf.DUMMYFUNCTION("IF(AA64 = """", """", GOOGLETRANSLATE(AA64, ""en"", ""gu""))"),"શાંત રહો અને દલીલો ટાળો")</f>
        <v>શાંત રહો અને દલીલો ટાળો</v>
      </c>
      <c r="AN64" s="5" t="str">
        <f ca="1">IFERROR(__xludf.DUMMYFUNCTION("IF(AB64 = """", """", GOOGLETRANSLATE(AB64, ""en"", ""gu""))"),"ગુસ્સા અને વાણી પર નિયંત્રણ રાખો")</f>
        <v>ગુસ્સા અને વાણી પર નિયંત્રણ રાખો</v>
      </c>
      <c r="AO64" s="5" t="str">
        <f ca="1">IFERROR(__xludf.DUMMYFUNCTION("IF(Y64 = """", """", GOOGLETRANSLATE(Y64, ""en"", ""bn""))"),"গোপন শত্রুরা আপনার বিরুদ্ধে কাজ করতে পারে")</f>
        <v>গোপন শত্রুরা আপনার বিরুদ্ধে কাজ করতে পারে</v>
      </c>
      <c r="AP64" s="5" t="str">
        <f ca="1">IFERROR(__xludf.DUMMYFUNCTION("IF(Z64 = """", """", GOOGLETRANSLATE(Z64, ""en"", ""bn""))"),"এখনই প্রতিক্রিয়া দেখানো বা প্রতিশোধ চাওয়া এড়িয়ে চলুন")</f>
        <v>এখনই প্রতিক্রিয়া দেখানো বা প্রতিশোধ চাওয়া এড়িয়ে চলুন</v>
      </c>
      <c r="AQ64" s="5" t="str">
        <f ca="1">IFERROR(__xludf.DUMMYFUNCTION("IF(AA64 = """", """", GOOGLETRANSLATE(AA64, ""en"", ""bn""))"),"শান্ত থাকুন এবং তর্ক এড়িয়ে চলুন")</f>
        <v>শান্ত থাকুন এবং তর্ক এড়িয়ে চলুন</v>
      </c>
      <c r="AR64" s="5" t="str">
        <f ca="1">IFERROR(__xludf.DUMMYFUNCTION("IF(AB64 = """", """", GOOGLETRANSLATE(AB64, ""en"", ""bn""))"),"রাগ ও কথাবার্তা নিয়ন্ত্রণ করুন")</f>
        <v>রাগ ও কথাবার্তা নিয়ন্ত্রণ করুন</v>
      </c>
      <c r="AU64" s="5" t="str">
        <f ca="1">IFERROR(__xludf.DUMMYFUNCTION("IF(Y64 = """", """", GOOGLETRANSLATE(Y64, ""en"", ""te""))"),"దాగి ఉన్న శత్రువులు మీకు వ్యతిరేకంగా ప్రవర్తించవచ్చు")</f>
        <v>దాగి ఉన్న శత్రువులు మీకు వ్యతిరేకంగా ప్రవర్తించవచ్చు</v>
      </c>
      <c r="AV64" s="5" t="str">
        <f ca="1">IFERROR(__xludf.DUMMYFUNCTION("IF(Z64 = """", """", GOOGLETRANSLATE(Z64, ""en"", ""te""))"),"ఇప్పుడు ప్రతిస్పందించడం లేదా ప్రతీకారం తీర్చుకోవడం మానుకోండి")</f>
        <v>ఇప్పుడు ప్రతిస్పందించడం లేదా ప్రతీకారం తీర్చుకోవడం మానుకోండి</v>
      </c>
      <c r="AW64" s="5" t="str">
        <f ca="1">IFERROR(__xludf.DUMMYFUNCTION("IF(AA64 = """", """", GOOGLETRANSLATE(AA64, ""en"", ""te""))"),"ప్రశాంతంగా ఉండండి మరియు వాదనలకు దూరంగా ఉండండి")</f>
        <v>ప్రశాంతంగా ఉండండి మరియు వాదనలకు దూరంగా ఉండండి</v>
      </c>
      <c r="AX64" s="5" t="str">
        <f ca="1">IFERROR(__xludf.DUMMYFUNCTION("IF(AB64 = """", """", GOOGLETRANSLATE(AB64, ""en"", ""te""))"),"కోపం మరియు మాటలను నియంత్రించండి")</f>
        <v>కోపం మరియు మాటలను నియంత్రించండి</v>
      </c>
    </row>
    <row r="65" spans="1:50" x14ac:dyDescent="0.25">
      <c r="A65" s="1">
        <v>78</v>
      </c>
      <c r="B65" s="1" t="s">
        <v>56</v>
      </c>
      <c r="C65" s="8">
        <v>45828</v>
      </c>
      <c r="D65" s="8">
        <v>45828</v>
      </c>
      <c r="E65" s="1">
        <v>8</v>
      </c>
      <c r="F65" s="1">
        <v>1</v>
      </c>
      <c r="G65" s="3" t="s">
        <v>263</v>
      </c>
      <c r="H65" s="4">
        <v>1.1041666666666667E-2</v>
      </c>
      <c r="I65" s="4">
        <v>5.3819444444444444E-3</v>
      </c>
      <c r="J65" s="4">
        <v>5.9953703703703705E-3</v>
      </c>
      <c r="K65" s="1" t="s">
        <v>58</v>
      </c>
      <c r="L65" s="1" t="s">
        <v>68</v>
      </c>
      <c r="M65" s="1" t="s">
        <v>19</v>
      </c>
      <c r="O65" s="1" t="s">
        <v>61</v>
      </c>
      <c r="P65" s="1" t="s">
        <v>61</v>
      </c>
      <c r="Q65" s="1" t="s">
        <v>61</v>
      </c>
      <c r="R65" s="1" t="s">
        <v>61</v>
      </c>
      <c r="S65" s="1" t="s">
        <v>61</v>
      </c>
      <c r="T65" s="1" t="s">
        <v>61</v>
      </c>
      <c r="V65" s="1" t="s">
        <v>61</v>
      </c>
      <c r="W65" s="1" t="s">
        <v>61</v>
      </c>
      <c r="X65" s="1" t="s">
        <v>61</v>
      </c>
      <c r="Y65" s="1" t="s">
        <v>288</v>
      </c>
      <c r="Z65" s="1" t="s">
        <v>289</v>
      </c>
      <c r="AA65" s="1" t="s">
        <v>290</v>
      </c>
      <c r="AB65" s="1" t="s">
        <v>291</v>
      </c>
      <c r="AC65" s="5" t="str">
        <f ca="1">IFERROR(__xludf.DUMMYFUNCTION("IF(Y65 = """", """", GOOGLETRANSLATE(Y65, ""en"", ""hi""))
"),"उकसावे के बावजूद संयमित रहें")</f>
        <v>उकसावे के बावजूद संयमित रहें</v>
      </c>
      <c r="AD65" s="5" t="str">
        <f ca="1">IFERROR(__xludf.DUMMYFUNCTION("IF(Z65 = """", """", GOOGLETRANSLATE(Z65, ""en"", ""hi""))"),"अति प्रतिक्रिया से बचें")</f>
        <v>अति प्रतिक्रिया से बचें</v>
      </c>
      <c r="AE65" s="5" t="str">
        <f ca="1">IFERROR(__xludf.DUMMYFUNCTION("IF(AA65 = """", """", GOOGLETRANSLATE(AA65, ""en"", ""hi""))"),"छोटे-मोटे मुद्दे बढ़ सकते हैं")</f>
        <v>छोटे-मोटे मुद्दे बढ़ सकते हैं</v>
      </c>
      <c r="AF65" s="5" t="str">
        <f ca="1">IFERROR(__xludf.DUMMYFUNCTION("IF(AB65 = """", """", GOOGLETRANSLATE(AB65, ""en"", ""hi""))"),"आवश्यकता पड़ने पर धैर्य रखें और चुप रहें")</f>
        <v>आवश्यकता पड़ने पर धैर्य रखें और चुप रहें</v>
      </c>
      <c r="AG65" s="5" t="str">
        <f ca="1">IFERROR(__xludf.DUMMYFUNCTION("IF(Y65 = """", """", GOOGLETRANSLATE(Y65, ""en"", ""mr""))"),"चिथावणी देऊनही संयमित राहा")</f>
        <v>चिथावणी देऊनही संयमित राहा</v>
      </c>
      <c r="AH65" s="5" t="str">
        <f ca="1">IFERROR(__xludf.DUMMYFUNCTION("IF(Z65 = """", """", GOOGLETRANSLATE(Z65, ""en"", ""mr""))"),"अतिप्रक्रिया टाळा")</f>
        <v>अतिप्रक्रिया टाळा</v>
      </c>
      <c r="AI65" s="5" t="str">
        <f ca="1">IFERROR(__xludf.DUMMYFUNCTION("IF(AA65 = """", """", GOOGLETRANSLATE(AA65, ""en"", ""mr""))"),"किरकोळ समस्या वाढू शकतात")</f>
        <v>किरकोळ समस्या वाढू शकतात</v>
      </c>
      <c r="AJ65" s="5" t="str">
        <f ca="1">IFERROR(__xludf.DUMMYFUNCTION("IF(AB65 = """", """", GOOGLETRANSLATE(AB65, ""en"", ""mr""))"),"गरज असेल तेव्हा धीर धरा आणि शांत राहा")</f>
        <v>गरज असेल तेव्हा धीर धरा आणि शांत राहा</v>
      </c>
      <c r="AK65" s="5" t="str">
        <f ca="1">IFERROR(__xludf.DUMMYFUNCTION("IF(Y65 = """", """", GOOGLETRANSLATE(Y65, ""en"", ""gu""))"),"ઉશ્કેરણી છતાં સંયમિત રહો")</f>
        <v>ઉશ્કેરણી છતાં સંયમિત રહો</v>
      </c>
      <c r="AL65" s="5" t="str">
        <f ca="1">IFERROR(__xludf.DUMMYFUNCTION("IF(Z65 = """", """", GOOGLETRANSLATE(Z65, ""en"", ""gu""))"),"અતિશય પ્રતિક્રિયા ટાળો")</f>
        <v>અતિશય પ્રતિક્રિયા ટાળો</v>
      </c>
      <c r="AM65" s="5" t="str">
        <f ca="1">IFERROR(__xludf.DUMMYFUNCTION("IF(AA65 = """", """", GOOGLETRANSLATE(AA65, ""en"", ""gu""))"),"નાની-નાની સમસ્યાઓ વધી શકે છે")</f>
        <v>નાની-નાની સમસ્યાઓ વધી શકે છે</v>
      </c>
      <c r="AN65" s="5" t="str">
        <f ca="1">IFERROR(__xludf.DUMMYFUNCTION("IF(AB65 = """", """", GOOGLETRANSLATE(AB65, ""en"", ""gu""))"),"જ્યારે જરૂર પડે ત્યારે ધીરજ રાખો અને મૌન રહો")</f>
        <v>જ્યારે જરૂર પડે ત્યારે ધીરજ રાખો અને મૌન રહો</v>
      </c>
      <c r="AO65" s="5" t="str">
        <f ca="1">IFERROR(__xludf.DUMMYFUNCTION("IF(Y65 = """", """", GOOGLETRANSLATE(Y65, ""en"", ""bn""))"),"প্ররোচনা সত্ত্বেও সংযত থাকুন")</f>
        <v>প্ররোচনা সত্ত্বেও সংযত থাকুন</v>
      </c>
      <c r="AP65" s="5" t="str">
        <f ca="1">IFERROR(__xludf.DUMMYFUNCTION("IF(Z65 = """", """", GOOGLETRANSLATE(Z65, ""en"", ""bn""))"),"অতিরিক্ত প্রতিক্রিয়া এড়িয়ে চলুন")</f>
        <v>অতিরিক্ত প্রতিক্রিয়া এড়িয়ে চলুন</v>
      </c>
      <c r="AQ65" s="5" t="str">
        <f ca="1">IFERROR(__xludf.DUMMYFUNCTION("IF(AA65 = """", """", GOOGLETRANSLATE(AA65, ""en"", ""bn""))"),"ছোটখাটো সমস্যা বাড়তে পারে")</f>
        <v>ছোটখাটো সমস্যা বাড়তে পারে</v>
      </c>
      <c r="AR65" s="5" t="str">
        <f ca="1">IFERROR(__xludf.DUMMYFUNCTION("IF(AB65 = """", """", GOOGLETRANSLATE(AB65, ""en"", ""bn""))"),"প্রয়োজনে ধৈর্য ধরুন এবং নীরব থাকুন")</f>
        <v>প্রয়োজনে ধৈর্য ধরুন এবং নীরব থাকুন</v>
      </c>
      <c r="AU65" s="5" t="str">
        <f ca="1">IFERROR(__xludf.DUMMYFUNCTION("IF(Y65 = """", """", GOOGLETRANSLATE(Y65, ""en"", ""te""))"),"రెచ్చగొట్టినప్పటికీ సంయమనంతో ఉండండి")</f>
        <v>రెచ్చగొట్టినప్పటికీ సంయమనంతో ఉండండి</v>
      </c>
      <c r="AV65" s="5" t="str">
        <f ca="1">IFERROR(__xludf.DUMMYFUNCTION("IF(Z65 = """", """", GOOGLETRANSLATE(Z65, ""en"", ""te""))"),"అతిగా స్పందించడం మానుకోండి")</f>
        <v>అతిగా స్పందించడం మానుకోండి</v>
      </c>
      <c r="AW65" s="5" t="str">
        <f ca="1">IFERROR(__xludf.DUMMYFUNCTION("IF(AA65 = """", """", GOOGLETRANSLATE(AA65, ""en"", ""te""))"),"చిన్నచిన్న సమస్యలు తీవ్రమయ్యే అవకాశం ఉంది")</f>
        <v>చిన్నచిన్న సమస్యలు తీవ్రమయ్యే అవకాశం ఉంది</v>
      </c>
      <c r="AX65" s="5" t="str">
        <f ca="1">IFERROR(__xludf.DUMMYFUNCTION("IF(AB65 = """", """", GOOGLETRANSLATE(AB65, ""en"", ""te""))"),"అవసరమైనప్పుడు ఓపికగా మరియు మౌనంగా ఉండండి")</f>
        <v>అవసరమైనప్పుడు ఓపికగా మరియు మౌనంగా ఉండండి</v>
      </c>
    </row>
    <row r="66" spans="1:50" x14ac:dyDescent="0.25">
      <c r="A66" s="1">
        <v>79</v>
      </c>
      <c r="B66" s="1" t="s">
        <v>56</v>
      </c>
      <c r="C66" s="8">
        <v>45828</v>
      </c>
      <c r="D66" s="8">
        <v>45828</v>
      </c>
      <c r="E66" s="1">
        <v>9</v>
      </c>
      <c r="F66" s="1">
        <v>1</v>
      </c>
      <c r="G66" s="3" t="s">
        <v>263</v>
      </c>
      <c r="H66" s="4">
        <v>1.1041666666666667E-2</v>
      </c>
      <c r="I66" s="4">
        <v>5.9953703703703705E-3</v>
      </c>
      <c r="J66" s="4">
        <v>6.5509259259259262E-3</v>
      </c>
      <c r="K66" s="1" t="s">
        <v>58</v>
      </c>
      <c r="L66" s="1" t="s">
        <v>72</v>
      </c>
      <c r="M66" s="1" t="s">
        <v>19</v>
      </c>
      <c r="O66" s="1" t="s">
        <v>61</v>
      </c>
      <c r="P66" s="1" t="s">
        <v>61</v>
      </c>
      <c r="Q66" s="1" t="s">
        <v>61</v>
      </c>
      <c r="R66" s="1" t="s">
        <v>61</v>
      </c>
      <c r="S66" s="1" t="s">
        <v>61</v>
      </c>
      <c r="T66" s="1" t="s">
        <v>61</v>
      </c>
      <c r="V66" s="1" t="s">
        <v>61</v>
      </c>
      <c r="W66" s="1" t="s">
        <v>61</v>
      </c>
      <c r="X66" s="1" t="s">
        <v>61</v>
      </c>
      <c r="Y66" s="1" t="s">
        <v>292</v>
      </c>
      <c r="Z66" s="1" t="s">
        <v>293</v>
      </c>
      <c r="AA66" s="1" t="s">
        <v>294</v>
      </c>
      <c r="AB66" s="1" t="s">
        <v>186</v>
      </c>
      <c r="AC66" s="5" t="str">
        <f ca="1">IFERROR(__xludf.DUMMYFUNCTION("IF(Y66 = """", """", GOOGLETRANSLATE(Y66, ""en"", ""hi""))
"),"तनावपूर्ण सप्ताह जारी")</f>
        <v>तनावपूर्ण सप्ताह जारी</v>
      </c>
      <c r="AD66" s="5" t="str">
        <f ca="1">IFERROR(__xludf.DUMMYFUNCTION("IF(Z66 = """", """", GOOGLETRANSLATE(Z66, ""en"", ""hi""))"),"कार्य के परिणाम अपेक्षाओं के अनुरूप नहीं हो सकते")</f>
        <v>कार्य के परिणाम अपेक्षाओं के अनुरूप नहीं हो सकते</v>
      </c>
      <c r="AE66" s="5" t="str">
        <f ca="1">IFERROR(__xludf.DUMMYFUNCTION("IF(AA66 = """", """", GOOGLETRANSLATE(AA66, ""en"", ""hi""))"),"करीबी लोगों के साथ गलतफहमी संभव")</f>
        <v>करीबी लोगों के साथ गलतफहमी संभव</v>
      </c>
      <c r="AF66" s="5" t="str">
        <f ca="1">IFERROR(__xludf.DUMMYFUNCTION("IF(AB66 = """", """", GOOGLETRANSLATE(AB66, ""en"", ""hi""))"),"बहस से बचें")</f>
        <v>बहस से बचें</v>
      </c>
      <c r="AG66" s="5" t="str">
        <f ca="1">IFERROR(__xludf.DUMMYFUNCTION("IF(Y66 = """", """", GOOGLETRANSLATE(Y66, ""en"", ""mr""))"),"तणावपूर्ण आठवडा सुरू आहे")</f>
        <v>तणावपूर्ण आठवडा सुरू आहे</v>
      </c>
      <c r="AH66" s="5" t="str">
        <f ca="1">IFERROR(__xludf.DUMMYFUNCTION("IF(Z66 = """", """", GOOGLETRANSLATE(Z66, ""en"", ""mr""))"),"कामाचे परिणाम अपेक्षा पूर्ण करू शकत नाहीत")</f>
        <v>कामाचे परिणाम अपेक्षा पूर्ण करू शकत नाहीत</v>
      </c>
      <c r="AI66" s="5" t="str">
        <f ca="1">IFERROR(__xludf.DUMMYFUNCTION("IF(AA66 = """", """", GOOGLETRANSLATE(AA66, ""en"", ""mr""))"),"जवळच्या व्यक्तींसोबत गैरसमज होण्याची शक्यता आहे")</f>
        <v>जवळच्या व्यक्तींसोबत गैरसमज होण्याची शक्यता आहे</v>
      </c>
      <c r="AJ66" s="5" t="str">
        <f ca="1">IFERROR(__xludf.DUMMYFUNCTION("IF(AB66 = """", """", GOOGLETRANSLATE(AB66, ""en"", ""mr""))"),"वाद टाळा")</f>
        <v>वाद टाळा</v>
      </c>
      <c r="AK66" s="5" t="str">
        <f ca="1">IFERROR(__xludf.DUMMYFUNCTION("IF(Y66 = """", """", GOOGLETRANSLATE(Y66, ""en"", ""gu""))"),"તણાવપૂર્ણ સપ્તાહ ચાલુ રહેશે")</f>
        <v>તણાવપૂર્ણ સપ્તાહ ચાલુ રહેશે</v>
      </c>
      <c r="AL66" s="5" t="str">
        <f ca="1">IFERROR(__xludf.DUMMYFUNCTION("IF(Z66 = """", """", GOOGLETRANSLATE(Z66, ""en"", ""gu""))"),"કામના પરિણામો અપેક્ષાઓ પર ન આવી શકે")</f>
        <v>કામના પરિણામો અપેક્ષાઓ પર ન આવી શકે</v>
      </c>
      <c r="AM66" s="5" t="str">
        <f ca="1">IFERROR(__xludf.DUMMYFUNCTION("IF(AA66 = """", """", GOOGLETRANSLATE(AA66, ""en"", ""gu""))"),"નજીકના લોકો સાથે ગેરસમજ શક્ય છે")</f>
        <v>નજીકના લોકો સાથે ગેરસમજ શક્ય છે</v>
      </c>
      <c r="AN66" s="5" t="str">
        <f ca="1">IFERROR(__xludf.DUMMYFUNCTION("IF(AB66 = """", """", GOOGLETRANSLATE(AB66, ""en"", ""gu""))"),"દલીલો ટાળો")</f>
        <v>દલીલો ટાળો</v>
      </c>
      <c r="AO66" s="5" t="str">
        <f ca="1">IFERROR(__xludf.DUMMYFUNCTION("IF(Y66 = """", """", GOOGLETRANSLATE(Y66, ""en"", ""bn""))"),"স্ট্রেসফুল সপ্তাহ চলছে")</f>
        <v>স্ট্রেসফুল সপ্তাহ চলছে</v>
      </c>
      <c r="AP66" s="5" t="str">
        <f ca="1">IFERROR(__xludf.DUMMYFUNCTION("IF(Z66 = """", """", GOOGLETRANSLATE(Z66, ""en"", ""bn""))"),"কাজের ফলাফল প্রত্যাশা পূরণ নাও হতে পারে")</f>
        <v>কাজের ফলাফল প্রত্যাশা পূরণ নাও হতে পারে</v>
      </c>
      <c r="AQ66" s="5" t="str">
        <f ca="1">IFERROR(__xludf.DUMMYFUNCTION("IF(AA66 = """", """", GOOGLETRANSLATE(AA66, ""en"", ""bn""))"),"কাছের মানুষদের সাথে ভুল বোঝাবুঝি হতে পারে")</f>
        <v>কাছের মানুষদের সাথে ভুল বোঝাবুঝি হতে পারে</v>
      </c>
      <c r="AR66" s="5" t="str">
        <f ca="1">IFERROR(__xludf.DUMMYFUNCTION("IF(AB66 = """", """", GOOGLETRANSLATE(AB66, ""en"", ""bn""))"),"তর্ক এড়িয়ে চলুন")</f>
        <v>তর্ক এড়িয়ে চলুন</v>
      </c>
      <c r="AU66" s="5" t="str">
        <f ca="1">IFERROR(__xludf.DUMMYFUNCTION("IF(Y66 = """", """", GOOGLETRANSLATE(Y66, ""en"", ""te""))"),"ఒత్తిడితో కూడిన వారం కొనసాగుతుంది")</f>
        <v>ఒత్తిడితో కూడిన వారం కొనసాగుతుంది</v>
      </c>
      <c r="AV66" s="5" t="str">
        <f ca="1">IFERROR(__xludf.DUMMYFUNCTION("IF(Z66 = """", """", GOOGLETRANSLATE(Z66, ""en"", ""te""))"),"ఉద్యోగ ఫలితాలు ఆశించిన స్థాయిలో ఉండకపోవచ్చు")</f>
        <v>ఉద్యోగ ఫలితాలు ఆశించిన స్థాయిలో ఉండకపోవచ్చు</v>
      </c>
      <c r="AW66" s="5" t="str">
        <f ca="1">IFERROR(__xludf.DUMMYFUNCTION("IF(AA66 = """", """", GOOGLETRANSLATE(AA66, ""en"", ""te""))"),"సన్నిహితులతో అపార్థాలు వచ్చే అవకాశం ఉంది")</f>
        <v>సన్నిహితులతో అపార్థాలు వచ్చే అవకాశం ఉంది</v>
      </c>
      <c r="AX66" s="5" t="str">
        <f ca="1">IFERROR(__xludf.DUMMYFUNCTION("IF(AB66 = """", """", GOOGLETRANSLATE(AB66, ""en"", ""te""))"),"వాదనలు మానుకోండి")</f>
        <v>వాదనలు మానుకోండి</v>
      </c>
    </row>
    <row r="67" spans="1:50" x14ac:dyDescent="0.25">
      <c r="A67" s="1">
        <v>80</v>
      </c>
      <c r="B67" s="1" t="s">
        <v>56</v>
      </c>
      <c r="C67" s="8">
        <v>45828</v>
      </c>
      <c r="D67" s="8">
        <v>45828</v>
      </c>
      <c r="E67" s="1">
        <v>10</v>
      </c>
      <c r="F67" s="1">
        <v>1</v>
      </c>
      <c r="G67" s="3" t="s">
        <v>263</v>
      </c>
      <c r="H67" s="4">
        <v>1.1041666666666667E-2</v>
      </c>
      <c r="I67" s="4">
        <v>6.5509259259259262E-3</v>
      </c>
      <c r="J67" s="4">
        <v>6.8402777777777776E-3</v>
      </c>
      <c r="K67" s="1" t="s">
        <v>58</v>
      </c>
      <c r="L67" s="1" t="s">
        <v>76</v>
      </c>
      <c r="M67" s="1" t="s">
        <v>14</v>
      </c>
      <c r="O67" s="1" t="s">
        <v>61</v>
      </c>
      <c r="P67" s="1" t="s">
        <v>61</v>
      </c>
      <c r="Q67" s="1" t="s">
        <v>61</v>
      </c>
      <c r="R67" s="1" t="s">
        <v>61</v>
      </c>
      <c r="S67" s="1" t="s">
        <v>61</v>
      </c>
      <c r="T67" s="1" t="s">
        <v>61</v>
      </c>
      <c r="V67" s="1" t="s">
        <v>61</v>
      </c>
      <c r="W67" s="1" t="s">
        <v>61</v>
      </c>
      <c r="X67" s="1" t="s">
        <v>61</v>
      </c>
      <c r="Y67" s="1" t="s">
        <v>295</v>
      </c>
      <c r="Z67" s="1" t="s">
        <v>296</v>
      </c>
      <c r="AA67" s="1" t="s">
        <v>297</v>
      </c>
      <c r="AB67" s="1"/>
      <c r="AC67" s="5" t="str">
        <f ca="1">IFERROR(__xludf.DUMMYFUNCTION("IF(Y67 = """", """", GOOGLETRANSLATE(Y67, ""en"", ""hi""))
"),"लंबित कार्यों को पूरा करने के लिए उत्तम दिन")</f>
        <v>लंबित कार्यों को पूरा करने के लिए उत्तम दिन</v>
      </c>
      <c r="AD67" s="5" t="str">
        <f ca="1">IFERROR(__xludf.DUMMYFUNCTION("IF(Z67 = """", """", GOOGLETRANSLATE(Z67, ""en"", ""hi""))"),"घर और काम में संतुलन बनाना मुश्किल हो सकता है")</f>
        <v>घर और काम में संतुलन बनाना मुश्किल हो सकता है</v>
      </c>
      <c r="AE67" s="5" t="str">
        <f ca="1">IFERROR(__xludf.DUMMYFUNCTION("IF(AA67 = """", """", GOOGLETRANSLATE(AA67, ""en"", ""hi""))"),"कुल मिलाकर, उत्पादक और भाग्यशाली दिन")</f>
        <v>कुल मिलाकर, उत्पादक और भाग्यशाली दिन</v>
      </c>
      <c r="AF67" s="5" t="str">
        <f ca="1">IFERROR(__xludf.DUMMYFUNCTION("IF(AB67 = """", """", GOOGLETRANSLATE(AB67, ""en"", ""hi""))"),"")</f>
        <v/>
      </c>
      <c r="AG67" s="5" t="str">
        <f ca="1">IFERROR(__xludf.DUMMYFUNCTION("IF(Y67 = """", """", GOOGLETRANSLATE(Y67, ""en"", ""mr""))"),"प्रलंबित कामे पूर्ण करण्यासाठी उत्तम दिवस")</f>
        <v>प्रलंबित कामे पूर्ण करण्यासाठी उत्तम दिवस</v>
      </c>
      <c r="AH67" s="5" t="str">
        <f ca="1">IFERROR(__xludf.DUMMYFUNCTION("IF(Z67 = """", """", GOOGLETRANSLATE(Z67, ""en"", ""mr""))"),"घर आणि कामाचा समतोल राखणे कठीण असू शकते")</f>
        <v>घर आणि कामाचा समतोल राखणे कठीण असू शकते</v>
      </c>
      <c r="AI67" s="5" t="str">
        <f ca="1">IFERROR(__xludf.DUMMYFUNCTION("IF(AA67 = """", """", GOOGLETRANSLATE(AA67, ""en"", ""mr""))")," एकूणच, फलदायी आणि भाग्यवान दिवस")</f>
        <v xml:space="preserve"> एकूणच, फलदायी आणि भाग्यवान दिवस</v>
      </c>
      <c r="AJ67" s="5" t="str">
        <f ca="1">IFERROR(__xludf.DUMMYFUNCTION("IF(AB67 = """", """", GOOGLETRANSLATE(AB67, ""en"", ""mr""))"),"")</f>
        <v/>
      </c>
      <c r="AK67" s="5" t="str">
        <f ca="1">IFERROR(__xludf.DUMMYFUNCTION("IF(Y67 = """", """", GOOGLETRANSLATE(Y67, ""en"", ""gu""))"),"અટકેલા કાર્યો પૂર્ણ કરવા માટે ઉત્તમ દિવસ")</f>
        <v>અટકેલા કાર્યો પૂર્ણ કરવા માટે ઉત્તમ દિવસ</v>
      </c>
      <c r="AL67" s="5" t="str">
        <f ca="1">IFERROR(__xludf.DUMMYFUNCTION("IF(Z67 = """", """", GOOGLETRANSLATE(Z67, ""en"", ""gu""))"),"ઘર અને કામને સંતુલિત કરવું મુશ્કેલ હોઈ શકે છે")</f>
        <v>ઘર અને કામને સંતુલિત કરવું મુશ્કેલ હોઈ શકે છે</v>
      </c>
      <c r="AM67" s="5" t="str">
        <f ca="1">IFERROR(__xludf.DUMMYFUNCTION("IF(AA67 = """", """", GOOGLETRANSLATE(AA67, ""en"", ""gu""))")," એકંદરે, ફળદાયી અને નસીબદાર દિવસ")</f>
        <v xml:space="preserve"> એકંદરે, ફળદાયી અને નસીબદાર દિવસ</v>
      </c>
      <c r="AN67" s="5" t="str">
        <f ca="1">IFERROR(__xludf.DUMMYFUNCTION("IF(AB67 = """", """", GOOGLETRANSLATE(AB67, ""en"", ""gu""))"),"")</f>
        <v/>
      </c>
      <c r="AO67" s="5" t="str">
        <f ca="1">IFERROR(__xludf.DUMMYFUNCTION("IF(Y67 = """", """", GOOGLETRANSLATE(Y67, ""en"", ""bn""))"),"মুলতুবি কাজগুলি সম্পন্ন করার জন্য চমৎকার দিন")</f>
        <v>মুলতুবি কাজগুলি সম্পন্ন করার জন্য চমৎকার দিন</v>
      </c>
      <c r="AP67" s="5" t="str">
        <f ca="1">IFERROR(__xludf.DUMMYFUNCTION("IF(Z67 = """", """", GOOGLETRANSLATE(Z67, ""en"", ""bn""))"),"বাড়ি এবং কাজের ভারসাম্য বজায় রাখা কঠিন হতে পারে")</f>
        <v>বাড়ি এবং কাজের ভারসাম্য বজায় রাখা কঠিন হতে পারে</v>
      </c>
      <c r="AQ67" s="5" t="str">
        <f ca="1">IFERROR(__xludf.DUMMYFUNCTION("IF(AA67 = """", """", GOOGLETRANSLATE(AA67, ""en"", ""bn""))")," সামগ্রিকভাবে, উত্পাদনশীল এবং ভাগ্যবান দিন")</f>
        <v xml:space="preserve"> সামগ্রিকভাবে, উত্পাদনশীল এবং ভাগ্যবান দিন</v>
      </c>
      <c r="AR67" s="5" t="str">
        <f ca="1">IFERROR(__xludf.DUMMYFUNCTION("IF(AB67 = """", """", GOOGLETRANSLATE(AB67, ""en"", ""bn""))"),"")</f>
        <v/>
      </c>
      <c r="AU67" s="5" t="str">
        <f ca="1">IFERROR(__xludf.DUMMYFUNCTION("IF(Y67 = """", """", GOOGLETRANSLATE(Y67, ""en"", ""te""))"),"పెండింగ్‌లో ఉన్న పనులను పూర్తి చేయడానికి అద్భుతమైన రోజు")</f>
        <v>పెండింగ్‌లో ఉన్న పనులను పూర్తి చేయడానికి అద్భుతమైన రోజు</v>
      </c>
      <c r="AV67" s="5" t="str">
        <f ca="1">IFERROR(__xludf.DUMMYFUNCTION("IF(Z67 = """", """", GOOGLETRANSLATE(Z67, ""en"", ""te""))"),"ఇల్లు మరియు పనిని బ్యాలెన్స్ చేయడం కష్టంగా ఉండవచ్చు")</f>
        <v>ఇల్లు మరియు పనిని బ్యాలెన్స్ చేయడం కష్టంగా ఉండవచ్చు</v>
      </c>
      <c r="AW67" s="5" t="str">
        <f ca="1">IFERROR(__xludf.DUMMYFUNCTION("IF(AA67 = """", """", GOOGLETRANSLATE(AA67, ""en"", ""te""))")," మొత్తంమీద, ఉత్పాదక మరియు అదృష్ట దినం")</f>
        <v xml:space="preserve"> మొత్తంమీద, ఉత్పాదక మరియు అదృష్ట దినం</v>
      </c>
      <c r="AX67" s="5" t="str">
        <f ca="1">IFERROR(__xludf.DUMMYFUNCTION("IF(AB67 = """", """", GOOGLETRANSLATE(AB67, ""en"", ""te""))"),"")</f>
        <v/>
      </c>
    </row>
    <row r="68" spans="1:50" x14ac:dyDescent="0.25">
      <c r="A68" s="1">
        <v>81</v>
      </c>
      <c r="B68" s="1" t="s">
        <v>56</v>
      </c>
      <c r="C68" s="8">
        <v>45828</v>
      </c>
      <c r="D68" s="8">
        <v>45828</v>
      </c>
      <c r="E68" s="1">
        <v>11</v>
      </c>
      <c r="F68" s="1">
        <v>1</v>
      </c>
      <c r="G68" s="3" t="s">
        <v>263</v>
      </c>
      <c r="H68" s="4">
        <v>1.1041666666666667E-2</v>
      </c>
      <c r="I68" s="4">
        <v>6.8402777777777776E-3</v>
      </c>
      <c r="J68" s="4">
        <v>7.2685185185185188E-3</v>
      </c>
      <c r="K68" s="1" t="s">
        <v>58</v>
      </c>
      <c r="L68" s="1" t="s">
        <v>79</v>
      </c>
      <c r="M68" s="1" t="s">
        <v>14</v>
      </c>
      <c r="O68" s="1" t="s">
        <v>61</v>
      </c>
      <c r="P68" s="1" t="s">
        <v>61</v>
      </c>
      <c r="Q68" s="1" t="s">
        <v>61</v>
      </c>
      <c r="R68" s="1" t="s">
        <v>61</v>
      </c>
      <c r="S68" s="1" t="s">
        <v>61</v>
      </c>
      <c r="T68" s="1" t="s">
        <v>61</v>
      </c>
      <c r="V68" s="1" t="s">
        <v>61</v>
      </c>
      <c r="W68" s="1" t="s">
        <v>61</v>
      </c>
      <c r="X68" s="1" t="s">
        <v>61</v>
      </c>
      <c r="Y68" s="1" t="s">
        <v>298</v>
      </c>
      <c r="Z68" s="1" t="s">
        <v>299</v>
      </c>
      <c r="AA68" s="1" t="s">
        <v>300</v>
      </c>
      <c r="AB68" s="1"/>
      <c r="AC68" s="5" t="str">
        <f ca="1">IFERROR(__xludf.DUMMYFUNCTION("IF(Y68 = """", """", GOOGLETRANSLATE(Y68, ""en"", ""hi""))
"),"धीरे-धीरे भ्रम और तनाव से बाहर आ रहा हूँ")</f>
        <v>धीरे-धीरे भ्रम और तनाव से बाहर आ रहा हूँ</v>
      </c>
      <c r="AD68" s="5" t="str">
        <f ca="1">IFERROR(__xludf.DUMMYFUNCTION("IF(Z68 = """", """", GOOGLETRANSLATE(Z68, ""en"", ""hi""))"),"पारिवारिक सहयोग से मदद मिलेगी")</f>
        <v>पारिवारिक सहयोग से मदद मिलेगी</v>
      </c>
      <c r="AE68" s="5" t="str">
        <f ca="1">IFERROR(__xludf.DUMMYFUNCTION("IF(AA68 = """", """", GOOGLETRANSLATE(AA68, ""en"", ""hi""))"),"महत्वपूर्ण निर्णय लेने से पहले सलाह लें")</f>
        <v>महत्वपूर्ण निर्णय लेने से पहले सलाह लें</v>
      </c>
      <c r="AF68" s="5" t="str">
        <f ca="1">IFERROR(__xludf.DUMMYFUNCTION("IF(AB68 = """", """", GOOGLETRANSLATE(AB68, ""en"", ""hi""))"),"")</f>
        <v/>
      </c>
      <c r="AG68" s="5" t="str">
        <f ca="1">IFERROR(__xludf.DUMMYFUNCTION("IF(Y68 = """", """", GOOGLETRANSLATE(Y68, ""en"", ""mr""))"),"गोंधळ आणि तणावातून हळूहळू बाहेर पडणे")</f>
        <v>गोंधळ आणि तणावातून हळूहळू बाहेर पडणे</v>
      </c>
      <c r="AH68" s="5" t="str">
        <f ca="1">IFERROR(__xludf.DUMMYFUNCTION("IF(Z68 = """", """", GOOGLETRANSLATE(Z68, ""en"", ""mr""))"),"कौटुंबिक सहकार्य लाभेल")</f>
        <v>कौटुंबिक सहकार्य लाभेल</v>
      </c>
      <c r="AI68" s="5" t="str">
        <f ca="1">IFERROR(__xludf.DUMMYFUNCTION("IF(AA68 = """", """", GOOGLETRANSLATE(AA68, ""en"", ""mr""))"),"महत्त्वाचे निर्णय घेण्यापूर्वी सल्ला घ्या")</f>
        <v>महत्त्वाचे निर्णय घेण्यापूर्वी सल्ला घ्या</v>
      </c>
      <c r="AJ68" s="5" t="str">
        <f ca="1">IFERROR(__xludf.DUMMYFUNCTION("IF(AB68 = """", """", GOOGLETRANSLATE(AB68, ""en"", ""mr""))"),"")</f>
        <v/>
      </c>
      <c r="AK68" s="5" t="str">
        <f ca="1">IFERROR(__xludf.DUMMYFUNCTION("IF(Y68 = """", """", GOOGLETRANSLATE(Y68, ""en"", ""gu""))"),"મૂંઝવણ અને તણાવમાંથી ધીમે ધીમે બહાર આવવું")</f>
        <v>મૂંઝવણ અને તણાવમાંથી ધીમે ધીમે બહાર આવવું</v>
      </c>
      <c r="AL68" s="5" t="str">
        <f ca="1">IFERROR(__xludf.DUMMYFUNCTION("IF(Z68 = """", """", GOOGLETRANSLATE(Z68, ""en"", ""gu""))"),"પરિવારનો સહયોગ મળશે")</f>
        <v>પરિવારનો સહયોગ મળશે</v>
      </c>
      <c r="AM68" s="5" t="str">
        <f ca="1">IFERROR(__xludf.DUMMYFUNCTION("IF(AA68 = """", """", GOOGLETRANSLATE(AA68, ""en"", ""gu""))"),"મહત્વપૂર્ણ નિર્ણય લેતા પહેલા સલાહ લો")</f>
        <v>મહત્વપૂર્ણ નિર્ણય લેતા પહેલા સલાહ લો</v>
      </c>
      <c r="AN68" s="5" t="str">
        <f ca="1">IFERROR(__xludf.DUMMYFUNCTION("IF(AB68 = """", """", GOOGLETRANSLATE(AB68, ""en"", ""gu""))"),"")</f>
        <v/>
      </c>
      <c r="AO68" s="5" t="str">
        <f ca="1">IFERROR(__xludf.DUMMYFUNCTION("IF(Y68 = """", """", GOOGLETRANSLATE(Y68, ""en"", ""bn""))"),"ধীরে ধীরে বিভ্রান্তি এবং চাপ থেকে বেরিয়ে আসছে")</f>
        <v>ধীরে ধীরে বিভ্রান্তি এবং চাপ থেকে বেরিয়ে আসছে</v>
      </c>
      <c r="AP68" s="5" t="str">
        <f ca="1">IFERROR(__xludf.DUMMYFUNCTION("IF(Z68 = """", """", GOOGLETRANSLATE(Z68, ""en"", ""bn""))"),"পরিবারের সমর্থন সাহায্য করবে")</f>
        <v>পরিবারের সমর্থন সাহায্য করবে</v>
      </c>
      <c r="AQ68" s="5" t="str">
        <f ca="1">IFERROR(__xludf.DUMMYFUNCTION("IF(AA68 = """", """", GOOGLETRANSLATE(AA68, ""en"", ""bn""))"),"গুরুত্বপূর্ণ সিদ্ধান্ত নেওয়ার আগে পরামর্শ নিন")</f>
        <v>গুরুত্বপূর্ণ সিদ্ধান্ত নেওয়ার আগে পরামর্শ নিন</v>
      </c>
      <c r="AR68" s="5" t="str">
        <f ca="1">IFERROR(__xludf.DUMMYFUNCTION("IF(AB68 = """", """", GOOGLETRANSLATE(AB68, ""en"", ""bn""))"),"")</f>
        <v/>
      </c>
      <c r="AU68" s="5" t="str">
        <f ca="1">IFERROR(__xludf.DUMMYFUNCTION("IF(Y68 = """", """", GOOGLETRANSLATE(Y68, ""en"", ""te""))"),"గందరగోళం మరియు ఒత్తిడి నుండి నెమ్మదిగా బయటపడతారు")</f>
        <v>గందరగోళం మరియు ఒత్తిడి నుండి నెమ్మదిగా బయటపడతారు</v>
      </c>
      <c r="AV68" s="5" t="str">
        <f ca="1">IFERROR(__xludf.DUMMYFUNCTION("IF(Z68 = """", """", GOOGLETRANSLATE(Z68, ""en"", ""te""))"),"కుటుంబ మద్దతు సహాయం చేస్తుంది")</f>
        <v>కుటుంబ మద్దతు సహాయం చేస్తుంది</v>
      </c>
      <c r="AW68" s="5" t="str">
        <f ca="1">IFERROR(__xludf.DUMMYFUNCTION("IF(AA68 = """", """", GOOGLETRANSLATE(AA68, ""en"", ""te""))"),"ముఖ్యమైన నిర్ణయాలు తీసుకునే ముందు సలహా తీసుకోండి")</f>
        <v>ముఖ్యమైన నిర్ణయాలు తీసుకునే ముందు సలహా తీసుకోండి</v>
      </c>
      <c r="AX68" s="5" t="str">
        <f ca="1">IFERROR(__xludf.DUMMYFUNCTION("IF(AB68 = """", """", GOOGLETRANSLATE(AB68, ""en"", ""te""))"),"")</f>
        <v/>
      </c>
    </row>
    <row r="69" spans="1:50" x14ac:dyDescent="0.25">
      <c r="A69" s="1">
        <v>82</v>
      </c>
      <c r="B69" s="1" t="s">
        <v>56</v>
      </c>
      <c r="C69" s="8">
        <v>45828</v>
      </c>
      <c r="D69" s="8">
        <v>45828</v>
      </c>
      <c r="E69" s="1">
        <v>12</v>
      </c>
      <c r="F69" s="1">
        <v>1</v>
      </c>
      <c r="G69" s="3" t="s">
        <v>263</v>
      </c>
      <c r="H69" s="4">
        <v>1.1041666666666667E-2</v>
      </c>
      <c r="I69" s="4">
        <v>7.2685185185185188E-3</v>
      </c>
      <c r="J69" s="4">
        <v>7.5694444444444446E-3</v>
      </c>
      <c r="K69" s="1" t="s">
        <v>58</v>
      </c>
      <c r="L69" s="1" t="s">
        <v>81</v>
      </c>
      <c r="M69" s="1" t="s">
        <v>14</v>
      </c>
      <c r="O69" s="1" t="s">
        <v>61</v>
      </c>
      <c r="P69" s="1" t="s">
        <v>61</v>
      </c>
      <c r="Q69" s="1" t="s">
        <v>61</v>
      </c>
      <c r="R69" s="1" t="s">
        <v>61</v>
      </c>
      <c r="S69" s="1" t="s">
        <v>61</v>
      </c>
      <c r="T69" s="1" t="s">
        <v>61</v>
      </c>
      <c r="V69" s="1" t="s">
        <v>61</v>
      </c>
      <c r="W69" s="1" t="s">
        <v>61</v>
      </c>
      <c r="X69" s="1" t="s">
        <v>61</v>
      </c>
      <c r="Y69" s="1" t="s">
        <v>301</v>
      </c>
      <c r="Z69" s="1" t="s">
        <v>302</v>
      </c>
      <c r="AA69" s="1" t="s">
        <v>303</v>
      </c>
      <c r="AB69" s="1"/>
      <c r="AC69" s="5" t="str">
        <f ca="1">IFERROR(__xludf.DUMMYFUNCTION("IF(Y69 = """", """", GOOGLETRANSLATE(Y69, ""en"", ""hi""))
"),"पारिवारिक सुख-सुविधाओं के लिए अचानक खर्च संभव")</f>
        <v>पारिवारिक सुख-सुविधाओं के लिए अचानक खर्च संभव</v>
      </c>
      <c r="AD69" s="5" t="str">
        <f ca="1">IFERROR(__xludf.DUMMYFUNCTION("IF(Z69 = """", """", GOOGLETRANSLATE(Z69, ""en"", ""hi""))"),"महत्वपूर्ण निर्णय लें")</f>
        <v>महत्वपूर्ण निर्णय लें</v>
      </c>
      <c r="AE69" s="5" t="str">
        <f ca="1">IFERROR(__xludf.DUMMYFUNCTION("IF(AA69 = """", """", GOOGLETRANSLATE(AA69, ""en"", ""hi""))"),"इस अच्छे दिन का पूरा लाभ उठाएँ")</f>
        <v>इस अच्छे दिन का पूरा लाभ उठाएँ</v>
      </c>
      <c r="AF69" s="5" t="str">
        <f ca="1">IFERROR(__xludf.DUMMYFUNCTION("IF(AB69 = """", """", GOOGLETRANSLATE(AB69, ""en"", ""hi""))"),"")</f>
        <v/>
      </c>
      <c r="AG69" s="5" t="str">
        <f ca="1">IFERROR(__xludf.DUMMYFUNCTION("IF(Y69 = """", """", GOOGLETRANSLATE(Y69, ""en"", ""mr""))"),"कौटुंबिक सुखासाठी अचानक खर्च होण्याची शक्यता")</f>
        <v>कौटुंबिक सुखासाठी अचानक खर्च होण्याची शक्यता</v>
      </c>
      <c r="AH69" s="5" t="str">
        <f ca="1">IFERROR(__xludf.DUMMYFUNCTION("IF(Z69 = """", """", GOOGLETRANSLATE(Z69, ""en"", ""mr""))"),"महत्त्वाचे निर्णय घ्या")</f>
        <v>महत्त्वाचे निर्णय घ्या</v>
      </c>
      <c r="AI69" s="5" t="str">
        <f ca="1">IFERROR(__xludf.DUMMYFUNCTION("IF(AA69 = """", """", GOOGLETRANSLATE(AA69, ""en"", ""mr""))"),"या शुभ दिवसाचा तुमच्या पूर्ण लाभासाठी उपयोग करा")</f>
        <v>या शुभ दिवसाचा तुमच्या पूर्ण लाभासाठी उपयोग करा</v>
      </c>
      <c r="AJ69" s="5" t="str">
        <f ca="1">IFERROR(__xludf.DUMMYFUNCTION("IF(AB69 = """", """", GOOGLETRANSLATE(AB69, ""en"", ""mr""))"),"")</f>
        <v/>
      </c>
      <c r="AK69" s="5" t="str">
        <f ca="1">IFERROR(__xludf.DUMMYFUNCTION("IF(Y69 = """", """", GOOGLETRANSLATE(Y69, ""en"", ""gu""))"),"પારિવારિક સુખ-સુવિધાઓ માટે અચાનક ખર્ચ શક્ય છે")</f>
        <v>પારિવારિક સુખ-સુવિધાઓ માટે અચાનક ખર્ચ શક્ય છે</v>
      </c>
      <c r="AL69" s="5" t="str">
        <f ca="1">IFERROR(__xludf.DUMMYFUNCTION("IF(Z69 = """", """", GOOGLETRANSLATE(Z69, ""en"", ""gu""))"),"મહત્વપૂર્ણ નિર્ણયો લો")</f>
        <v>મહત્વપૂર્ણ નિર્ણયો લો</v>
      </c>
      <c r="AM69" s="5" t="str">
        <f ca="1">IFERROR(__xludf.DUMMYFUNCTION("IF(AA69 = """", """", GOOGLETRANSLATE(AA69, ""en"", ""gu""))"),"આ શુભ દિવસનો તમારા સંપૂર્ણ લાભ માટે ઉપયોગ કરો")</f>
        <v>આ શુભ દિવસનો તમારા સંપૂર્ણ લાભ માટે ઉપયોગ કરો</v>
      </c>
      <c r="AN69" s="5" t="str">
        <f ca="1">IFERROR(__xludf.DUMMYFUNCTION("IF(AB69 = """", """", GOOGLETRANSLATE(AB69, ""en"", ""gu""))"),"")</f>
        <v/>
      </c>
      <c r="AO69" s="5" t="str">
        <f ca="1">IFERROR(__xludf.DUMMYFUNCTION("IF(Y69 = """", """", GOOGLETRANSLATE(Y69, ""en"", ""bn""))"),"পারিবারিক আরামের জন্য আকস্মিক খরচ সম্ভব")</f>
        <v>পারিবারিক আরামের জন্য আকস্মিক খরচ সম্ভব</v>
      </c>
      <c r="AP69" s="5" t="str">
        <f ca="1">IFERROR(__xludf.DUMMYFUNCTION("IF(Z69 = """", """", GOOGLETRANSLATE(Z69, ""en"", ""bn""))"),"গুরুত্বপূর্ণ সিদ্ধান্ত নিন")</f>
        <v>গুরুত্বপূর্ণ সিদ্ধান্ত নিন</v>
      </c>
      <c r="AQ69" s="5" t="str">
        <f ca="1">IFERROR(__xludf.DUMMYFUNCTION("IF(AA69 = """", """", GOOGLETRANSLATE(AA69, ""en"", ""bn""))"),"আপনার সম্পূর্ণ সুবিধার জন্য এই শুভ দিন ব্যবহার করুন")</f>
        <v>আপনার সম্পূর্ণ সুবিধার জন্য এই শুভ দিন ব্যবহার করুন</v>
      </c>
      <c r="AR69" s="5" t="str">
        <f ca="1">IFERROR(__xludf.DUMMYFUNCTION("IF(AB69 = """", """", GOOGLETRANSLATE(AB69, ""en"", ""bn""))"),"")</f>
        <v/>
      </c>
      <c r="AU69" s="5" t="str">
        <f ca="1">IFERROR(__xludf.DUMMYFUNCTION("IF(Y69 = """", """", GOOGLETRANSLATE(Y69, ""en"", ""te""))"),"కుటుంబ సౌకర్యాల కోసం ఆకస్మిక ఖర్చులు సాధ్యమవుతాయి")</f>
        <v>కుటుంబ సౌకర్యాల కోసం ఆకస్మిక ఖర్చులు సాధ్యమవుతాయి</v>
      </c>
      <c r="AV69" s="5" t="str">
        <f ca="1">IFERROR(__xludf.DUMMYFUNCTION("IF(Z69 = """", """", GOOGLETRANSLATE(Z69, ""en"", ""te""))"),"ముఖ్యమైన నిర్ణయాలు తీసుకోండి")</f>
        <v>ముఖ్యమైన నిర్ణయాలు తీసుకోండి</v>
      </c>
      <c r="AW69" s="5" t="str">
        <f ca="1">IFERROR(__xludf.DUMMYFUNCTION("IF(AA69 = """", """", GOOGLETRANSLATE(AA69, ""en"", ""te""))"),"ఈ మంచి రోజును మీ పూర్తి ప్రయోజనం కోసం ఉపయోగించుకోండి")</f>
        <v>ఈ మంచి రోజును మీ పూర్తి ప్రయోజనం కోసం ఉపయోగించుకోండి</v>
      </c>
      <c r="AX69" s="5" t="str">
        <f ca="1">IFERROR(__xludf.DUMMYFUNCTION("IF(AB69 = """", """", GOOGLETRANSLATE(AB69, ""en"", ""te""))"),"")</f>
        <v/>
      </c>
    </row>
    <row r="70" spans="1:50" x14ac:dyDescent="0.25">
      <c r="A70" s="1">
        <v>83</v>
      </c>
      <c r="B70" s="1" t="s">
        <v>56</v>
      </c>
      <c r="C70" s="8">
        <v>45828</v>
      </c>
      <c r="D70" s="8">
        <v>45828</v>
      </c>
      <c r="E70" s="1">
        <v>13</v>
      </c>
      <c r="F70" s="1">
        <v>1</v>
      </c>
      <c r="G70" s="3" t="s">
        <v>263</v>
      </c>
      <c r="H70" s="4">
        <v>1.1041666666666667E-2</v>
      </c>
      <c r="I70" s="4">
        <v>7.5694444444444446E-3</v>
      </c>
      <c r="J70" s="4">
        <v>1.1041666666666667E-2</v>
      </c>
      <c r="K70" s="1" t="s">
        <v>58</v>
      </c>
      <c r="L70" s="1" t="s">
        <v>137</v>
      </c>
      <c r="O70" s="1" t="s">
        <v>61</v>
      </c>
      <c r="P70" s="1" t="s">
        <v>61</v>
      </c>
      <c r="Q70" s="1" t="s">
        <v>61</v>
      </c>
      <c r="R70" s="1" t="s">
        <v>61</v>
      </c>
      <c r="S70" s="1" t="s">
        <v>61</v>
      </c>
      <c r="T70" s="1" t="s">
        <v>61</v>
      </c>
      <c r="V70" s="1" t="s">
        <v>61</v>
      </c>
      <c r="W70" s="1" t="s">
        <v>61</v>
      </c>
      <c r="X70" s="1" t="s">
        <v>61</v>
      </c>
      <c r="AB70" s="1"/>
      <c r="AC70" s="5" t="str">
        <f ca="1">IFERROR(__xludf.DUMMYFUNCTION("IF(Y70 = """", """", GOOGLETRANSLATE(Y70, ""en"", ""hi""))
"),"")</f>
        <v/>
      </c>
      <c r="AD70" s="5" t="str">
        <f ca="1">IFERROR(__xludf.DUMMYFUNCTION("IF(Z70 = """", """", GOOGLETRANSLATE(Z70, ""en"", ""hi""))"),"")</f>
        <v/>
      </c>
      <c r="AE70" s="5" t="str">
        <f ca="1">IFERROR(__xludf.DUMMYFUNCTION("IF(AA70 = """", """", GOOGLETRANSLATE(AA70, ""en"", ""hi""))"),"")</f>
        <v/>
      </c>
      <c r="AF70" s="5" t="str">
        <f ca="1">IFERROR(__xludf.DUMMYFUNCTION("IF(AB70 = """", """", GOOGLETRANSLATE(AB70, ""en"", ""hi""))"),"")</f>
        <v/>
      </c>
      <c r="AG70" s="5" t="str">
        <f ca="1">IFERROR(__xludf.DUMMYFUNCTION("IF(Y70 = """", """", GOOGLETRANSLATE(Y70, ""en"", ""mr""))"),"")</f>
        <v/>
      </c>
      <c r="AH70" s="5" t="str">
        <f ca="1">IFERROR(__xludf.DUMMYFUNCTION("IF(Z70 = """", """", GOOGLETRANSLATE(Z70, ""en"", ""mr""))"),"")</f>
        <v/>
      </c>
      <c r="AI70" s="5" t="str">
        <f ca="1">IFERROR(__xludf.DUMMYFUNCTION("IF(AA70 = """", """", GOOGLETRANSLATE(AA70, ""en"", ""mr""))"),"")</f>
        <v/>
      </c>
      <c r="AJ70" s="5" t="str">
        <f ca="1">IFERROR(__xludf.DUMMYFUNCTION("IF(AB70 = """", """", GOOGLETRANSLATE(AB70, ""en"", ""mr""))"),"")</f>
        <v/>
      </c>
      <c r="AK70" s="5" t="str">
        <f ca="1">IFERROR(__xludf.DUMMYFUNCTION("IF(Y70 = """", """", GOOGLETRANSLATE(Y70, ""en"", ""gu""))"),"")</f>
        <v/>
      </c>
      <c r="AL70" s="5" t="str">
        <f ca="1">IFERROR(__xludf.DUMMYFUNCTION("IF(Z70 = """", """", GOOGLETRANSLATE(Z70, ""en"", ""gu""))"),"")</f>
        <v/>
      </c>
      <c r="AM70" s="5" t="str">
        <f ca="1">IFERROR(__xludf.DUMMYFUNCTION("IF(AA70 = """", """", GOOGLETRANSLATE(AA70, ""en"", ""gu""))"),"")</f>
        <v/>
      </c>
      <c r="AN70" s="5" t="str">
        <f ca="1">IFERROR(__xludf.DUMMYFUNCTION("IF(AB70 = """", """", GOOGLETRANSLATE(AB70, ""en"", ""gu""))"),"")</f>
        <v/>
      </c>
      <c r="AO70" s="5" t="str">
        <f ca="1">IFERROR(__xludf.DUMMYFUNCTION("IF(Y70 = """", """", GOOGLETRANSLATE(Y70, ""en"", ""bn""))"),"")</f>
        <v/>
      </c>
      <c r="AP70" s="5" t="str">
        <f ca="1">IFERROR(__xludf.DUMMYFUNCTION("IF(Z70 = """", """", GOOGLETRANSLATE(Z70, ""en"", ""bn""))"),"")</f>
        <v/>
      </c>
      <c r="AQ70" s="5" t="str">
        <f ca="1">IFERROR(__xludf.DUMMYFUNCTION("IF(AA70 = """", """", GOOGLETRANSLATE(AA70, ""en"", ""bn""))"),"")</f>
        <v/>
      </c>
      <c r="AR70" s="5" t="str">
        <f ca="1">IFERROR(__xludf.DUMMYFUNCTION("IF(AB70 = """", """", GOOGLETRANSLATE(AB70, ""en"", ""bn""))"),"")</f>
        <v/>
      </c>
      <c r="AU70" s="5" t="str">
        <f ca="1">IFERROR(__xludf.DUMMYFUNCTION("IF(Y70 = """", """", GOOGLETRANSLATE(Y70, ""en"", ""te""))"),"")</f>
        <v/>
      </c>
      <c r="AV70" s="5" t="str">
        <f ca="1">IFERROR(__xludf.DUMMYFUNCTION("IF(Z70 = """", """", GOOGLETRANSLATE(Z70, ""en"", ""te""))"),"")</f>
        <v/>
      </c>
      <c r="AW70" s="5" t="str">
        <f ca="1">IFERROR(__xludf.DUMMYFUNCTION("IF(AA70 = """", """", GOOGLETRANSLATE(AA70, ""en"", ""te""))"),"")</f>
        <v/>
      </c>
      <c r="AX70" s="5" t="str">
        <f ca="1">IFERROR(__xludf.DUMMYFUNCTION("IF(AB70 = """", """", GOOGLETRANSLATE(AB70, ""en"", ""te""))"),"")</f>
        <v/>
      </c>
    </row>
    <row r="71" spans="1:50" x14ac:dyDescent="0.25">
      <c r="A71" s="1">
        <v>84</v>
      </c>
      <c r="B71" s="1" t="s">
        <v>56</v>
      </c>
      <c r="C71" s="8">
        <v>45830</v>
      </c>
      <c r="D71" s="8">
        <v>45830</v>
      </c>
      <c r="E71" s="1">
        <v>0</v>
      </c>
      <c r="F71" s="1">
        <v>1</v>
      </c>
      <c r="G71" s="3" t="s">
        <v>304</v>
      </c>
      <c r="H71" s="4">
        <v>8.3680555555555557E-3</v>
      </c>
      <c r="I71" s="4">
        <v>0</v>
      </c>
      <c r="J71" s="4">
        <v>1.2037037037037038E-3</v>
      </c>
      <c r="K71" s="1" t="s">
        <v>58</v>
      </c>
      <c r="L71" s="1" t="s">
        <v>59</v>
      </c>
      <c r="O71" s="1" t="s">
        <v>61</v>
      </c>
      <c r="P71" s="1" t="s">
        <v>61</v>
      </c>
      <c r="Q71" s="1" t="s">
        <v>61</v>
      </c>
      <c r="R71" s="1" t="s">
        <v>61</v>
      </c>
      <c r="S71" s="1" t="s">
        <v>61</v>
      </c>
      <c r="T71" s="1" t="s">
        <v>61</v>
      </c>
      <c r="V71" s="1" t="s">
        <v>61</v>
      </c>
      <c r="W71" s="1" t="s">
        <v>61</v>
      </c>
      <c r="X71" s="1" t="s">
        <v>61</v>
      </c>
      <c r="AB71" s="1"/>
      <c r="AC71" s="5" t="str">
        <f ca="1">IFERROR(__xludf.DUMMYFUNCTION("IF(Y71 = """", """", GOOGLETRANSLATE(Y71, ""en"", ""hi""))
"),"")</f>
        <v/>
      </c>
      <c r="AD71" s="5" t="str">
        <f ca="1">IFERROR(__xludf.DUMMYFUNCTION("IF(Z71 = """", """", GOOGLETRANSLATE(Z71, ""en"", ""hi""))"),"")</f>
        <v/>
      </c>
      <c r="AE71" s="5" t="str">
        <f ca="1">IFERROR(__xludf.DUMMYFUNCTION("IF(AA71 = """", """", GOOGLETRANSLATE(AA71, ""en"", ""hi""))"),"")</f>
        <v/>
      </c>
      <c r="AF71" s="5" t="str">
        <f ca="1">IFERROR(__xludf.DUMMYFUNCTION("IF(AB71 = """", """", GOOGLETRANSLATE(AB71, ""en"", ""hi""))"),"")</f>
        <v/>
      </c>
      <c r="AG71" s="5" t="str">
        <f ca="1">IFERROR(__xludf.DUMMYFUNCTION("IF(Y71 = """", """", GOOGLETRANSLATE(Y71, ""en"", ""mr""))"),"")</f>
        <v/>
      </c>
      <c r="AH71" s="5" t="str">
        <f ca="1">IFERROR(__xludf.DUMMYFUNCTION("IF(Z71 = """", """", GOOGLETRANSLATE(Z71, ""en"", ""mr""))"),"")</f>
        <v/>
      </c>
      <c r="AI71" s="5" t="str">
        <f ca="1">IFERROR(__xludf.DUMMYFUNCTION("IF(AA71 = """", """", GOOGLETRANSLATE(AA71, ""en"", ""mr""))"),"")</f>
        <v/>
      </c>
      <c r="AJ71" s="5" t="str">
        <f ca="1">IFERROR(__xludf.DUMMYFUNCTION("IF(AB71 = """", """", GOOGLETRANSLATE(AB71, ""en"", ""mr""))"),"")</f>
        <v/>
      </c>
      <c r="AK71" s="5" t="str">
        <f ca="1">IFERROR(__xludf.DUMMYFUNCTION("IF(Y71 = """", """", GOOGLETRANSLATE(Y71, ""en"", ""gu""))"),"")</f>
        <v/>
      </c>
      <c r="AL71" s="5" t="str">
        <f ca="1">IFERROR(__xludf.DUMMYFUNCTION("IF(Z71 = """", """", GOOGLETRANSLATE(Z71, ""en"", ""gu""))"),"")</f>
        <v/>
      </c>
      <c r="AM71" s="5" t="str">
        <f ca="1">IFERROR(__xludf.DUMMYFUNCTION("IF(AA71 = """", """", GOOGLETRANSLATE(AA71, ""en"", ""gu""))"),"")</f>
        <v/>
      </c>
      <c r="AN71" s="5" t="str">
        <f ca="1">IFERROR(__xludf.DUMMYFUNCTION("IF(AB71 = """", """", GOOGLETRANSLATE(AB71, ""en"", ""gu""))"),"")</f>
        <v/>
      </c>
      <c r="AO71" s="5" t="str">
        <f ca="1">IFERROR(__xludf.DUMMYFUNCTION("IF(Y71 = """", """", GOOGLETRANSLATE(Y71, ""en"", ""bn""))"),"")</f>
        <v/>
      </c>
      <c r="AP71" s="5" t="str">
        <f ca="1">IFERROR(__xludf.DUMMYFUNCTION("IF(Z71 = """", """", GOOGLETRANSLATE(Z71, ""en"", ""bn""))"),"")</f>
        <v/>
      </c>
      <c r="AQ71" s="5" t="str">
        <f ca="1">IFERROR(__xludf.DUMMYFUNCTION("IF(AA71 = """", """", GOOGLETRANSLATE(AA71, ""en"", ""bn""))"),"")</f>
        <v/>
      </c>
      <c r="AR71" s="5" t="str">
        <f ca="1">IFERROR(__xludf.DUMMYFUNCTION("IF(AB71 = """", """", GOOGLETRANSLATE(AB71, ""en"", ""bn""))"),"")</f>
        <v/>
      </c>
      <c r="AU71" s="5" t="str">
        <f ca="1">IFERROR(__xludf.DUMMYFUNCTION("IF(Y71 = """", """", GOOGLETRANSLATE(Y71, ""en"", ""te""))"),"")</f>
        <v/>
      </c>
      <c r="AV71" s="5" t="str">
        <f ca="1">IFERROR(__xludf.DUMMYFUNCTION("IF(Z71 = """", """", GOOGLETRANSLATE(Z71, ""en"", ""te""))"),"")</f>
        <v/>
      </c>
      <c r="AW71" s="5" t="str">
        <f ca="1">IFERROR(__xludf.DUMMYFUNCTION("IF(AA71 = """", """", GOOGLETRANSLATE(AA71, ""en"", ""te""))"),"")</f>
        <v/>
      </c>
      <c r="AX71" s="5" t="str">
        <f ca="1">IFERROR(__xludf.DUMMYFUNCTION("IF(AB71 = """", """", GOOGLETRANSLATE(AB71, ""en"", ""te""))"),"")</f>
        <v/>
      </c>
    </row>
    <row r="72" spans="1:50" x14ac:dyDescent="0.25">
      <c r="A72" s="1">
        <v>85</v>
      </c>
      <c r="B72" s="1" t="s">
        <v>56</v>
      </c>
      <c r="C72" s="8">
        <v>45830</v>
      </c>
      <c r="D72" s="8">
        <v>45830</v>
      </c>
      <c r="E72" s="1">
        <v>1</v>
      </c>
      <c r="F72" s="1">
        <v>1</v>
      </c>
      <c r="G72" s="3" t="s">
        <v>305</v>
      </c>
      <c r="H72" s="4">
        <v>8.3680555555555557E-3</v>
      </c>
      <c r="I72" s="4">
        <v>1.2037037037037038E-3</v>
      </c>
      <c r="J72" s="4">
        <v>2.0486111111111113E-3</v>
      </c>
      <c r="K72" s="1" t="s">
        <v>58</v>
      </c>
      <c r="L72" s="1" t="s">
        <v>142</v>
      </c>
      <c r="M72" s="1" t="s">
        <v>14</v>
      </c>
      <c r="O72" s="1" t="s">
        <v>61</v>
      </c>
      <c r="P72" s="1" t="s">
        <v>61</v>
      </c>
      <c r="Q72" s="1" t="s">
        <v>61</v>
      </c>
      <c r="R72" s="1" t="s">
        <v>61</v>
      </c>
      <c r="S72" s="1" t="s">
        <v>61</v>
      </c>
      <c r="T72" s="1" t="s">
        <v>61</v>
      </c>
      <c r="V72" s="1" t="s">
        <v>61</v>
      </c>
      <c r="W72" s="1" t="s">
        <v>61</v>
      </c>
      <c r="X72" s="1" t="s">
        <v>61</v>
      </c>
      <c r="Y72" s="1" t="s">
        <v>306</v>
      </c>
      <c r="Z72" s="1" t="s">
        <v>307</v>
      </c>
      <c r="AA72" s="1" t="s">
        <v>308</v>
      </c>
      <c r="AB72" s="1"/>
      <c r="AC72" s="5" t="str">
        <f ca="1">IFERROR(__xludf.DUMMYFUNCTION("IF(Y72 = """", """", GOOGLETRANSLATE(Y72, ""en"", ""hi""))
"),"लंबित कार्य पूरे किए जा सकते हैं")</f>
        <v>लंबित कार्य पूरे किए जा सकते हैं</v>
      </c>
      <c r="AD72" s="5" t="str">
        <f ca="1">IFERROR(__xludf.DUMMYFUNCTION("IF(Z72 = """", """", GOOGLETRANSLATE(Z72, ""en"", ""hi""))"),"उत्पादक पारिवारिक समय")</f>
        <v>उत्पादक पारिवारिक समय</v>
      </c>
      <c r="AE72" s="5" t="str">
        <f ca="1">IFERROR(__xludf.DUMMYFUNCTION("IF(AA72 = """", """", GOOGLETRANSLATE(AA72, ""en"", ""hi""))"),"मंगल-केतु युति के कारण मौसमी स्वास्थ्य समस्याओं का ध्यान रखें")</f>
        <v>मंगल-केतु युति के कारण मौसमी स्वास्थ्य समस्याओं का ध्यान रखें</v>
      </c>
      <c r="AF72" s="5" t="str">
        <f ca="1">IFERROR(__xludf.DUMMYFUNCTION("IF(AB72 = """", """", GOOGLETRANSLATE(AB72, ""en"", ""hi""))"),"")</f>
        <v/>
      </c>
      <c r="AG72" s="5" t="str">
        <f ca="1">IFERROR(__xludf.DUMMYFUNCTION("IF(Y72 = """", """", GOOGLETRANSLATE(Y72, ""en"", ""mr""))"),"प्रलंबित कामे पूर्ण होऊ शकतात")</f>
        <v>प्रलंबित कामे पूर्ण होऊ शकतात</v>
      </c>
      <c r="AH72" s="5" t="str">
        <f ca="1">IFERROR(__xludf.DUMMYFUNCTION("IF(Z72 = """", """", GOOGLETRANSLATE(Z72, ""en"", ""mr""))"),"उत्पादक कौटुंबिक वेळ")</f>
        <v>उत्पादक कौटुंबिक वेळ</v>
      </c>
      <c r="AI72" s="5" t="str">
        <f ca="1">IFERROR(__xludf.DUMMYFUNCTION("IF(AA72 = """", """", GOOGLETRANSLATE(AA72, ""en"", ""mr""))"),"मंगळ-केतूच्या संयोगामुळे मौसमी आरोग्याच्या समस्या")</f>
        <v>मंगळ-केतूच्या संयोगामुळे मौसमी आरोग्याच्या समस्या</v>
      </c>
      <c r="AJ72" s="5" t="str">
        <f ca="1">IFERROR(__xludf.DUMMYFUNCTION("IF(AB72 = """", """", GOOGLETRANSLATE(AB72, ""en"", ""mr""))"),"")</f>
        <v/>
      </c>
      <c r="AK72" s="5" t="str">
        <f ca="1">IFERROR(__xludf.DUMMYFUNCTION("IF(Y72 = """", """", GOOGLETRANSLATE(Y72, ""en"", ""gu""))"),"અટકેલા કાર્યો પૂર્ણ થઈ શકે છે")</f>
        <v>અટકેલા કાર્યો પૂર્ણ થઈ શકે છે</v>
      </c>
      <c r="AL72" s="5" t="str">
        <f ca="1">IFERROR(__xludf.DUMMYFUNCTION("IF(Z72 = """", """", GOOGLETRANSLATE(Z72, ""en"", ""gu""))"),"ફળદાયી કૌટુંબિક સમય")</f>
        <v>ફળદાયી કૌટુંબિક સમય</v>
      </c>
      <c r="AM72" s="5" t="str">
        <f ca="1">IFERROR(__xludf.DUMMYFUNCTION("IF(AA72 = """", """", GOOGLETRANSLATE(AA72, ""en"", ""gu""))"),"મંગળ-કેતુની યુતિના કારણે મોસમી સ્વાસ્થ્યને લગતી સમસ્યાઓનું ધ્યાન રાખો")</f>
        <v>મંગળ-કેતુની યુતિના કારણે મોસમી સ્વાસ્થ્યને લગતી સમસ્યાઓનું ધ્યાન રાખો</v>
      </c>
      <c r="AN72" s="5" t="str">
        <f ca="1">IFERROR(__xludf.DUMMYFUNCTION("IF(AB72 = """", """", GOOGLETRANSLATE(AB72, ""en"", ""gu""))"),"")</f>
        <v/>
      </c>
      <c r="AO72" s="5" t="str">
        <f ca="1">IFERROR(__xludf.DUMMYFUNCTION("IF(Y72 = """", """", GOOGLETRANSLATE(Y72, ""en"", ""bn""))"),"অমীমাংসিত কাজ শেষ হতে পারে")</f>
        <v>অমীমাংসিত কাজ শেষ হতে পারে</v>
      </c>
      <c r="AP72" s="5" t="str">
        <f ca="1">IFERROR(__xludf.DUMMYFUNCTION("IF(Z72 = """", """", GOOGLETRANSLATE(Z72, ""en"", ""bn""))"),"উত্পাদনশীল পারিবারিক সময়")</f>
        <v>উত্পাদনশীল পারিবারিক সময়</v>
      </c>
      <c r="AQ72" s="5" t="str">
        <f ca="1">IFERROR(__xludf.DUMMYFUNCTION("IF(AA72 = """", """", GOOGLETRANSLATE(AA72, ""en"", ""bn""))"),"মঙ্গল-কেতু সংযোগের কারণে মন মৌসুমি স্বাস্থ্য সমস্যা")</f>
        <v>মঙ্গল-কেতু সংযোগের কারণে মন মৌসুমি স্বাস্থ্য সমস্যা</v>
      </c>
      <c r="AR72" s="5" t="str">
        <f ca="1">IFERROR(__xludf.DUMMYFUNCTION("IF(AB72 = """", """", GOOGLETRANSLATE(AB72, ""en"", ""bn""))"),"")</f>
        <v/>
      </c>
      <c r="AU72" s="5" t="str">
        <f ca="1">IFERROR(__xludf.DUMMYFUNCTION("IF(Y72 = """", """", GOOGLETRANSLATE(Y72, ""en"", ""te""))"),"పెండింగ్‌లో ఉన్న పనులు పూర్తి చేయగలుగుతారు")</f>
        <v>పెండింగ్‌లో ఉన్న పనులు పూర్తి చేయగలుగుతారు</v>
      </c>
      <c r="AV72" s="5" t="str">
        <f ca="1">IFERROR(__xludf.DUMMYFUNCTION("IF(Z72 = """", """", GOOGLETRANSLATE(Z72, ""en"", ""te""))"),"ఉత్పాదక కుటుంబ సమయం")</f>
        <v>ఉత్పాదక కుటుంబ సమయం</v>
      </c>
      <c r="AW72" s="5" t="str">
        <f ca="1">IFERROR(__xludf.DUMMYFUNCTION("IF(AA72 = """", """", GOOGLETRANSLATE(AA72, ""en"", ""te""))"),"కుజుడు-కేతువు కలయిక వల్ల కాలానుగుణమైన ఆరోగ్య సమస్యలు తలెత్తుతాయి")</f>
        <v>కుజుడు-కేతువు కలయిక వల్ల కాలానుగుణమైన ఆరోగ్య సమస్యలు తలెత్తుతాయి</v>
      </c>
      <c r="AX72" s="5" t="str">
        <f ca="1">IFERROR(__xludf.DUMMYFUNCTION("IF(AB72 = """", """", GOOGLETRANSLATE(AB72, ""en"", ""te""))"),"")</f>
        <v/>
      </c>
    </row>
    <row r="73" spans="1:50" x14ac:dyDescent="0.25">
      <c r="A73" s="1">
        <v>86</v>
      </c>
      <c r="B73" s="1" t="s">
        <v>56</v>
      </c>
      <c r="C73" s="8">
        <v>45830</v>
      </c>
      <c r="D73" s="8">
        <v>45830</v>
      </c>
      <c r="E73" s="1">
        <v>2</v>
      </c>
      <c r="F73" s="1">
        <v>1</v>
      </c>
      <c r="G73" s="3" t="s">
        <v>309</v>
      </c>
      <c r="H73" s="4">
        <v>8.3680555555555557E-3</v>
      </c>
      <c r="I73" s="4">
        <v>2.0486111111111113E-3</v>
      </c>
      <c r="J73" s="4">
        <v>2.488425925925926E-3</v>
      </c>
      <c r="K73" s="1" t="s">
        <v>58</v>
      </c>
      <c r="L73" s="1" t="s">
        <v>90</v>
      </c>
      <c r="M73" s="1" t="s">
        <v>14</v>
      </c>
      <c r="O73" s="1" t="s">
        <v>61</v>
      </c>
      <c r="P73" s="1" t="s">
        <v>61</v>
      </c>
      <c r="Q73" s="1" t="s">
        <v>61</v>
      </c>
      <c r="R73" s="1" t="s">
        <v>61</v>
      </c>
      <c r="S73" s="1" t="s">
        <v>61</v>
      </c>
      <c r="T73" s="1" t="s">
        <v>61</v>
      </c>
      <c r="V73" s="1" t="s">
        <v>61</v>
      </c>
      <c r="W73" s="1" t="s">
        <v>61</v>
      </c>
      <c r="X73" s="1" t="s">
        <v>61</v>
      </c>
      <c r="Y73" s="1" t="s">
        <v>310</v>
      </c>
      <c r="Z73" s="1" t="s">
        <v>311</v>
      </c>
      <c r="AA73" s="1" t="s">
        <v>312</v>
      </c>
      <c r="AB73" s="1"/>
      <c r="AC73" s="5" t="str">
        <f ca="1">IFERROR(__xludf.DUMMYFUNCTION("IF(Y73 = """", """", GOOGLETRANSLATE(Y73, ""en"", ""hi""))
"),"रविवार मुबारक हो")</f>
        <v>रविवार मुबारक हो</v>
      </c>
      <c r="AD73" s="5" t="str">
        <f ca="1">IFERROR(__xludf.DUMMYFUNCTION("IF(Z73 = """", """", GOOGLETRANSLATE(Z73, ""en"", ""hi""))"),"परिवार की सुख-सुविधाओं के लिए अचानक खर्च संभव")</f>
        <v>परिवार की सुख-सुविधाओं के लिए अचानक खर्च संभव</v>
      </c>
      <c r="AE73" s="5" t="str">
        <f ca="1">IFERROR(__xludf.DUMMYFUNCTION("IF(AA73 = """", """", GOOGLETRANSLATE(AA73, ""en"", ""hi""))"),"प्रियजनों के साथ दिन बिताना")</f>
        <v>प्रियजनों के साथ दिन बिताना</v>
      </c>
      <c r="AF73" s="5" t="str">
        <f ca="1">IFERROR(__xludf.DUMMYFUNCTION("IF(AB73 = """", """", GOOGLETRANSLATE(AB73, ""en"", ""hi""))"),"")</f>
        <v/>
      </c>
      <c r="AG73" s="5" t="str">
        <f ca="1">IFERROR(__xludf.DUMMYFUNCTION("IF(Y73 = """", """", GOOGLETRANSLATE(Y73, ""en"", ""mr""))"),"शुभ रविवार")</f>
        <v>शुभ रविवार</v>
      </c>
      <c r="AH73" s="5" t="str">
        <f ca="1">IFERROR(__xludf.DUMMYFUNCTION("IF(Z73 = """", """", GOOGLETRANSLATE(Z73, ""en"", ""mr""))"),"कौटुंबिक सुखासाठी अचानक खर्च होण्याची शक्यता")</f>
        <v>कौटुंबिक सुखासाठी अचानक खर्च होण्याची शक्यता</v>
      </c>
      <c r="AI73" s="5" t="str">
        <f ca="1">IFERROR(__xludf.DUMMYFUNCTION("IF(AA73 = """", """", GOOGLETRANSLATE(AA73, ""en"", ""mr""))"),"प्रियजनांसोबत दिवस काढाल")</f>
        <v>प्रियजनांसोबत दिवस काढाल</v>
      </c>
      <c r="AJ73" s="5" t="str">
        <f ca="1">IFERROR(__xludf.DUMMYFUNCTION("IF(AB73 = """", """", GOOGLETRANSLATE(AB73, ""en"", ""mr""))"),"")</f>
        <v/>
      </c>
      <c r="AK73" s="5" t="str">
        <f ca="1">IFERROR(__xludf.DUMMYFUNCTION("IF(Y73 = """", """", GOOGLETRANSLATE(Y73, ""en"", ""gu""))"),"શુભ રવિવાર")</f>
        <v>શુભ રવિવાર</v>
      </c>
      <c r="AL73" s="5" t="str">
        <f ca="1">IFERROR(__xludf.DUMMYFUNCTION("IF(Z73 = """", """", GOOGLETRANSLATE(Z73, ""en"", ""gu""))"),"કૌટુંબિક સુખ-સુવિધા માટે સંભવિત અચાનક ખર્ચ")</f>
        <v>કૌટુંબિક સુખ-સુવિધા માટે સંભવિત અચાનક ખર્ચ</v>
      </c>
      <c r="AM73" s="5" t="str">
        <f ca="1">IFERROR(__xludf.DUMMYFUNCTION("IF(AA73 = """", """", GOOGLETRANSLATE(AA73, ""en"", ""gu""))"),"પ્રિયજનો સાથે દિવસ વિતાવશો")</f>
        <v>પ્રિયજનો સાથે દિવસ વિતાવશો</v>
      </c>
      <c r="AN73" s="5" t="str">
        <f ca="1">IFERROR(__xludf.DUMMYFUNCTION("IF(AB73 = """", """", GOOGLETRANSLATE(AB73, ""en"", ""gu""))"),"")</f>
        <v/>
      </c>
      <c r="AO73" s="5" t="str">
        <f ca="1">IFERROR(__xludf.DUMMYFUNCTION("IF(Y73 = """", """", GOOGLETRANSLATE(Y73, ""en"", ""bn""))"),"শুভ রবিবার")</f>
        <v>শুভ রবিবার</v>
      </c>
      <c r="AP73" s="5" t="str">
        <f ca="1">IFERROR(__xludf.DUMMYFUNCTION("IF(Z73 = """", """", GOOGLETRANSLATE(Z73, ""en"", ""bn""))"),"পারিবারিক স্বস্তির জন্য আকস্মিক খরচ হতে পারে")</f>
        <v>পারিবারিক স্বস্তির জন্য আকস্মিক খরচ হতে পারে</v>
      </c>
      <c r="AQ73" s="5" t="str">
        <f ca="1">IFERROR(__xludf.DUMMYFUNCTION("IF(AA73 = """", """", GOOGLETRANSLATE(AA73, ""en"", ""bn""))"),"প্রিয়জনের সাথে দিন কাটান")</f>
        <v>প্রিয়জনের সাথে দিন কাটান</v>
      </c>
      <c r="AR73" s="5" t="str">
        <f ca="1">IFERROR(__xludf.DUMMYFUNCTION("IF(AB73 = """", """", GOOGLETRANSLATE(AB73, ""en"", ""bn""))"),"")</f>
        <v/>
      </c>
      <c r="AU73" s="5" t="str">
        <f ca="1">IFERROR(__xludf.DUMMYFUNCTION("IF(Y73 = """", """", GOOGLETRANSLATE(Y73, ""en"", ""te""))"),"శుభ ఆదివారం")</f>
        <v>శుభ ఆదివారం</v>
      </c>
      <c r="AV73" s="5" t="str">
        <f ca="1">IFERROR(__xludf.DUMMYFUNCTION("IF(Z73 = """", """", GOOGLETRANSLATE(Z73, ""en"", ""te""))"),"కుటుంబ సౌఖ్యం కోసం ఆకస్మిక ఖర్చులు సాధ్యమే")</f>
        <v>కుటుంబ సౌఖ్యం కోసం ఆకస్మిక ఖర్చులు సాధ్యమే</v>
      </c>
      <c r="AW73" s="5" t="str">
        <f ca="1">IFERROR(__xludf.DUMMYFUNCTION("IF(AA73 = """", """", GOOGLETRANSLATE(AA73, ""en"", ""te""))"),"ప్రియమైన వారితో డే అవుట్")</f>
        <v>ప్రియమైన వారితో డే అవుట్</v>
      </c>
      <c r="AX73" s="5" t="str">
        <f ca="1">IFERROR(__xludf.DUMMYFUNCTION("IF(AB73 = """", """", GOOGLETRANSLATE(AB73, ""en"", ""te""))"),"")</f>
        <v/>
      </c>
    </row>
    <row r="74" spans="1:50" x14ac:dyDescent="0.25">
      <c r="A74" s="1">
        <v>87</v>
      </c>
      <c r="B74" s="1" t="s">
        <v>56</v>
      </c>
      <c r="C74" s="8">
        <v>45830</v>
      </c>
      <c r="D74" s="8">
        <v>45830</v>
      </c>
      <c r="E74" s="1">
        <v>3</v>
      </c>
      <c r="F74" s="1">
        <v>1</v>
      </c>
      <c r="G74" s="3" t="s">
        <v>313</v>
      </c>
      <c r="H74" s="4">
        <v>8.3680555555555557E-3</v>
      </c>
      <c r="I74" s="4">
        <v>2.488425925925926E-3</v>
      </c>
      <c r="J74" s="4">
        <v>2.9745370370370373E-3</v>
      </c>
      <c r="K74" s="1" t="s">
        <v>58</v>
      </c>
      <c r="L74" s="1" t="s">
        <v>97</v>
      </c>
      <c r="M74" s="1" t="s">
        <v>14</v>
      </c>
      <c r="O74" s="1" t="s">
        <v>61</v>
      </c>
      <c r="P74" s="1" t="s">
        <v>61</v>
      </c>
      <c r="Q74" s="1" t="s">
        <v>61</v>
      </c>
      <c r="R74" s="1" t="s">
        <v>61</v>
      </c>
      <c r="S74" s="1" t="s">
        <v>61</v>
      </c>
      <c r="T74" s="1" t="s">
        <v>61</v>
      </c>
      <c r="V74" s="1" t="s">
        <v>61</v>
      </c>
      <c r="W74" s="1" t="s">
        <v>61</v>
      </c>
      <c r="X74" s="1" t="s">
        <v>61</v>
      </c>
      <c r="Y74" s="1" t="s">
        <v>314</v>
      </c>
      <c r="Z74" s="1" t="s">
        <v>315</v>
      </c>
      <c r="AA74" s="1" t="s">
        <v>316</v>
      </c>
      <c r="AB74" s="1"/>
      <c r="AC74" s="5" t="str">
        <f ca="1">IFERROR(__xludf.DUMMYFUNCTION("IF(Y74 = """", """", GOOGLETRANSLATE(Y74, ""en"", ""hi""))
"),"पुराने काम पूरे हो जाते हैं")</f>
        <v>पुराने काम पूरे हो जाते हैं</v>
      </c>
      <c r="AD74" s="5" t="str">
        <f ca="1">IFERROR(__xludf.DUMMYFUNCTION("IF(Z74 = """", """", GOOGLETRANSLATE(Z74, ""en"", ""hi""))"),"दोस्तों और परिवार के साथ गुणवत्तापूर्ण समय")</f>
        <v>दोस्तों और परिवार के साथ गुणवत्तापूर्ण समय</v>
      </c>
      <c r="AE74" s="5" t="str">
        <f ca="1">IFERROR(__xludf.DUMMYFUNCTION("IF(AA74 = """", """", GOOGLETRANSLATE(AA74, ""en"", ""hi""))"),"अगले 10-15 दिनों तक अपनी वाणी पर नियंत्रण रखें")</f>
        <v>अगले 10-15 दिनों तक अपनी वाणी पर नियंत्रण रखें</v>
      </c>
      <c r="AF74" s="5" t="str">
        <f ca="1">IFERROR(__xludf.DUMMYFUNCTION("IF(AB74 = """", """", GOOGLETRANSLATE(AB74, ""en"", ""hi""))"),"")</f>
        <v/>
      </c>
      <c r="AG74" s="5" t="str">
        <f ca="1">IFERROR(__xludf.DUMMYFUNCTION("IF(Y74 = """", """", GOOGLETRANSLATE(Y74, ""en"", ""mr""))"),"जुनी कामे होतील")</f>
        <v>जुनी कामे होतील</v>
      </c>
      <c r="AH74" s="5" t="str">
        <f ca="1">IFERROR(__xludf.DUMMYFUNCTION("IF(Z74 = """", """", GOOGLETRANSLATE(Z74, ""en"", ""mr""))"),"मित्र आणि कुटुंबियांसोबत दर्जेदार वेळ")</f>
        <v>मित्र आणि कुटुंबियांसोबत दर्जेदार वेळ</v>
      </c>
      <c r="AI74" s="5" t="str">
        <f ca="1">IFERROR(__xludf.DUMMYFUNCTION("IF(AA74 = """", """", GOOGLETRANSLATE(AA74, ""en"", ""mr""))"),"पुढील 10-15 दिवसात तुमच्या बोलण्यावर नियंत्रण ठेवा")</f>
        <v>पुढील 10-15 दिवसात तुमच्या बोलण्यावर नियंत्रण ठेवा</v>
      </c>
      <c r="AJ74" s="5" t="str">
        <f ca="1">IFERROR(__xludf.DUMMYFUNCTION("IF(AB74 = """", """", GOOGLETRANSLATE(AB74, ""en"", ""mr""))"),"")</f>
        <v/>
      </c>
      <c r="AK74" s="5" t="str">
        <f ca="1">IFERROR(__xludf.DUMMYFUNCTION("IF(Y74 = """", """", GOOGLETRANSLATE(Y74, ""en"", ""gu""))"),"જૂના કાર્યો પૂરા થાય")</f>
        <v>જૂના કાર્યો પૂરા થાય</v>
      </c>
      <c r="AL74" s="5" t="str">
        <f ca="1">IFERROR(__xludf.DUMMYFUNCTION("IF(Z74 = """", """", GOOGLETRANSLATE(Z74, ""en"", ""gu""))"),"મિત્રો અને પરિવાર સાથે ગુણવત્તાયુક્ત સમય")</f>
        <v>મિત્રો અને પરિવાર સાથે ગુણવત્તાયુક્ત સમય</v>
      </c>
      <c r="AM74" s="5" t="str">
        <f ca="1">IFERROR(__xludf.DUMMYFUNCTION("IF(AA74 = """", """", GOOGLETRANSLATE(AA74, ""en"", ""gu""))"),"આગામી 10-15 દિવસમાં તમારી વાણી પર નિયંત્રણ રાખો")</f>
        <v>આગામી 10-15 દિવસમાં તમારી વાણી પર નિયંત્રણ રાખો</v>
      </c>
      <c r="AN74" s="5" t="str">
        <f ca="1">IFERROR(__xludf.DUMMYFUNCTION("IF(AB74 = """", """", GOOGLETRANSLATE(AB74, ""en"", ""gu""))"),"")</f>
        <v/>
      </c>
      <c r="AO74" s="5" t="str">
        <f ca="1">IFERROR(__xludf.DUMMYFUNCTION("IF(Y74 = """", """", GOOGLETRANSLATE(Y74, ""en"", ""bn""))"),"পুরনো কাজগুলো হয়ে যাবে")</f>
        <v>পুরনো কাজগুলো হয়ে যাবে</v>
      </c>
      <c r="AP74" s="5" t="str">
        <f ca="1">IFERROR(__xludf.DUMMYFUNCTION("IF(Z74 = """", """", GOOGLETRANSLATE(Z74, ""en"", ""bn""))"),"বন্ধু এবং পরিবারের সাথে মানসম্পন্ন সময়")</f>
        <v>বন্ধু এবং পরিবারের সাথে মানসম্পন্ন সময়</v>
      </c>
      <c r="AQ74" s="5" t="str">
        <f ca="1">IFERROR(__xludf.DUMMYFUNCTION("IF(AA74 = """", """", GOOGLETRANSLATE(AA74, ""en"", ""bn""))"),"পরবর্তী 10-15 দিনের মধ্যে আপনার বক্তৃতা নিয়ন্ত্রণ করুন")</f>
        <v>পরবর্তী 10-15 দিনের মধ্যে আপনার বক্তৃতা নিয়ন্ত্রণ করুন</v>
      </c>
      <c r="AR74" s="5" t="str">
        <f ca="1">IFERROR(__xludf.DUMMYFUNCTION("IF(AB74 = """", """", GOOGLETRANSLATE(AB74, ""en"", ""bn""))"),"")</f>
        <v/>
      </c>
      <c r="AU74" s="5" t="str">
        <f ca="1">IFERROR(__xludf.DUMMYFUNCTION("IF(Y74 = """", """", GOOGLETRANSLATE(Y74, ""en"", ""te""))"),"పాత పనులు పూర్తి చేస్తారు")</f>
        <v>పాత పనులు పూర్తి చేస్తారు</v>
      </c>
      <c r="AV74" s="5" t="str">
        <f ca="1">IFERROR(__xludf.DUMMYFUNCTION("IF(Z74 = """", """", GOOGLETRANSLATE(Z74, ""en"", ""te""))"),"స్నేహితులు మరియు కుటుంబ సభ్యులతో నాణ్యమైన సమయం")</f>
        <v>స్నేహితులు మరియు కుటుంబ సభ్యులతో నాణ్యమైన సమయం</v>
      </c>
      <c r="AW74" s="5" t="str">
        <f ca="1">IFERROR(__xludf.DUMMYFUNCTION("IF(AA74 = """", """", GOOGLETRANSLATE(AA74, ""en"", ""te""))"),"తదుపరి 10-15 రోజులలో మీ ప్రసంగాన్ని నియంత్రించండి")</f>
        <v>తదుపరి 10-15 రోజులలో మీ ప్రసంగాన్ని నియంత్రించండి</v>
      </c>
      <c r="AX74" s="5" t="str">
        <f ca="1">IFERROR(__xludf.DUMMYFUNCTION("IF(AB74 = """", """", GOOGLETRANSLATE(AB74, ""en"", ""te""))"),"")</f>
        <v/>
      </c>
    </row>
    <row r="75" spans="1:50" x14ac:dyDescent="0.25">
      <c r="A75" s="1">
        <v>88</v>
      </c>
      <c r="B75" s="1" t="s">
        <v>56</v>
      </c>
      <c r="C75" s="8">
        <v>45830</v>
      </c>
      <c r="D75" s="8">
        <v>45830</v>
      </c>
      <c r="E75" s="1">
        <v>4</v>
      </c>
      <c r="F75" s="1">
        <v>1</v>
      </c>
      <c r="G75" s="3" t="s">
        <v>317</v>
      </c>
      <c r="H75" s="4">
        <v>8.3680555555555557E-3</v>
      </c>
      <c r="I75" s="4">
        <v>2.9745370370370373E-3</v>
      </c>
      <c r="J75" s="4">
        <v>3.6574074074074074E-3</v>
      </c>
      <c r="K75" s="1" t="s">
        <v>58</v>
      </c>
      <c r="L75" s="1" t="s">
        <v>102</v>
      </c>
      <c r="M75" s="1" t="s">
        <v>19</v>
      </c>
      <c r="O75" s="1" t="s">
        <v>61</v>
      </c>
      <c r="P75" s="1" t="s">
        <v>61</v>
      </c>
      <c r="Q75" s="1" t="s">
        <v>61</v>
      </c>
      <c r="R75" s="1" t="s">
        <v>61</v>
      </c>
      <c r="S75" s="1" t="s">
        <v>61</v>
      </c>
      <c r="T75" s="1" t="s">
        <v>61</v>
      </c>
      <c r="V75" s="1" t="s">
        <v>61</v>
      </c>
      <c r="W75" s="1" t="s">
        <v>61</v>
      </c>
      <c r="X75" s="1" t="s">
        <v>61</v>
      </c>
      <c r="Y75" s="1" t="s">
        <v>318</v>
      </c>
      <c r="Z75" s="1" t="s">
        <v>319</v>
      </c>
      <c r="AB75" s="1"/>
      <c r="AC75" s="5" t="str">
        <f ca="1">IFERROR(__xludf.DUMMYFUNCTION("IF(Y75 = """", """", GOOGLETRANSLATE(Y75, ""en"", ""hi""))
"),"अत्यधिक सोच-विचार और निराधार चिंताएँ हावी हैं")</f>
        <v>अत्यधिक सोच-विचार और निराधार चिंताएँ हावी हैं</v>
      </c>
      <c r="AD75" s="5" t="str">
        <f ca="1">IFERROR(__xludf.DUMMYFUNCTION("IF(Z75 = """", """", GOOGLETRANSLATE(Z75, ""en"", ""hi""))"),"पूर्वाग्रही विचारों को निर्णय पर हावी न होने दें")</f>
        <v>पूर्वाग्रही विचारों को निर्णय पर हावी न होने दें</v>
      </c>
      <c r="AE75" s="5" t="str">
        <f ca="1">IFERROR(__xludf.DUMMYFUNCTION("IF(AA75 = """", """", GOOGLETRANSLATE(AA75, ""en"", ""hi""))"),"")</f>
        <v/>
      </c>
      <c r="AF75" s="5" t="str">
        <f ca="1">IFERROR(__xludf.DUMMYFUNCTION("IF(AB75 = """", """", GOOGLETRANSLATE(AB75, ""en"", ""hi""))"),"")</f>
        <v/>
      </c>
      <c r="AG75" s="5" t="str">
        <f ca="1">IFERROR(__xludf.DUMMYFUNCTION("IF(Y75 = """", """", GOOGLETRANSLATE(Y75, ""en"", ""mr""))"),"अतिविचार आणि निराधार चिंता वर्चस्व गाजवतात")</f>
        <v>अतिविचार आणि निराधार चिंता वर्चस्व गाजवतात</v>
      </c>
      <c r="AH75" s="5" t="str">
        <f ca="1">IFERROR(__xludf.DUMMYFUNCTION("IF(Z75 = """", """", GOOGLETRANSLATE(Z75, ""en"", ""mr""))"),"पूर्वग्रहदूषित विचारांना ढगांचा निर्णय होऊ देऊ नका")</f>
        <v>पूर्वग्रहदूषित विचारांना ढगांचा निर्णय होऊ देऊ नका</v>
      </c>
      <c r="AI75" s="5" t="str">
        <f ca="1">IFERROR(__xludf.DUMMYFUNCTION("IF(AA75 = """", """", GOOGLETRANSLATE(AA75, ""en"", ""mr""))"),"")</f>
        <v/>
      </c>
      <c r="AJ75" s="5" t="str">
        <f ca="1">IFERROR(__xludf.DUMMYFUNCTION("IF(AB75 = """", """", GOOGLETRANSLATE(AB75, ""en"", ""mr""))"),"")</f>
        <v/>
      </c>
      <c r="AK75" s="5" t="str">
        <f ca="1">IFERROR(__xludf.DUMMYFUNCTION("IF(Y75 = """", """", GOOGLETRANSLATE(Y75, ""en"", ""gu""))"),"અતિશય વિચારણા અને પાયાવિહોણી ચિંતાઓ પ્રભુત્વ ધરાવે છે")</f>
        <v>અતિશય વિચારણા અને પાયાવિહોણી ચિંતાઓ પ્રભુત્વ ધરાવે છે</v>
      </c>
      <c r="AL75" s="5" t="str">
        <f ca="1">IFERROR(__xludf.DUMMYFUNCTION("IF(Z75 = """", """", GOOGLETRANSLATE(Z75, ""en"", ""gu""))"),"પૂર્વગ્રહયુક્ત વિચારોને નિર્ણય લેવા દો નહીં")</f>
        <v>પૂર્વગ્રહયુક્ત વિચારોને નિર્ણય લેવા દો નહીં</v>
      </c>
      <c r="AM75" s="5" t="str">
        <f ca="1">IFERROR(__xludf.DUMMYFUNCTION("IF(AA75 = """", """", GOOGLETRANSLATE(AA75, ""en"", ""gu""))"),"")</f>
        <v/>
      </c>
      <c r="AN75" s="5" t="str">
        <f ca="1">IFERROR(__xludf.DUMMYFUNCTION("IF(AB75 = """", """", GOOGLETRANSLATE(AB75, ""en"", ""gu""))"),"")</f>
        <v/>
      </c>
      <c r="AO75" s="5" t="str">
        <f ca="1">IFERROR(__xludf.DUMMYFUNCTION("IF(Y75 = """", """", GOOGLETRANSLATE(Y75, ""en"", ""bn""))"),"অতিরিক্ত চিন্তা এবং ভিত্তিহীন উদ্বেগ প্রাধান্য পায়")</f>
        <v>অতিরিক্ত চিন্তা এবং ভিত্তিহীন উদ্বেগ প্রাধান্য পায়</v>
      </c>
      <c r="AP75" s="5" t="str">
        <f ca="1">IFERROR(__xludf.DUMMYFUNCTION("IF(Z75 = """", """", GOOGLETRANSLATE(Z75, ""en"", ""bn""))"),"কুসংস্কারপূর্ণ চিন্তা মেঘের রায় হতে দেবেন না")</f>
        <v>কুসংস্কারপূর্ণ চিন্তা মেঘের রায় হতে দেবেন না</v>
      </c>
      <c r="AQ75" s="5" t="str">
        <f ca="1">IFERROR(__xludf.DUMMYFUNCTION("IF(AA75 = """", """", GOOGLETRANSLATE(AA75, ""en"", ""bn""))"),"")</f>
        <v/>
      </c>
      <c r="AR75" s="5" t="str">
        <f ca="1">IFERROR(__xludf.DUMMYFUNCTION("IF(AB75 = """", """", GOOGLETRANSLATE(AB75, ""en"", ""bn""))"),"")</f>
        <v/>
      </c>
      <c r="AU75" s="5" t="str">
        <f ca="1">IFERROR(__xludf.DUMMYFUNCTION("IF(Y75 = """", """", GOOGLETRANSLATE(Y75, ""en"", ""te""))"),"అతిగా ఆలోచించడం &amp; నిరాధారమైన చింతలు ఆధిపత్యం చెలాయిస్తాయి")</f>
        <v>అతిగా ఆలోచించడం &amp; నిరాధారమైన చింతలు ఆధిపత్యం చెలాయిస్తాయి</v>
      </c>
      <c r="AV75" s="5" t="str">
        <f ca="1">IFERROR(__xludf.DUMMYFUNCTION("IF(Z75 = """", """", GOOGLETRANSLATE(Z75, ""en"", ""te""))"),"పక్షపాత ఆలోచనలు మబ్బు తీర్పును అనుమతించవద్దు")</f>
        <v>పక్షపాత ఆలోచనలు మబ్బు తీర్పును అనుమతించవద్దు</v>
      </c>
      <c r="AW75" s="5" t="str">
        <f ca="1">IFERROR(__xludf.DUMMYFUNCTION("IF(AA75 = """", """", GOOGLETRANSLATE(AA75, ""en"", ""te""))"),"")</f>
        <v/>
      </c>
      <c r="AX75" s="5" t="str">
        <f ca="1">IFERROR(__xludf.DUMMYFUNCTION("IF(AB75 = """", """", GOOGLETRANSLATE(AB75, ""en"", ""te""))"),"")</f>
        <v/>
      </c>
    </row>
    <row r="76" spans="1:50" x14ac:dyDescent="0.25">
      <c r="A76" s="1">
        <v>89</v>
      </c>
      <c r="B76" s="1" t="s">
        <v>56</v>
      </c>
      <c r="C76" s="8">
        <v>45830</v>
      </c>
      <c r="D76" s="8">
        <v>45830</v>
      </c>
      <c r="E76" s="1">
        <v>5</v>
      </c>
      <c r="F76" s="1">
        <v>1</v>
      </c>
      <c r="G76" s="3" t="s">
        <v>320</v>
      </c>
      <c r="H76" s="4">
        <v>8.3680555555555557E-3</v>
      </c>
      <c r="I76" s="4">
        <v>3.6574074074074074E-3</v>
      </c>
      <c r="J76" s="4">
        <v>4.2824074074074075E-3</v>
      </c>
      <c r="K76" s="1" t="s">
        <v>58</v>
      </c>
      <c r="L76" s="1" t="s">
        <v>108</v>
      </c>
      <c r="M76" s="1" t="s">
        <v>14</v>
      </c>
      <c r="O76" s="1" t="s">
        <v>61</v>
      </c>
      <c r="P76" s="1" t="s">
        <v>61</v>
      </c>
      <c r="Q76" s="1" t="s">
        <v>61</v>
      </c>
      <c r="R76" s="1" t="s">
        <v>61</v>
      </c>
      <c r="S76" s="1" t="s">
        <v>61</v>
      </c>
      <c r="T76" s="1" t="s">
        <v>61</v>
      </c>
      <c r="V76" s="1" t="s">
        <v>61</v>
      </c>
      <c r="W76" s="1" t="s">
        <v>61</v>
      </c>
      <c r="X76" s="1" t="s">
        <v>61</v>
      </c>
      <c r="Y76" s="1" t="s">
        <v>321</v>
      </c>
      <c r="Z76" s="1" t="s">
        <v>322</v>
      </c>
      <c r="AA76" s="1" t="s">
        <v>323</v>
      </c>
      <c r="AB76" s="1"/>
      <c r="AC76" s="5" t="str">
        <f ca="1">IFERROR(__xludf.DUMMYFUNCTION("IF(Y76 = """", """", GOOGLETRANSLATE(Y76, ""en"", ""hi""))
"),"आराम का दिन")</f>
        <v>आराम का दिन</v>
      </c>
      <c r="AD76" s="5" t="str">
        <f ca="1">IFERROR(__xludf.DUMMYFUNCTION("IF(Z76 = """", """", GOOGLETRANSLATE(Z76, ""en"", ""hi""))"),"मंगल-केतु के कारण स्वास्थ्य संबंधी सावधानी आवश्यक")</f>
        <v>मंगल-केतु के कारण स्वास्थ्य संबंधी सावधानी आवश्यक</v>
      </c>
      <c r="AE76" s="5" t="str">
        <f ca="1">IFERROR(__xludf.DUMMYFUNCTION("IF(AA76 = """", """", GOOGLETRANSLATE(AA76, ""en"", ""hi""))"),"चोट लगने से बचें, खासकर गाड़ी चलाते या सीढ़ियाँ चढ़ते समय")</f>
        <v>चोट लगने से बचें, खासकर गाड़ी चलाते या सीढ़ियाँ चढ़ते समय</v>
      </c>
      <c r="AF76" s="5" t="str">
        <f ca="1">IFERROR(__xludf.DUMMYFUNCTION("IF(AB76 = """", """", GOOGLETRANSLATE(AB76, ""en"", ""hi""))"),"")</f>
        <v/>
      </c>
      <c r="AG76" s="5" t="str">
        <f ca="1">IFERROR(__xludf.DUMMYFUNCTION("IF(Y76 = """", """", GOOGLETRANSLATE(Y76, ""en"", ""mr""))"),"निवांत दिवस")</f>
        <v>निवांत दिवस</v>
      </c>
      <c r="AH76" s="5" t="str">
        <f ca="1">IFERROR(__xludf.DUMMYFUNCTION("IF(Z76 = """", """", GOOGLETRANSLATE(Z76, ""en"", ""mr""))"),"मंगळ-केतूमुळे आरोग्याची काळजी घेणे आवश्यक आहे")</f>
        <v>मंगळ-केतूमुळे आरोग्याची काळजी घेणे आवश्यक आहे</v>
      </c>
      <c r="AI76" s="5" t="str">
        <f ca="1">IFERROR(__xludf.DUMMYFUNCTION("IF(AA76 = """", """", GOOGLETRANSLATE(AA76, ""en"", ""mr""))")," इजा टाळा, विशेषतः गाडी चालवताना किंवा पायऱ्या चढताना")</f>
        <v xml:space="preserve"> इजा टाळा, विशेषतः गाडी चालवताना किंवा पायऱ्या चढताना</v>
      </c>
      <c r="AJ76" s="5" t="str">
        <f ca="1">IFERROR(__xludf.DUMMYFUNCTION("IF(AB76 = """", """", GOOGLETRANSLATE(AB76, ""en"", ""mr""))"),"")</f>
        <v/>
      </c>
      <c r="AK76" s="5" t="str">
        <f ca="1">IFERROR(__xludf.DUMMYFUNCTION("IF(Y76 = """", """", GOOGLETRANSLATE(Y76, ""en"", ""gu""))"),"આરામનો દિવસ")</f>
        <v>આરામનો દિવસ</v>
      </c>
      <c r="AL76" s="5" t="str">
        <f ca="1">IFERROR(__xludf.DUMMYFUNCTION("IF(Z76 = """", """", GOOGLETRANSLATE(Z76, ""en"", ""gu""))"),"મંગળ-કેતુના કારણે સ્વાસ્થ્યમાં સાવધાની જરૂરી છે")</f>
        <v>મંગળ-કેતુના કારણે સ્વાસ્થ્યમાં સાવધાની જરૂરી છે</v>
      </c>
      <c r="AM76" s="5" t="str">
        <f ca="1">IFERROR(__xludf.DUMMYFUNCTION("IF(AA76 = """", """", GOOGLETRANSLATE(AA76, ""en"", ""gu""))")," ઇજાઓ ટાળો, ખાસ કરીને ડ્રાઇવિંગ કરતી વખતે અથવા સીડી ચડતી વખતે")</f>
        <v xml:space="preserve"> ઇજાઓ ટાળો, ખાસ કરીને ડ્રાઇવિંગ કરતી વખતે અથવા સીડી ચડતી વખતે</v>
      </c>
      <c r="AN76" s="5" t="str">
        <f ca="1">IFERROR(__xludf.DUMMYFUNCTION("IF(AB76 = """", """", GOOGLETRANSLATE(AB76, ""en"", ""gu""))"),"")</f>
        <v/>
      </c>
      <c r="AO76" s="5" t="str">
        <f ca="1">IFERROR(__xludf.DUMMYFUNCTION("IF(Y76 = """", """", GOOGLETRANSLATE(Y76, ""en"", ""bn""))"),"আরামদায়ক দিন")</f>
        <v>আরামদায়ক দিন</v>
      </c>
      <c r="AP76" s="5" t="str">
        <f ca="1">IFERROR(__xludf.DUMMYFUNCTION("IF(Z76 = """", """", GOOGLETRANSLATE(Z76, ""en"", ""bn""))"),"মঙ্গল-কেতুর কারণে স্বাস্থ্য সতর্কতা প্রয়োজন")</f>
        <v>মঙ্গল-কেতুর কারণে স্বাস্থ্য সতর্কতা প্রয়োজন</v>
      </c>
      <c r="AQ76" s="5" t="str">
        <f ca="1">IFERROR(__xludf.DUMMYFUNCTION("IF(AA76 = """", """", GOOGLETRANSLATE(AA76, ""en"", ""bn""))")," আঘাত এড়িয়ে চলুন, বিশেষ করে গাড়ি চালানোর সময় বা সিঁড়ি বেয়ে ওঠার সময়")</f>
        <v xml:space="preserve"> আঘাত এড়িয়ে চলুন, বিশেষ করে গাড়ি চালানোর সময় বা সিঁড়ি বেয়ে ওঠার সময়</v>
      </c>
      <c r="AR76" s="5" t="str">
        <f ca="1">IFERROR(__xludf.DUMMYFUNCTION("IF(AB76 = """", """", GOOGLETRANSLATE(AB76, ""en"", ""bn""))"),"")</f>
        <v/>
      </c>
      <c r="AU76" s="5" t="str">
        <f ca="1">IFERROR(__xludf.DUMMYFUNCTION("IF(Y76 = """", """", GOOGLETRANSLATE(Y76, ""en"", ""te""))"),"విశ్రాంతి దినం")</f>
        <v>విశ్రాంతి దినం</v>
      </c>
      <c r="AV76" s="5" t="str">
        <f ca="1">IFERROR(__xludf.DUMMYFUNCTION("IF(Z76 = """", """", GOOGLETRANSLATE(Z76, ""en"", ""te""))"),"కుజుడు-కేతువు కారణంగా ఆరోగ్యంలో జాగ్రత్త అవసరం")</f>
        <v>కుజుడు-కేతువు కారణంగా ఆరోగ్యంలో జాగ్రత్త అవసరం</v>
      </c>
      <c r="AW76" s="5" t="str">
        <f ca="1">IFERROR(__xludf.DUMMYFUNCTION("IF(AA76 = """", """", GOOGLETRANSLATE(AA76, ""en"", ""te""))")," ముఖ్యంగా డ్రైవింగ్ చేసేటప్పుడు లేదా మెట్లు ఎక్కేటప్పుడు గాయాలను నివారించండి")</f>
        <v xml:space="preserve"> ముఖ్యంగా డ్రైవింగ్ చేసేటప్పుడు లేదా మెట్లు ఎక్కేటప్పుడు గాయాలను నివారించండి</v>
      </c>
      <c r="AX76" s="5" t="str">
        <f ca="1">IFERROR(__xludf.DUMMYFUNCTION("IF(AB76 = """", """", GOOGLETRANSLATE(AB76, ""en"", ""te""))"),"")</f>
        <v/>
      </c>
    </row>
    <row r="77" spans="1:50" x14ac:dyDescent="0.25">
      <c r="A77" s="1">
        <v>90</v>
      </c>
      <c r="B77" s="1" t="s">
        <v>56</v>
      </c>
      <c r="C77" s="8">
        <v>45830</v>
      </c>
      <c r="D77" s="8">
        <v>45830</v>
      </c>
      <c r="E77" s="1">
        <v>6</v>
      </c>
      <c r="F77" s="1">
        <v>1</v>
      </c>
      <c r="G77" s="3" t="s">
        <v>324</v>
      </c>
      <c r="H77" s="4">
        <v>8.3680555555555557E-3</v>
      </c>
      <c r="I77" s="4">
        <v>4.2824074074074075E-3</v>
      </c>
      <c r="J77" s="4">
        <v>4.6990740740740743E-3</v>
      </c>
      <c r="K77" s="1" t="s">
        <v>58</v>
      </c>
      <c r="L77" s="1" t="s">
        <v>113</v>
      </c>
      <c r="M77" s="1" t="s">
        <v>19</v>
      </c>
      <c r="O77" s="1" t="s">
        <v>61</v>
      </c>
      <c r="P77" s="1" t="s">
        <v>61</v>
      </c>
      <c r="Q77" s="1" t="s">
        <v>61</v>
      </c>
      <c r="R77" s="1" t="s">
        <v>61</v>
      </c>
      <c r="S77" s="1" t="s">
        <v>61</v>
      </c>
      <c r="T77" s="1" t="s">
        <v>61</v>
      </c>
      <c r="V77" s="1" t="s">
        <v>61</v>
      </c>
      <c r="W77" s="1" t="s">
        <v>61</v>
      </c>
      <c r="X77" s="1" t="s">
        <v>61</v>
      </c>
      <c r="Y77" s="1" t="s">
        <v>325</v>
      </c>
      <c r="Z77" s="1" t="s">
        <v>326</v>
      </c>
      <c r="AA77" s="1" t="s">
        <v>327</v>
      </c>
      <c r="AB77" s="1"/>
      <c r="AC77" s="5" t="str">
        <f ca="1">IFERROR(__xludf.DUMMYFUNCTION("IF(Y77 = """", """", GOOGLETRANSLATE(Y77, ""en"", ""hi""))
"),"घर में बहस से बचें")</f>
        <v>घर में बहस से बचें</v>
      </c>
      <c r="AD77" s="5" t="str">
        <f ca="1">IFERROR(__xludf.DUMMYFUNCTION("IF(Z77 = """", """", GOOGLETRANSLATE(Z77, ""en"", ""hi""))"),"चुपचाप नियमित काम करते रहें")</f>
        <v>चुपचाप नियमित काम करते रहें</v>
      </c>
      <c r="AE77" s="5" t="str">
        <f ca="1">IFERROR(__xludf.DUMMYFUNCTION("IF(AA77 = """", """", GOOGLETRANSLATE(AA77, ""en"", ""hi""))"),"पारिवारिक चर्चाओं को आगे न बढ़ाएँ")</f>
        <v>पारिवारिक चर्चाओं को आगे न बढ़ाएँ</v>
      </c>
      <c r="AF77" s="5" t="str">
        <f ca="1">IFERROR(__xludf.DUMMYFUNCTION("IF(AB77 = """", """", GOOGLETRANSLATE(AB77, ""en"", ""hi""))"),"")</f>
        <v/>
      </c>
      <c r="AG77" s="5" t="str">
        <f ca="1">IFERROR(__xludf.DUMMYFUNCTION("IF(Y77 = """", """", GOOGLETRANSLATE(Y77, ""en"", ""mr""))"),"घरातील वाद टाळा")</f>
        <v>घरातील वाद टाळा</v>
      </c>
      <c r="AH77" s="5" t="str">
        <f ca="1">IFERROR(__xludf.DUMMYFUNCTION("IF(Z77 = """", """", GOOGLETRANSLATE(Z77, ""en"", ""mr""))"),"शांतपणे नेहमीच्या कामाला चिकटून राहा")</f>
        <v>शांतपणे नेहमीच्या कामाला चिकटून राहा</v>
      </c>
      <c r="AI77" s="5" t="str">
        <f ca="1">IFERROR(__xludf.DUMMYFUNCTION("IF(AA77 = """", """", GOOGLETRANSLATE(AA77, ""en"", ""mr""))"),"कौटुंबिक चर्चा वाढवू नका")</f>
        <v>कौटुंबिक चर्चा वाढवू नका</v>
      </c>
      <c r="AJ77" s="5" t="str">
        <f ca="1">IFERROR(__xludf.DUMMYFUNCTION("IF(AB77 = """", """", GOOGLETRANSLATE(AB77, ""en"", ""mr""))"),"")</f>
        <v/>
      </c>
      <c r="AK77" s="5" t="str">
        <f ca="1">IFERROR(__xludf.DUMMYFUNCTION("IF(Y77 = """", """", GOOGLETRANSLATE(Y77, ""en"", ""gu""))"),"ઘરમાં વાદવિવાદ ટાળો")</f>
        <v>ઘરમાં વાદવિવાદ ટાળો</v>
      </c>
      <c r="AL77" s="5" t="str">
        <f ca="1">IFERROR(__xludf.DUMMYFUNCTION("IF(Z77 = """", """", GOOGLETRANSLATE(Z77, ""en"", ""gu""))"),"શાંતિથી નિયમિત કામને વળગી રહો")</f>
        <v>શાંતિથી નિયમિત કામને વળગી રહો</v>
      </c>
      <c r="AM77" s="5" t="str">
        <f ca="1">IFERROR(__xludf.DUMMYFUNCTION("IF(AA77 = """", """", GOOGLETRANSLATE(AA77, ""en"", ""gu""))"),"કૌટુંબિક ચર્ચાઓને આગળ વધારશો નહીં")</f>
        <v>કૌટુંબિક ચર્ચાઓને આગળ વધારશો નહીં</v>
      </c>
      <c r="AN77" s="5" t="str">
        <f ca="1">IFERROR(__xludf.DUMMYFUNCTION("IF(AB77 = """", """", GOOGLETRANSLATE(AB77, ""en"", ""gu""))"),"")</f>
        <v/>
      </c>
      <c r="AO77" s="5" t="str">
        <f ca="1">IFERROR(__xludf.DUMMYFUNCTION("IF(Y77 = """", """", GOOGLETRANSLATE(Y77, ""en"", ""bn""))"),"বাড়িতে তর্ক-বিতর্ক এড়িয়ে চলুন")</f>
        <v>বাড়িতে তর্ক-বিতর্ক এড়িয়ে চলুন</v>
      </c>
      <c r="AP77" s="5" t="str">
        <f ca="1">IFERROR(__xludf.DUMMYFUNCTION("IF(Z77 = """", """", GOOGLETRANSLATE(Z77, ""en"", ""bn""))"),"নীরবে রুটিন কাজে লেগে থাকুন")</f>
        <v>নীরবে রুটিন কাজে লেগে থাকুন</v>
      </c>
      <c r="AQ77" s="5" t="str">
        <f ca="1">IFERROR(__xludf.DUMMYFUNCTION("IF(AA77 = """", """", GOOGLETRANSLATE(AA77, ""en"", ""bn""))"),"পারিবারিক আলোচনা বাড়াবেন না")</f>
        <v>পারিবারিক আলোচনা বাড়াবেন না</v>
      </c>
      <c r="AR77" s="5" t="str">
        <f ca="1">IFERROR(__xludf.DUMMYFUNCTION("IF(AB77 = """", """", GOOGLETRANSLATE(AB77, ""en"", ""bn""))"),"")</f>
        <v/>
      </c>
      <c r="AU77" s="5" t="str">
        <f ca="1">IFERROR(__xludf.DUMMYFUNCTION("IF(Y77 = """", """", GOOGLETRANSLATE(Y77, ""en"", ""te""))"),"ఇంట్లో వాదనలకు దూరంగా ఉండండి")</f>
        <v>ఇంట్లో వాదనలకు దూరంగా ఉండండి</v>
      </c>
      <c r="AV77" s="5" t="str">
        <f ca="1">IFERROR(__xludf.DUMMYFUNCTION("IF(Z77 = """", """", GOOGLETRANSLATE(Z77, ""en"", ""te""))"),"నిశ్శబ్దంగా సాధారణ పనికి కట్టుబడి ఉండండి")</f>
        <v>నిశ్శబ్దంగా సాధారణ పనికి కట్టుబడి ఉండండి</v>
      </c>
      <c r="AW77" s="5" t="str">
        <f ca="1">IFERROR(__xludf.DUMMYFUNCTION("IF(AA77 = """", """", GOOGLETRANSLATE(AA77, ""en"", ""te""))"),"కుటుంబ చర్చలను పెంచవద్దు")</f>
        <v>కుటుంబ చర్చలను పెంచవద్దు</v>
      </c>
      <c r="AX77" s="5" t="str">
        <f ca="1">IFERROR(__xludf.DUMMYFUNCTION("IF(AB77 = """", """", GOOGLETRANSLATE(AB77, ""en"", ""te""))"),"")</f>
        <v/>
      </c>
    </row>
    <row r="78" spans="1:50" x14ac:dyDescent="0.25">
      <c r="A78" s="1">
        <v>91</v>
      </c>
      <c r="B78" s="1" t="s">
        <v>56</v>
      </c>
      <c r="C78" s="8">
        <v>45830</v>
      </c>
      <c r="D78" s="8">
        <v>45830</v>
      </c>
      <c r="E78" s="1">
        <v>7</v>
      </c>
      <c r="F78" s="1">
        <v>1</v>
      </c>
      <c r="G78" s="3" t="s">
        <v>328</v>
      </c>
      <c r="H78" s="4">
        <v>8.3680555555555557E-3</v>
      </c>
      <c r="I78" s="4">
        <v>4.6990740740740743E-3</v>
      </c>
      <c r="J78" s="4">
        <v>5.3009259259259259E-3</v>
      </c>
      <c r="K78" s="1" t="s">
        <v>58</v>
      </c>
      <c r="L78" s="1" t="s">
        <v>64</v>
      </c>
      <c r="M78" s="1" t="s">
        <v>14</v>
      </c>
      <c r="O78" s="1" t="s">
        <v>61</v>
      </c>
      <c r="P78" s="1" t="s">
        <v>61</v>
      </c>
      <c r="Q78" s="1" t="s">
        <v>61</v>
      </c>
      <c r="R78" s="1" t="s">
        <v>61</v>
      </c>
      <c r="S78" s="1" t="s">
        <v>61</v>
      </c>
      <c r="T78" s="1" t="s">
        <v>61</v>
      </c>
      <c r="V78" s="1" t="s">
        <v>61</v>
      </c>
      <c r="W78" s="1" t="s">
        <v>61</v>
      </c>
      <c r="X78" s="1" t="s">
        <v>61</v>
      </c>
      <c r="Y78" s="1" t="s">
        <v>329</v>
      </c>
      <c r="Z78" s="1" t="s">
        <v>330</v>
      </c>
      <c r="AA78" s="1" t="s">
        <v>331</v>
      </c>
      <c r="AB78" s="1"/>
      <c r="AC78" s="5" t="str">
        <f ca="1">IFERROR(__xludf.DUMMYFUNCTION("IF(Y78 = """", """", GOOGLETRANSLATE(Y78, ""en"", ""hi""))
"),"स्वास्थ्य संबंधी चिंताएँ उत्पन्न हो सकती हैं")</f>
        <v>स्वास्थ्य संबंधी चिंताएँ उत्पन्न हो सकती हैं</v>
      </c>
      <c r="AD78" s="5" t="str">
        <f ca="1">IFERROR(__xludf.DUMMYFUNCTION("IF(Z78 = """", """", GOOGLETRANSLATE(Z78, ""en"", ""hi""))"),"मौसमी समस्याओं को नज़रअंदाज़ न करें")</f>
        <v>मौसमी समस्याओं को नज़रअंदाज़ न करें</v>
      </c>
      <c r="AE78" s="5" t="str">
        <f ca="1">IFERROR(__xludf.DUMMYFUNCTION("IF(AA78 = """", """", GOOGLETRANSLATE(AA78, ""en"", ""hi""))"),"सकारात्मक रहें लेकिन स्वास्थ्य के प्रति सतर्क रहें")</f>
        <v>सकारात्मक रहें लेकिन स्वास्थ्य के प्रति सतर्क रहें</v>
      </c>
      <c r="AF78" s="5" t="str">
        <f ca="1">IFERROR(__xludf.DUMMYFUNCTION("IF(AB78 = """", """", GOOGLETRANSLATE(AB78, ""en"", ""hi""))"),"")</f>
        <v/>
      </c>
      <c r="AG78" s="5" t="str">
        <f ca="1">IFERROR(__xludf.DUMMYFUNCTION("IF(Y78 = """", """", GOOGLETRANSLATE(Y78, ""en"", ""mr""))"),"आरोग्याची चिंता निर्माण होऊ शकते")</f>
        <v>आरोग्याची चिंता निर्माण होऊ शकते</v>
      </c>
      <c r="AH78" s="5" t="str">
        <f ca="1">IFERROR(__xludf.DUMMYFUNCTION("IF(Z78 = """", """", GOOGLETRANSLATE(Z78, ""en"", ""mr""))"),"हंगामी समस्यांकडे दुर्लक्ष करू नका")</f>
        <v>हंगामी समस्यांकडे दुर्लक्ष करू नका</v>
      </c>
      <c r="AI78" s="5" t="str">
        <f ca="1">IFERROR(__xludf.DUMMYFUNCTION("IF(AA78 = """", """", GOOGLETRANSLATE(AA78, ""en"", ""mr""))"),"सकारात्मक पण आरोग्याबाबत सतर्क राहा")</f>
        <v>सकारात्मक पण आरोग्याबाबत सतर्क राहा</v>
      </c>
      <c r="AJ78" s="5" t="str">
        <f ca="1">IFERROR(__xludf.DUMMYFUNCTION("IF(AB78 = """", """", GOOGLETRANSLATE(AB78, ""en"", ""mr""))"),"")</f>
        <v/>
      </c>
      <c r="AK78" s="5" t="str">
        <f ca="1">IFERROR(__xludf.DUMMYFUNCTION("IF(Y78 = """", """", GOOGLETRANSLATE(Y78, ""en"", ""gu""))"),"સ્વાસ્થ્ય સંબંધિત ચિંતાઓ થઈ શકે છે")</f>
        <v>સ્વાસ્થ્ય સંબંધિત ચિંતાઓ થઈ શકે છે</v>
      </c>
      <c r="AL78" s="5" t="str">
        <f ca="1">IFERROR(__xludf.DUMMYFUNCTION("IF(Z78 = """", """", GOOGLETRANSLATE(Z78, ""en"", ""gu""))"),"મોસમી સમસ્યાઓને અવગણશો નહીં")</f>
        <v>મોસમી સમસ્યાઓને અવગણશો નહીં</v>
      </c>
      <c r="AM78" s="5" t="str">
        <f ca="1">IFERROR(__xludf.DUMMYFUNCTION("IF(AA78 = """", """", GOOGLETRANSLATE(AA78, ""en"", ""gu""))"),"સકારાત્મક પરંતુ સ્વાસ્થ્ય પ્રત્યે સતર્ક રહો")</f>
        <v>સકારાત્મક પરંતુ સ્વાસ્થ્ય પ્રત્યે સતર્ક રહો</v>
      </c>
      <c r="AN78" s="5" t="str">
        <f ca="1">IFERROR(__xludf.DUMMYFUNCTION("IF(AB78 = """", """", GOOGLETRANSLATE(AB78, ""en"", ""gu""))"),"")</f>
        <v/>
      </c>
      <c r="AO78" s="5" t="str">
        <f ca="1">IFERROR(__xludf.DUMMYFUNCTION("IF(Y78 = """", """", GOOGLETRANSLATE(Y78, ""en"", ""bn""))"),"স্বাস্থ্য উদ্বেগ দেখা দিতে পারে")</f>
        <v>স্বাস্থ্য উদ্বেগ দেখা দিতে পারে</v>
      </c>
      <c r="AP78" s="5" t="str">
        <f ca="1">IFERROR(__xludf.DUMMYFUNCTION("IF(Z78 = """", """", GOOGLETRANSLATE(Z78, ""en"", ""bn""))"),"ঋতু সংক্রান্ত সমস্যা উপেক্ষা করবেন না")</f>
        <v>ঋতু সংক্রান্ত সমস্যা উপেক্ষা করবেন না</v>
      </c>
      <c r="AQ78" s="5" t="str">
        <f ca="1">IFERROR(__xludf.DUMMYFUNCTION("IF(AA78 = """", """", GOOGLETRANSLATE(AA78, ""en"", ""bn""))"),"ইতিবাচক তবে স্বাস্থ্যের বিষয়ে সতর্ক থাকুন")</f>
        <v>ইতিবাচক তবে স্বাস্থ্যের বিষয়ে সতর্ক থাকুন</v>
      </c>
      <c r="AR78" s="5" t="str">
        <f ca="1">IFERROR(__xludf.DUMMYFUNCTION("IF(AB78 = """", """", GOOGLETRANSLATE(AB78, ""en"", ""bn""))"),"")</f>
        <v/>
      </c>
      <c r="AU78" s="5" t="str">
        <f ca="1">IFERROR(__xludf.DUMMYFUNCTION("IF(Y78 = """", """", GOOGLETRANSLATE(Y78, ""en"", ""te""))"),"ఆరోగ్య సమస్యలు తలెత్తవచ్చు")</f>
        <v>ఆరోగ్య సమస్యలు తలెత్తవచ్చు</v>
      </c>
      <c r="AV78" s="5" t="str">
        <f ca="1">IFERROR(__xludf.DUMMYFUNCTION("IF(Z78 = """", """", GOOGLETRANSLATE(Z78, ""en"", ""te""))"),"సీజనల్ సమస్యలను విస్మరించవద్దు")</f>
        <v>సీజనల్ సమస్యలను విస్మరించవద్దు</v>
      </c>
      <c r="AW78" s="5" t="str">
        <f ca="1">IFERROR(__xludf.DUMMYFUNCTION("IF(AA78 = """", """", GOOGLETRANSLATE(AA78, ""en"", ""te""))"),"సానుకూలం అయితే ఆరోగ్యం పట్ల అప్రమత్తంగా ఉండండి")</f>
        <v>సానుకూలం అయితే ఆరోగ్యం పట్ల అప్రమత్తంగా ఉండండి</v>
      </c>
      <c r="AX78" s="5" t="str">
        <f ca="1">IFERROR(__xludf.DUMMYFUNCTION("IF(AB78 = """", """", GOOGLETRANSLATE(AB78, ""en"", ""te""))"),"")</f>
        <v/>
      </c>
    </row>
    <row r="79" spans="1:50" x14ac:dyDescent="0.25">
      <c r="A79" s="1">
        <v>92</v>
      </c>
      <c r="B79" s="1" t="s">
        <v>56</v>
      </c>
      <c r="C79" s="8">
        <v>45830</v>
      </c>
      <c r="D79" s="8">
        <v>45830</v>
      </c>
      <c r="E79" s="1">
        <v>8</v>
      </c>
      <c r="F79" s="1">
        <v>1</v>
      </c>
      <c r="G79" s="3" t="s">
        <v>332</v>
      </c>
      <c r="H79" s="4">
        <v>8.3680555555555557E-3</v>
      </c>
      <c r="I79" s="4">
        <v>5.3009259259259259E-3</v>
      </c>
      <c r="J79" s="4">
        <v>5.9259259259259256E-3</v>
      </c>
      <c r="K79" s="1" t="s">
        <v>58</v>
      </c>
      <c r="L79" s="1" t="s">
        <v>68</v>
      </c>
      <c r="M79" s="1" t="s">
        <v>17</v>
      </c>
      <c r="O79" s="1" t="s">
        <v>61</v>
      </c>
      <c r="P79" s="1" t="s">
        <v>61</v>
      </c>
      <c r="Q79" s="1" t="s">
        <v>61</v>
      </c>
      <c r="R79" s="1" t="s">
        <v>61</v>
      </c>
      <c r="S79" s="1" t="s">
        <v>61</v>
      </c>
      <c r="T79" s="1" t="s">
        <v>61</v>
      </c>
      <c r="V79" s="1" t="s">
        <v>61</v>
      </c>
      <c r="W79" s="1" t="s">
        <v>61</v>
      </c>
      <c r="X79" s="1" t="s">
        <v>61</v>
      </c>
      <c r="Y79" s="1" t="s">
        <v>333</v>
      </c>
      <c r="Z79" s="1" t="s">
        <v>334</v>
      </c>
      <c r="AA79" s="1" t="s">
        <v>335</v>
      </c>
      <c r="AB79" s="1"/>
      <c r="AC79" s="5" t="str">
        <f ca="1">IFERROR(__xludf.DUMMYFUNCTION("IF(Y79 = """", """", GOOGLETRANSLATE(Y79, ""en"", ""hi""))
"),"ज़िम्मेदारियों से भरा दिन")</f>
        <v>ज़िम्मेदारियों से भरा दिन</v>
      </c>
      <c r="AD79" s="5" t="str">
        <f ca="1">IFERROR(__xludf.DUMMYFUNCTION("IF(Z79 = """", """", GOOGLETRANSLATE(Z79, ""en"", ""hi""))"),"सामाजिक दायित्व उत्पन्न हो सकते हैं")</f>
        <v>सामाजिक दायित्व उत्पन्न हो सकते हैं</v>
      </c>
      <c r="AE79" s="5" t="str">
        <f ca="1">IFERROR(__xludf.DUMMYFUNCTION("IF(AA79 = """", """", GOOGLETRANSLATE(AA79, ""en"", ""hi""))"),"सुरक्षित यात्रा करें और समझदारी से योजना बनाएँ")</f>
        <v>सुरक्षित यात्रा करें और समझदारी से योजना बनाएँ</v>
      </c>
      <c r="AF79" s="5" t="str">
        <f ca="1">IFERROR(__xludf.DUMMYFUNCTION("IF(AB79 = """", """", GOOGLETRANSLATE(AB79, ""en"", ""hi""))"),"")</f>
        <v/>
      </c>
      <c r="AG79" s="5" t="str">
        <f ca="1">IFERROR(__xludf.DUMMYFUNCTION("IF(Y79 = """", """", GOOGLETRANSLATE(Y79, ""en"", ""mr""))"),"जबाबदाऱ्यांनी भरलेला दिवस")</f>
        <v>जबाबदाऱ्यांनी भरलेला दिवस</v>
      </c>
      <c r="AH79" s="5" t="str">
        <f ca="1">IFERROR(__xludf.DUMMYFUNCTION("IF(Z79 = """", """", GOOGLETRANSLATE(Z79, ""en"", ""mr""))"),"सामाजिक जबाबदाऱ्या निर्माण होऊ शकतात")</f>
        <v>सामाजिक जबाबदाऱ्या निर्माण होऊ शकतात</v>
      </c>
      <c r="AI79" s="5" t="str">
        <f ca="1">IFERROR(__xludf.DUMMYFUNCTION("IF(AA79 = """", """", GOOGLETRANSLATE(AA79, ""en"", ""mr""))"),"सुरक्षितपणे प्रवास करा आणि सुज्ञपणे योजना करा")</f>
        <v>सुरक्षितपणे प्रवास करा आणि सुज्ञपणे योजना करा</v>
      </c>
      <c r="AJ79" s="5" t="str">
        <f ca="1">IFERROR(__xludf.DUMMYFUNCTION("IF(AB79 = """", """", GOOGLETRANSLATE(AB79, ""en"", ""mr""))"),"")</f>
        <v/>
      </c>
      <c r="AK79" s="5" t="str">
        <f ca="1">IFERROR(__xludf.DUMMYFUNCTION("IF(Y79 = """", """", GOOGLETRANSLATE(Y79, ""en"", ""gu""))"),"જવાબદારીઓથી ભરેલો દિવસ")</f>
        <v>જવાબદારીઓથી ભરેલો દિવસ</v>
      </c>
      <c r="AL79" s="5" t="str">
        <f ca="1">IFERROR(__xludf.DUMMYFUNCTION("IF(Z79 = """", """", GOOGLETRANSLATE(Z79, ""en"", ""gu""))"),"સામાજિક જવાબદારીઓ ઊભી થઈ શકે છે")</f>
        <v>સામાજિક જવાબદારીઓ ઊભી થઈ શકે છે</v>
      </c>
      <c r="AM79" s="5" t="str">
        <f ca="1">IFERROR(__xludf.DUMMYFUNCTION("IF(AA79 = """", """", GOOGLETRANSLATE(AA79, ""en"", ""gu""))"),"સલામત રીતે મુસાફરી કરો અને સમજદારીપૂર્વક યોજના બનાવો")</f>
        <v>સલામત રીતે મુસાફરી કરો અને સમજદારીપૂર્વક યોજના બનાવો</v>
      </c>
      <c r="AN79" s="5" t="str">
        <f ca="1">IFERROR(__xludf.DUMMYFUNCTION("IF(AB79 = """", """", GOOGLETRANSLATE(AB79, ""en"", ""gu""))"),"")</f>
        <v/>
      </c>
      <c r="AO79" s="5" t="str">
        <f ca="1">IFERROR(__xludf.DUMMYFUNCTION("IF(Y79 = """", """", GOOGLETRANSLATE(Y79, ""en"", ""bn""))"),"দায়িত্বে ভরা দিন")</f>
        <v>দায়িত্বে ভরা দিন</v>
      </c>
      <c r="AP79" s="5" t="str">
        <f ca="1">IFERROR(__xludf.DUMMYFUNCTION("IF(Z79 = """", """", GOOGLETRANSLATE(Z79, ""en"", ""bn""))"),"সামাজিক বাধ্যবাধকতা দেখা দিতে পারে")</f>
        <v>সামাজিক বাধ্যবাধকতা দেখা দিতে পারে</v>
      </c>
      <c r="AQ79" s="5" t="str">
        <f ca="1">IFERROR(__xludf.DUMMYFUNCTION("IF(AA79 = """", """", GOOGLETRANSLATE(AA79, ""en"", ""bn""))"),"নিরাপদে ভ্রমণ করুন এবং বুদ্ধিমানের সাথে পরিকল্পনা করুন")</f>
        <v>নিরাপদে ভ্রমণ করুন এবং বুদ্ধিমানের সাথে পরিকল্পনা করুন</v>
      </c>
      <c r="AR79" s="5" t="str">
        <f ca="1">IFERROR(__xludf.DUMMYFUNCTION("IF(AB79 = """", """", GOOGLETRANSLATE(AB79, ""en"", ""bn""))"),"")</f>
        <v/>
      </c>
      <c r="AU79" s="5" t="str">
        <f ca="1">IFERROR(__xludf.DUMMYFUNCTION("IF(Y79 = """", """", GOOGLETRANSLATE(Y79, ""en"", ""te""))"),"బాధ్యతలతో నిండిన రోజు")</f>
        <v>బాధ్యతలతో నిండిన రోజు</v>
      </c>
      <c r="AV79" s="5" t="str">
        <f ca="1">IFERROR(__xludf.DUMMYFUNCTION("IF(Z79 = """", """", GOOGLETRANSLATE(Z79, ""en"", ""te""))"),"సామాజిక బాధ్యతలు తలెత్తవచ్చు")</f>
        <v>సామాజిక బాధ్యతలు తలెత్తవచ్చు</v>
      </c>
      <c r="AW79" s="5" t="str">
        <f ca="1">IFERROR(__xludf.DUMMYFUNCTION("IF(AA79 = """", """", GOOGLETRANSLATE(AA79, ""en"", ""te""))"),"సురక్షితంగా ప్రయాణించండి మరియు తెలివిగా ప్లాన్ చేయండి")</f>
        <v>సురక్షితంగా ప్రయాణించండి మరియు తెలివిగా ప్లాన్ చేయండి</v>
      </c>
      <c r="AX79" s="5" t="str">
        <f ca="1">IFERROR(__xludf.DUMMYFUNCTION("IF(AB79 = """", """", GOOGLETRANSLATE(AB79, ""en"", ""te""))"),"")</f>
        <v/>
      </c>
    </row>
    <row r="80" spans="1:50" x14ac:dyDescent="0.25">
      <c r="A80" s="1">
        <v>93</v>
      </c>
      <c r="B80" s="1" t="s">
        <v>56</v>
      </c>
      <c r="C80" s="8">
        <v>45830</v>
      </c>
      <c r="D80" s="8">
        <v>45830</v>
      </c>
      <c r="E80" s="1">
        <v>9</v>
      </c>
      <c r="F80" s="1">
        <v>1</v>
      </c>
      <c r="G80" s="3" t="s">
        <v>336</v>
      </c>
      <c r="H80" s="4">
        <v>8.3680555555555557E-3</v>
      </c>
      <c r="I80" s="4">
        <v>5.9259259259259256E-3</v>
      </c>
      <c r="J80" s="4">
        <v>6.9212962962962961E-3</v>
      </c>
      <c r="K80" s="1" t="s">
        <v>58</v>
      </c>
      <c r="L80" s="1" t="s">
        <v>72</v>
      </c>
      <c r="M80" s="1" t="s">
        <v>17</v>
      </c>
      <c r="O80" s="1" t="s">
        <v>61</v>
      </c>
      <c r="P80" s="1" t="s">
        <v>61</v>
      </c>
      <c r="Q80" s="1" t="s">
        <v>61</v>
      </c>
      <c r="R80" s="1" t="s">
        <v>61</v>
      </c>
      <c r="S80" s="1" t="s">
        <v>61</v>
      </c>
      <c r="T80" s="1" t="s">
        <v>61</v>
      </c>
      <c r="V80" s="1" t="s">
        <v>61</v>
      </c>
      <c r="W80" s="1" t="s">
        <v>61</v>
      </c>
      <c r="X80" s="1" t="s">
        <v>61</v>
      </c>
      <c r="Y80" s="1" t="s">
        <v>337</v>
      </c>
      <c r="Z80" s="1" t="s">
        <v>338</v>
      </c>
      <c r="AA80" s="1" t="s">
        <v>339</v>
      </c>
      <c r="AB80" s="1"/>
      <c r="AC80" s="5" t="str">
        <f ca="1">IFERROR(__xludf.DUMMYFUNCTION("IF(Y80 = """", """", GOOGLETRANSLATE(Y80, ""en"", ""hi""))
"),"सकारात्मक लेकिन बृहस्पति-राहु प्रभाव के कारण स्वास्थ्य संबंधी चेतावनी")</f>
        <v>सकारात्मक लेकिन बृहस्पति-राहु प्रभाव के कारण स्वास्थ्य संबंधी चेतावनी</v>
      </c>
      <c r="AD80" s="5" t="str">
        <f ca="1">IFERROR(__xludf.DUMMYFUNCTION("IF(Z80 = """", """", GOOGLETRANSLATE(Z80, ""en"", ""hi""))"),"तनाव से बचें")</f>
        <v>तनाव से बचें</v>
      </c>
      <c r="AE80" s="5" t="str">
        <f ca="1">IFERROR(__xludf.DUMMYFUNCTION("IF(AA80 = """", """", GOOGLETRANSLATE(AA80, ""en"", ""hi""))"),"चिड़चिड़ापन और भावनात्मक विस्फोटों पर नियंत्रण रखें")</f>
        <v>चिड़चिड़ापन और भावनात्मक विस्फोटों पर नियंत्रण रखें</v>
      </c>
      <c r="AF80" s="5" t="str">
        <f ca="1">IFERROR(__xludf.DUMMYFUNCTION("IF(AB80 = """", """", GOOGLETRANSLATE(AB80, ""en"", ""hi""))"),"")</f>
        <v/>
      </c>
      <c r="AG80" s="5" t="str">
        <f ca="1">IFERROR(__xludf.DUMMYFUNCTION("IF(Y80 = """", """", GOOGLETRANSLATE(Y80, ""en"", ""mr""))"),"बृहस्पति-राहूच्या प्रभावामुळे सकारात्मक परंतु आरोग्यविषयक सतर्कता")</f>
        <v>बृहस्पति-राहूच्या प्रभावामुळे सकारात्मक परंतु आरोग्यविषयक सतर्कता</v>
      </c>
      <c r="AH80" s="5" t="str">
        <f ca="1">IFERROR(__xludf.DUMMYFUNCTION("IF(Z80 = """", """", GOOGLETRANSLATE(Z80, ""en"", ""mr""))"),"तणाव टाळा")</f>
        <v>तणाव टाळा</v>
      </c>
      <c r="AI80" s="5" t="str">
        <f ca="1">IFERROR(__xludf.DUMMYFUNCTION("IF(AA80 = """", """", GOOGLETRANSLATE(AA80, ""en"", ""mr""))"),"चिडचिडेपणा आणि भावनिक उद्रेकांवर नियंत्रण ठेवा")</f>
        <v>चिडचिडेपणा आणि भावनिक उद्रेकांवर नियंत्रण ठेवा</v>
      </c>
      <c r="AJ80" s="5" t="str">
        <f ca="1">IFERROR(__xludf.DUMMYFUNCTION("IF(AB80 = """", """", GOOGLETRANSLATE(AB80, ""en"", ""mr""))"),"")</f>
        <v/>
      </c>
      <c r="AK80" s="5" t="str">
        <f ca="1">IFERROR(__xludf.DUMMYFUNCTION("IF(Y80 = """", """", GOOGLETRANSLATE(Y80, ""en"", ""gu""))"),"ગુરુ-રાહુની અસરને કારણે સકારાત્મક પરંતુ સ્વાસ્થ્ય ચેતવણી")</f>
        <v>ગુરુ-રાહુની અસરને કારણે સકારાત્મક પરંતુ સ્વાસ્થ્ય ચેતવણી</v>
      </c>
      <c r="AL80" s="5" t="str">
        <f ca="1">IFERROR(__xludf.DUMMYFUNCTION("IF(Z80 = """", """", GOOGLETRANSLATE(Z80, ""en"", ""gu""))"),"તણાવ ટાળો")</f>
        <v>તણાવ ટાળો</v>
      </c>
      <c r="AM80" s="5" t="str">
        <f ca="1">IFERROR(__xludf.DUMMYFUNCTION("IF(AA80 = """", """", GOOGLETRANSLATE(AA80, ""en"", ""gu""))"),"ચીડિયાપણું અને ભાવનાત્મક વિસ્ફોટો પર નિયંત્રણ રાખો")</f>
        <v>ચીડિયાપણું અને ભાવનાત્મક વિસ્ફોટો પર નિયંત્રણ રાખો</v>
      </c>
      <c r="AN80" s="5" t="str">
        <f ca="1">IFERROR(__xludf.DUMMYFUNCTION("IF(AB80 = """", """", GOOGLETRANSLATE(AB80, ""en"", ""gu""))"),"")</f>
        <v/>
      </c>
      <c r="AO80" s="5" t="str">
        <f ca="1">IFERROR(__xludf.DUMMYFUNCTION("IF(Y80 = """", """", GOOGLETRANSLATE(Y80, ""en"", ""bn""))"),"বৃহস্পতি-রাহু প্রভাবের কারণে ইতিবাচক তবে স্বাস্থ্য সতর্কতা")</f>
        <v>বৃহস্পতি-রাহু প্রভাবের কারণে ইতিবাচক তবে স্বাস্থ্য সতর্কতা</v>
      </c>
      <c r="AP80" s="5" t="str">
        <f ca="1">IFERROR(__xludf.DUMMYFUNCTION("IF(Z80 = """", """", GOOGLETRANSLATE(Z80, ""en"", ""bn""))"),"মানসিক চাপ এড়িয়ে চলুন")</f>
        <v>মানসিক চাপ এড়িয়ে চলুন</v>
      </c>
      <c r="AQ80" s="5" t="str">
        <f ca="1">IFERROR(__xludf.DUMMYFUNCTION("IF(AA80 = """", """", GOOGLETRANSLATE(AA80, ""en"", ""bn""))"),"বিরক্তি এবং মানসিক বিস্ফোরণ নিয়ন্ত্রণ করুন")</f>
        <v>বিরক্তি এবং মানসিক বিস্ফোরণ নিয়ন্ত্রণ করুন</v>
      </c>
      <c r="AR80" s="5" t="str">
        <f ca="1">IFERROR(__xludf.DUMMYFUNCTION("IF(AB80 = """", """", GOOGLETRANSLATE(AB80, ""en"", ""bn""))"),"")</f>
        <v/>
      </c>
      <c r="AU80" s="5" t="str">
        <f ca="1">IFERROR(__xludf.DUMMYFUNCTION("IF(Y80 = """", """", GOOGLETRANSLATE(Y80, ""en"", ""te""))"),"బృహస్పతి-రాహువు ప్రభావం కారణంగా సానుకూలమైనప్పటికీ ఆరోగ్యం అప్రమత్తంగా ఉంటుంది")</f>
        <v>బృహస్పతి-రాహువు ప్రభావం కారణంగా సానుకూలమైనప్పటికీ ఆరోగ్యం అప్రమత్తంగా ఉంటుంది</v>
      </c>
      <c r="AV80" s="5" t="str">
        <f ca="1">IFERROR(__xludf.DUMMYFUNCTION("IF(Z80 = """", """", GOOGLETRANSLATE(Z80, ""en"", ""te""))"),"ఒత్తిడిని నివారించండి")</f>
        <v>ఒత్తిడిని నివారించండి</v>
      </c>
      <c r="AW80" s="5" t="str">
        <f ca="1">IFERROR(__xludf.DUMMYFUNCTION("IF(AA80 = """", """", GOOGLETRANSLATE(AA80, ""en"", ""te""))"),"చిరాకు మరియు భావోద్వేగ ప్రకోపాలను నియంత్రించండి")</f>
        <v>చిరాకు మరియు భావోద్వేగ ప్రకోపాలను నియంత్రించండి</v>
      </c>
      <c r="AX80" s="5" t="str">
        <f ca="1">IFERROR(__xludf.DUMMYFUNCTION("IF(AB80 = """", """", GOOGLETRANSLATE(AB80, ""en"", ""te""))"),"")</f>
        <v/>
      </c>
    </row>
    <row r="81" spans="1:50" x14ac:dyDescent="0.25">
      <c r="A81" s="1">
        <v>94</v>
      </c>
      <c r="B81" s="1" t="s">
        <v>56</v>
      </c>
      <c r="C81" s="8">
        <v>45830</v>
      </c>
      <c r="D81" s="8">
        <v>45830</v>
      </c>
      <c r="E81" s="1">
        <v>10</v>
      </c>
      <c r="F81" s="1">
        <v>1</v>
      </c>
      <c r="G81" s="3" t="s">
        <v>340</v>
      </c>
      <c r="H81" s="4">
        <v>8.3680555555555557E-3</v>
      </c>
      <c r="I81" s="4">
        <v>6.9212962962962961E-3</v>
      </c>
      <c r="J81" s="4">
        <v>7.1759259259259259E-3</v>
      </c>
      <c r="K81" s="1" t="s">
        <v>58</v>
      </c>
      <c r="L81" s="1" t="s">
        <v>76</v>
      </c>
      <c r="M81" s="1" t="s">
        <v>19</v>
      </c>
      <c r="O81" s="1" t="s">
        <v>61</v>
      </c>
      <c r="P81" s="1" t="s">
        <v>61</v>
      </c>
      <c r="Q81" s="1" t="s">
        <v>61</v>
      </c>
      <c r="R81" s="1" t="s">
        <v>61</v>
      </c>
      <c r="S81" s="1" t="s">
        <v>61</v>
      </c>
      <c r="T81" s="1" t="s">
        <v>61</v>
      </c>
      <c r="V81" s="1" t="s">
        <v>61</v>
      </c>
      <c r="W81" s="1" t="s">
        <v>61</v>
      </c>
      <c r="X81" s="1" t="s">
        <v>61</v>
      </c>
      <c r="Y81" s="1" t="s">
        <v>341</v>
      </c>
      <c r="Z81" s="1" t="s">
        <v>342</v>
      </c>
      <c r="AA81" s="1" t="s">
        <v>343</v>
      </c>
      <c r="AB81" s="1"/>
      <c r="AC81" s="5" t="str">
        <f ca="1">IFERROR(__xludf.DUMMYFUNCTION("IF(Y81 = """", """", GOOGLETRANSLATE(Y81, ""en"", ""hi""))
"),"शांत और संयमित रहें")</f>
        <v>शांत और संयमित रहें</v>
      </c>
      <c r="AD81" s="5" t="str">
        <f ca="1">IFERROR(__xludf.DUMMYFUNCTION("IF(Z81 = """", """", GOOGLETRANSLATE(Z81, ""en"", ""hi""))"),"क्रोध में प्रतिक्रिया करने से बचें")</f>
        <v>क्रोध में प्रतिक्रिया करने से बचें</v>
      </c>
      <c r="AE81" s="5" t="str">
        <f ca="1">IFERROR(__xludf.DUMMYFUNCTION("IF(AA81 = """", """", GOOGLETRANSLATE(AA81, ""en"", ""hi""))"),"उकसाए जाने पर भी धैर्य रखें")</f>
        <v>उकसाए जाने पर भी धैर्य रखें</v>
      </c>
      <c r="AF81" s="5" t="str">
        <f ca="1">IFERROR(__xludf.DUMMYFUNCTION("IF(AB81 = """", """", GOOGLETRANSLATE(AB81, ""en"", ""hi""))"),"")</f>
        <v/>
      </c>
      <c r="AG81" s="5" t="str">
        <f ca="1">IFERROR(__xludf.DUMMYFUNCTION("IF(Y81 = """", """", GOOGLETRANSLATE(Y81, ""en"", ""mr""))"),"शांत आणि संयमित राहा")</f>
        <v>शांत आणि संयमित राहा</v>
      </c>
      <c r="AH81" s="5" t="str">
        <f ca="1">IFERROR(__xludf.DUMMYFUNCTION("IF(Z81 = """", """", GOOGLETRANSLATE(Z81, ""en"", ""mr""))"),"रागाच्या भरात प्रतिक्रिया देणे टाळा")</f>
        <v>रागाच्या भरात प्रतिक्रिया देणे टाळा</v>
      </c>
      <c r="AI81" s="5" t="str">
        <f ca="1">IFERROR(__xludf.DUMMYFUNCTION("IF(AA81 = """", """", GOOGLETRANSLATE(AA81, ""en"", ""mr""))"),"चिथावणी दिली तरी धीर धरा")</f>
        <v>चिथावणी दिली तरी धीर धरा</v>
      </c>
      <c r="AJ81" s="5" t="str">
        <f ca="1">IFERROR(__xludf.DUMMYFUNCTION("IF(AB81 = """", """", GOOGLETRANSLATE(AB81, ""en"", ""mr""))"),"")</f>
        <v/>
      </c>
      <c r="AK81" s="5" t="str">
        <f ca="1">IFERROR(__xludf.DUMMYFUNCTION("IF(Y81 = """", """", GOOGLETRANSLATE(Y81, ""en"", ""gu""))"),"શાંત અને કંપોઝ રહો")</f>
        <v>શાંત અને કંપોઝ રહો</v>
      </c>
      <c r="AL81" s="5" t="str">
        <f ca="1">IFERROR(__xludf.DUMMYFUNCTION("IF(Z81 = """", """", GOOGLETRANSLATE(Z81, ""en"", ""gu""))"),"ગુસ્સામાં પ્રતિક્રિયા આપવાનું ટાળો")</f>
        <v>ગુસ્સામાં પ્રતિક્રિયા આપવાનું ટાળો</v>
      </c>
      <c r="AM81" s="5" t="str">
        <f ca="1">IFERROR(__xludf.DUMMYFUNCTION("IF(AA81 = """", """", GOOGLETRANSLATE(AA81, ""en"", ""gu""))"),"ઉશ્કેરવામાં આવે તો પણ ધીરજ રાખો")</f>
        <v>ઉશ્કેરવામાં આવે તો પણ ધીરજ રાખો</v>
      </c>
      <c r="AN81" s="5" t="str">
        <f ca="1">IFERROR(__xludf.DUMMYFUNCTION("IF(AB81 = """", """", GOOGLETRANSLATE(AB81, ""en"", ""gu""))"),"")</f>
        <v/>
      </c>
      <c r="AO81" s="5" t="str">
        <f ca="1">IFERROR(__xludf.DUMMYFUNCTION("IF(Y81 = """", """", GOOGLETRANSLATE(Y81, ""en"", ""bn""))"),"শান্ত থাকুন এবং সংযত থাকুন")</f>
        <v>শান্ত থাকুন এবং সংযত থাকুন</v>
      </c>
      <c r="AP81" s="5" t="str">
        <f ca="1">IFERROR(__xludf.DUMMYFUNCTION("IF(Z81 = """", """", GOOGLETRANSLATE(Z81, ""en"", ""bn""))"),"রাগে প্রতিক্রিয়া এড়িয়ে চলুন")</f>
        <v>রাগে প্রতিক্রিয়া এড়িয়ে চলুন</v>
      </c>
      <c r="AQ81" s="5" t="str">
        <f ca="1">IFERROR(__xludf.DUMMYFUNCTION("IF(AA81 = """", """", GOOGLETRANSLATE(AA81, ""en"", ""bn""))"),"প্ররোচিত হলেও ধৈর্য ধরুন")</f>
        <v>প্ররোচিত হলেও ধৈর্য ধরুন</v>
      </c>
      <c r="AR81" s="5" t="str">
        <f ca="1">IFERROR(__xludf.DUMMYFUNCTION("IF(AB81 = """", """", GOOGLETRANSLATE(AB81, ""en"", ""bn""))"),"")</f>
        <v/>
      </c>
      <c r="AU81" s="5" t="str">
        <f ca="1">IFERROR(__xludf.DUMMYFUNCTION("IF(Y81 = """", """", GOOGLETRANSLATE(Y81, ""en"", ""te""))"),"ప్రశాంతంగా మరియు సంయమనంతో ఉండండి")</f>
        <v>ప్రశాంతంగా మరియు సంయమనంతో ఉండండి</v>
      </c>
      <c r="AV81" s="5" t="str">
        <f ca="1">IFERROR(__xludf.DUMMYFUNCTION("IF(Z81 = """", """", GOOGLETRANSLATE(Z81, ""en"", ""te""))"),"కోపంతో స్పందించడం మానుకోండి")</f>
        <v>కోపంతో స్పందించడం మానుకోండి</v>
      </c>
      <c r="AW81" s="5" t="str">
        <f ca="1">IFERROR(__xludf.DUMMYFUNCTION("IF(AA81 = """", """", GOOGLETRANSLATE(AA81, ""en"", ""te""))"),"రెచ్చగొట్టినా ఓపిక పట్టండి")</f>
        <v>రెచ్చగొట్టినా ఓపిక పట్టండి</v>
      </c>
      <c r="AX81" s="5" t="str">
        <f ca="1">IFERROR(__xludf.DUMMYFUNCTION("IF(AB81 = """", """", GOOGLETRANSLATE(AB81, ""en"", ""te""))"),"")</f>
        <v/>
      </c>
    </row>
    <row r="82" spans="1:50" x14ac:dyDescent="0.25">
      <c r="A82" s="1">
        <v>95</v>
      </c>
      <c r="B82" s="1" t="s">
        <v>56</v>
      </c>
      <c r="C82" s="8">
        <v>45830</v>
      </c>
      <c r="D82" s="8">
        <v>45830</v>
      </c>
      <c r="E82" s="1">
        <v>11</v>
      </c>
      <c r="F82" s="1">
        <v>1</v>
      </c>
      <c r="G82" s="3" t="s">
        <v>344</v>
      </c>
      <c r="H82" s="4">
        <v>8.3680555555555557E-3</v>
      </c>
      <c r="I82" s="4">
        <v>7.1759259259259259E-3</v>
      </c>
      <c r="J82" s="4">
        <v>7.6388888888888886E-3</v>
      </c>
      <c r="K82" s="1" t="s">
        <v>58</v>
      </c>
      <c r="L82" s="1" t="s">
        <v>79</v>
      </c>
      <c r="M82" s="1" t="s">
        <v>14</v>
      </c>
      <c r="O82" s="1" t="s">
        <v>61</v>
      </c>
      <c r="P82" s="1" t="s">
        <v>61</v>
      </c>
      <c r="Q82" s="1" t="s">
        <v>61</v>
      </c>
      <c r="R82" s="1" t="s">
        <v>61</v>
      </c>
      <c r="S82" s="1" t="s">
        <v>61</v>
      </c>
      <c r="T82" s="1" t="s">
        <v>61</v>
      </c>
      <c r="V82" s="1" t="s">
        <v>61</v>
      </c>
      <c r="W82" s="1" t="s">
        <v>61</v>
      </c>
      <c r="X82" s="1" t="s">
        <v>61</v>
      </c>
      <c r="Y82" s="1" t="s">
        <v>345</v>
      </c>
      <c r="Z82" s="1" t="s">
        <v>346</v>
      </c>
      <c r="AB82" s="1"/>
      <c r="AC82" s="5" t="str">
        <f ca="1">IFERROR(__xludf.DUMMYFUNCTION("IF(Y82 = """", """", GOOGLETRANSLATE(Y82, ""en"", ""hi""))
"),"पारिवारिक सैर या यात्रा की संभावना")</f>
        <v>पारिवारिक सैर या यात्रा की संभावना</v>
      </c>
      <c r="AD82" s="5" t="str">
        <f ca="1">IFERROR(__xludf.DUMMYFUNCTION("IF(Z82 = """", """", GOOGLETRANSLATE(Z82, ""en"", ""hi""))"),"बच्चों की शिक्षा या करियर पर खर्च जल्द ही आ सकता है")</f>
        <v>बच्चों की शिक्षा या करियर पर खर्च जल्द ही आ सकता है</v>
      </c>
      <c r="AE82" s="5" t="str">
        <f ca="1">IFERROR(__xludf.DUMMYFUNCTION("IF(AA82 = """", """", GOOGLETRANSLATE(AA82, ""en"", ""hi""))"),"")</f>
        <v/>
      </c>
      <c r="AF82" s="5" t="str">
        <f ca="1">IFERROR(__xludf.DUMMYFUNCTION("IF(AB82 = """", """", GOOGLETRANSLATE(AB82, ""en"", ""hi""))"),"")</f>
        <v/>
      </c>
      <c r="AG82" s="5" t="str">
        <f ca="1">IFERROR(__xludf.DUMMYFUNCTION("IF(Y82 = """", """", GOOGLETRANSLATE(Y82, ""en"", ""mr""))"),"कौटुंबिक सहली किंवा प्रवास संभवतो")</f>
        <v>कौटुंबिक सहली किंवा प्रवास संभवतो</v>
      </c>
      <c r="AH82" s="5" t="str">
        <f ca="1">IFERROR(__xludf.DUMMYFUNCTION("IF(Z82 = """", """", GOOGLETRANSLATE(Z82, ""en"", ""mr""))"),"मुलांच्या शिक्षणावर किंवा करिअरवर होणारा खर्च लवकरच येऊ शकतो")</f>
        <v>मुलांच्या शिक्षणावर किंवा करिअरवर होणारा खर्च लवकरच येऊ शकतो</v>
      </c>
      <c r="AI82" s="5" t="str">
        <f ca="1">IFERROR(__xludf.DUMMYFUNCTION("IF(AA82 = """", """", GOOGLETRANSLATE(AA82, ""en"", ""mr""))"),"")</f>
        <v/>
      </c>
      <c r="AJ82" s="5" t="str">
        <f ca="1">IFERROR(__xludf.DUMMYFUNCTION("IF(AB82 = """", """", GOOGLETRANSLATE(AB82, ""en"", ""mr""))"),"")</f>
        <v/>
      </c>
      <c r="AK82" s="5" t="str">
        <f ca="1">IFERROR(__xludf.DUMMYFUNCTION("IF(Y82 = """", """", GOOGLETRANSLATE(Y82, ""en"", ""gu""))"),"કૌટુંબિક ફરવા કે પ્રવાસની શક્યતા")</f>
        <v>કૌટુંબિક ફરવા કે પ્રવાસની શક્યતા</v>
      </c>
      <c r="AL82" s="5" t="str">
        <f ca="1">IFERROR(__xludf.DUMMYFUNCTION("IF(Z82 = """", """", GOOGLETRANSLATE(Z82, ""en"", ""gu""))"),"બાળકોના શિક્ષણ અથવા કારકિર્દી પર ખર્ચ જલ્દી આવી શકે છે")</f>
        <v>બાળકોના શિક્ષણ અથવા કારકિર્દી પર ખર્ચ જલ્દી આવી શકે છે</v>
      </c>
      <c r="AM82" s="5" t="str">
        <f ca="1">IFERROR(__xludf.DUMMYFUNCTION("IF(AA82 = """", """", GOOGLETRANSLATE(AA82, ""en"", ""gu""))"),"")</f>
        <v/>
      </c>
      <c r="AN82" s="5" t="str">
        <f ca="1">IFERROR(__xludf.DUMMYFUNCTION("IF(AB82 = """", """", GOOGLETRANSLATE(AB82, ""en"", ""gu""))"),"")</f>
        <v/>
      </c>
      <c r="AO82" s="5" t="str">
        <f ca="1">IFERROR(__xludf.DUMMYFUNCTION("IF(Y82 = """", """", GOOGLETRANSLATE(Y82, ""en"", ""bn""))"),"পারিবারিক ঘোরাঘুরি বা ভ্রমণের সম্ভাবনা")</f>
        <v>পারিবারিক ঘোরাঘুরি বা ভ্রমণের সম্ভাবনা</v>
      </c>
      <c r="AP82" s="5" t="str">
        <f ca="1">IFERROR(__xludf.DUMMYFUNCTION("IF(Z82 = """", """", GOOGLETRANSLATE(Z82, ""en"", ""bn""))"),"সন্তানদের শিক্ষা বা কর্মজীবনের খরচ শীঘ্রই আসতে পারে")</f>
        <v>সন্তানদের শিক্ষা বা কর্মজীবনের খরচ শীঘ্রই আসতে পারে</v>
      </c>
      <c r="AQ82" s="5" t="str">
        <f ca="1">IFERROR(__xludf.DUMMYFUNCTION("IF(AA82 = """", """", GOOGLETRANSLATE(AA82, ""en"", ""bn""))"),"")</f>
        <v/>
      </c>
      <c r="AR82" s="5" t="str">
        <f ca="1">IFERROR(__xludf.DUMMYFUNCTION("IF(AB82 = """", """", GOOGLETRANSLATE(AB82, ""en"", ""bn""))"),"")</f>
        <v/>
      </c>
      <c r="AU82" s="5" t="str">
        <f ca="1">IFERROR(__xludf.DUMMYFUNCTION("IF(Y82 = """", """", GOOGLETRANSLATE(Y82, ""en"", ""te""))"),"కుటుంబ విహారయాత్రలు లేదా ప్రయాణాలకు అవకాశం ఉంటుంది")</f>
        <v>కుటుంబ విహారయాత్రలు లేదా ప్రయాణాలకు అవకాశం ఉంటుంది</v>
      </c>
      <c r="AV82" s="5" t="str">
        <f ca="1">IFERROR(__xludf.DUMMYFUNCTION("IF(Z82 = """", """", GOOGLETRANSLATE(Z82, ""en"", ""te""))"),"పిల్లల చదువు లేదా వృత్తికి సంబంధించిన ఖర్చులు త్వరలో రావచ్చు")</f>
        <v>పిల్లల చదువు లేదా వృత్తికి సంబంధించిన ఖర్చులు త్వరలో రావచ్చు</v>
      </c>
      <c r="AW82" s="5" t="str">
        <f ca="1">IFERROR(__xludf.DUMMYFUNCTION("IF(AA82 = """", """", GOOGLETRANSLATE(AA82, ""en"", ""te""))"),"")</f>
        <v/>
      </c>
      <c r="AX82" s="5" t="str">
        <f ca="1">IFERROR(__xludf.DUMMYFUNCTION("IF(AB82 = """", """", GOOGLETRANSLATE(AB82, ""en"", ""te""))"),"")</f>
        <v/>
      </c>
    </row>
    <row r="83" spans="1:50" x14ac:dyDescent="0.25">
      <c r="A83" s="1">
        <v>96</v>
      </c>
      <c r="B83" s="1" t="s">
        <v>56</v>
      </c>
      <c r="C83" s="8">
        <v>45830</v>
      </c>
      <c r="D83" s="8">
        <v>45830</v>
      </c>
      <c r="E83" s="1">
        <v>12</v>
      </c>
      <c r="F83" s="1">
        <v>1</v>
      </c>
      <c r="G83" s="3" t="s">
        <v>347</v>
      </c>
      <c r="H83" s="4">
        <v>8.3680555555555557E-3</v>
      </c>
      <c r="I83" s="4">
        <v>7.6388888888888886E-3</v>
      </c>
      <c r="J83" s="4">
        <v>8.3449074074074068E-3</v>
      </c>
      <c r="K83" s="1" t="s">
        <v>58</v>
      </c>
      <c r="L83" s="1" t="s">
        <v>81</v>
      </c>
      <c r="M83" s="1" t="s">
        <v>14</v>
      </c>
      <c r="O83" s="1" t="s">
        <v>61</v>
      </c>
      <c r="P83" s="1" t="s">
        <v>61</v>
      </c>
      <c r="Q83" s="1" t="s">
        <v>61</v>
      </c>
      <c r="R83" s="1" t="s">
        <v>61</v>
      </c>
      <c r="S83" s="1" t="s">
        <v>61</v>
      </c>
      <c r="T83" s="1" t="s">
        <v>61</v>
      </c>
      <c r="V83" s="1" t="s">
        <v>61</v>
      </c>
      <c r="W83" s="1" t="s">
        <v>61</v>
      </c>
      <c r="X83" s="1" t="s">
        <v>61</v>
      </c>
      <c r="Y83" s="1" t="s">
        <v>348</v>
      </c>
      <c r="Z83" s="1" t="s">
        <v>303</v>
      </c>
      <c r="AA83" s="1" t="s">
        <v>349</v>
      </c>
      <c r="AB83" s="1"/>
      <c r="AC83" s="5" t="str">
        <f ca="1">IFERROR(__xludf.DUMMYFUNCTION("IF(Y83 = """", """", GOOGLETRANSLATE(Y83, ""en"", ""hi""))
"),"आगामी सप्ताह अत्यधिक उतार-चढ़ाव भरा रहेगा")</f>
        <v>आगामी सप्ताह अत्यधिक उतार-चढ़ाव भरा रहेगा</v>
      </c>
      <c r="AD83" s="5" t="str">
        <f ca="1">IFERROR(__xludf.DUMMYFUNCTION("IF(Z83 = """", """", GOOGLETRANSLATE(Z83, ""en"", ""hi""))"),"इस अच्छे दिन का पूरा लाभ उठाएँ")</f>
        <v>इस अच्छे दिन का पूरा लाभ उठाएँ</v>
      </c>
      <c r="AE83" s="5" t="str">
        <f ca="1">IFERROR(__xludf.DUMMYFUNCTION("IF(AA83 = """", """", GOOGLETRANSLATE(AA83, ""en"", ""hi""))"),"नकारात्मक दौर के दौरान सतर्क रहें")</f>
        <v>नकारात्मक दौर के दौरान सतर्क रहें</v>
      </c>
      <c r="AF83" s="5" t="str">
        <f ca="1">IFERROR(__xludf.DUMMYFUNCTION("IF(AB83 = """", """", GOOGLETRANSLATE(AB83, ""en"", ""hi""))"),"")</f>
        <v/>
      </c>
      <c r="AG83" s="5" t="str">
        <f ca="1">IFERROR(__xludf.DUMMYFUNCTION("IF(Y83 = """", """", GOOGLETRANSLATE(Y83, ""en"", ""mr""))"),"आगामी आठवडा खूप चढ-उताराचा असेल")</f>
        <v>आगामी आठवडा खूप चढ-उताराचा असेल</v>
      </c>
      <c r="AH83" s="5" t="str">
        <f ca="1">IFERROR(__xludf.DUMMYFUNCTION("IF(Z83 = """", """", GOOGLETRANSLATE(Z83, ""en"", ""mr""))"),"या शुभ दिवसाचा तुमच्या पूर्ण लाभासाठी उपयोग करा")</f>
        <v>या शुभ दिवसाचा तुमच्या पूर्ण लाभासाठी उपयोग करा</v>
      </c>
      <c r="AI83" s="5" t="str">
        <f ca="1">IFERROR(__xludf.DUMMYFUNCTION("IF(AA83 = """", """", GOOGLETRANSLATE(AA83, ""en"", ""mr""))"),"नकारात्मक टप्प्यांमध्ये सावध रहा")</f>
        <v>नकारात्मक टप्प्यांमध्ये सावध रहा</v>
      </c>
      <c r="AJ83" s="5" t="str">
        <f ca="1">IFERROR(__xludf.DUMMYFUNCTION("IF(AB83 = """", """", GOOGLETRANSLATE(AB83, ""en"", ""mr""))"),"")</f>
        <v/>
      </c>
      <c r="AK83" s="5" t="str">
        <f ca="1">IFERROR(__xludf.DUMMYFUNCTION("IF(Y83 = """", """", GOOGLETRANSLATE(Y83, ""en"", ""gu""))"),"આગામી સપ્તાહ ખૂબ જ વધઘટવાળું રહેશે")</f>
        <v>આગામી સપ્તાહ ખૂબ જ વધઘટવાળું રહેશે</v>
      </c>
      <c r="AL83" s="5" t="str">
        <f ca="1">IFERROR(__xludf.DUMMYFUNCTION("IF(Z83 = """", """", GOOGLETRANSLATE(Z83, ""en"", ""gu""))"),"આ શુભ દિવસનો તમારા સંપૂર્ણ લાભ માટે ઉપયોગ કરો")</f>
        <v>આ શુભ દિવસનો તમારા સંપૂર્ણ લાભ માટે ઉપયોગ કરો</v>
      </c>
      <c r="AM83" s="5" t="str">
        <f ca="1">IFERROR(__xludf.DUMMYFUNCTION("IF(AA83 = """", """", GOOGLETRANSLATE(AA83, ""en"", ""gu""))"),"નકારાત્મક તબક્કાઓ દરમિયાન સાવચેત રહો")</f>
        <v>નકારાત્મક તબક્કાઓ દરમિયાન સાવચેત રહો</v>
      </c>
      <c r="AN83" s="5" t="str">
        <f ca="1">IFERROR(__xludf.DUMMYFUNCTION("IF(AB83 = """", """", GOOGLETRANSLATE(AB83, ""en"", ""gu""))"),"")</f>
        <v/>
      </c>
      <c r="AO83" s="5" t="str">
        <f ca="1">IFERROR(__xludf.DUMMYFUNCTION("IF(Y83 = """", """", GOOGLETRANSLATE(Y83, ""en"", ""bn""))"),"আসন্ন সপ্তাহ অত্যন্ত ওঠানামা করবে")</f>
        <v>আসন্ন সপ্তাহ অত্যন্ত ওঠানামা করবে</v>
      </c>
      <c r="AP83" s="5" t="str">
        <f ca="1">IFERROR(__xludf.DUMMYFUNCTION("IF(Z83 = """", """", GOOGLETRANSLATE(Z83, ""en"", ""bn""))"),"আপনার সম্পূর্ণ সুবিধার জন্য এই শুভ দিন ব্যবহার করুন")</f>
        <v>আপনার সম্পূর্ণ সুবিধার জন্য এই শুভ দিন ব্যবহার করুন</v>
      </c>
      <c r="AQ83" s="5" t="str">
        <f ca="1">IFERROR(__xludf.DUMMYFUNCTION("IF(AA83 = """", """", GOOGLETRANSLATE(AA83, ""en"", ""bn""))"),"নেতিবাচক পর্যায়ে সতর্ক থাকুন")</f>
        <v>নেতিবাচক পর্যায়ে সতর্ক থাকুন</v>
      </c>
      <c r="AR83" s="5" t="str">
        <f ca="1">IFERROR(__xludf.DUMMYFUNCTION("IF(AB83 = """", """", GOOGLETRANSLATE(AB83, ""en"", ""bn""))"),"")</f>
        <v/>
      </c>
      <c r="AU83" s="5" t="str">
        <f ca="1">IFERROR(__xludf.DUMMYFUNCTION("IF(Y83 = """", """", GOOGLETRANSLATE(Y83, ""en"", ""te""))"),"రాబోయే వారం చాలా హెచ్చుతగ్గులకు లోనవుతుంది")</f>
        <v>రాబోయే వారం చాలా హెచ్చుతగ్గులకు లోనవుతుంది</v>
      </c>
      <c r="AV83" s="5" t="str">
        <f ca="1">IFERROR(__xludf.DUMMYFUNCTION("IF(Z83 = """", """", GOOGLETRANSLATE(Z83, ""en"", ""te""))"),"ఈ మంచి రోజును మీ పూర్తి ప్రయోజనం కోసం ఉపయోగించుకోండి")</f>
        <v>ఈ మంచి రోజును మీ పూర్తి ప్రయోజనం కోసం ఉపయోగించుకోండి</v>
      </c>
      <c r="AW83" s="5" t="str">
        <f ca="1">IFERROR(__xludf.DUMMYFUNCTION("IF(AA83 = """", """", GOOGLETRANSLATE(AA83, ""en"", ""te""))"),"ప్రతికూల దశల సమయంలో అప్రమత్తంగా ఉండండి")</f>
        <v>ప్రతికూల దశల సమయంలో అప్రమత్తంగా ఉండండి</v>
      </c>
      <c r="AX83" s="5" t="str">
        <f ca="1">IFERROR(__xludf.DUMMYFUNCTION("IF(AB83 = """", """", GOOGLETRANSLATE(AB83, ""en"", ""te""))"),"")</f>
        <v/>
      </c>
    </row>
    <row r="84" spans="1:50" x14ac:dyDescent="0.25">
      <c r="A84" s="1">
        <v>97</v>
      </c>
      <c r="B84" s="1" t="s">
        <v>56</v>
      </c>
      <c r="C84" s="8">
        <v>45830</v>
      </c>
      <c r="D84" s="8">
        <v>45830</v>
      </c>
      <c r="E84" s="1">
        <v>13</v>
      </c>
      <c r="F84" s="1">
        <v>1</v>
      </c>
      <c r="G84" s="3" t="s">
        <v>350</v>
      </c>
      <c r="H84" s="4">
        <v>8.3680555555555557E-3</v>
      </c>
      <c r="I84" s="4">
        <v>8.3449074074074068E-3</v>
      </c>
      <c r="J84" s="4">
        <v>8.3680555555555557E-3</v>
      </c>
      <c r="L84" s="1" t="s">
        <v>137</v>
      </c>
      <c r="O84" s="1" t="s">
        <v>61</v>
      </c>
      <c r="P84" s="1" t="s">
        <v>61</v>
      </c>
      <c r="Q84" s="1" t="s">
        <v>61</v>
      </c>
      <c r="R84" s="1" t="s">
        <v>61</v>
      </c>
      <c r="S84" s="1" t="s">
        <v>61</v>
      </c>
      <c r="T84" s="1" t="s">
        <v>61</v>
      </c>
      <c r="V84" s="1" t="s">
        <v>61</v>
      </c>
      <c r="W84" s="1" t="s">
        <v>61</v>
      </c>
      <c r="X84" s="1" t="s">
        <v>61</v>
      </c>
      <c r="AB84" s="1"/>
      <c r="AC84" s="5" t="str">
        <f ca="1">IFERROR(__xludf.DUMMYFUNCTION("IF(Y84 = """", """", GOOGLETRANSLATE(Y84, ""en"", ""hi""))
"),"")</f>
        <v/>
      </c>
      <c r="AD84" s="5" t="str">
        <f ca="1">IFERROR(__xludf.DUMMYFUNCTION("IF(Z84 = """", """", GOOGLETRANSLATE(Z84, ""en"", ""hi""))"),"")</f>
        <v/>
      </c>
      <c r="AE84" s="5" t="str">
        <f ca="1">IFERROR(__xludf.DUMMYFUNCTION("IF(AA84 = """", """", GOOGLETRANSLATE(AA84, ""en"", ""hi""))"),"")</f>
        <v/>
      </c>
      <c r="AF84" s="5" t="str">
        <f ca="1">IFERROR(__xludf.DUMMYFUNCTION("IF(AB84 = """", """", GOOGLETRANSLATE(AB84, ""en"", ""hi""))"),"")</f>
        <v/>
      </c>
      <c r="AG84" s="5" t="str">
        <f ca="1">IFERROR(__xludf.DUMMYFUNCTION("IF(Y84 = """", """", GOOGLETRANSLATE(Y84, ""en"", ""mr""))"),"")</f>
        <v/>
      </c>
      <c r="AH84" s="5" t="str">
        <f ca="1">IFERROR(__xludf.DUMMYFUNCTION("IF(Z84 = """", """", GOOGLETRANSLATE(Z84, ""en"", ""mr""))"),"")</f>
        <v/>
      </c>
      <c r="AI84" s="5" t="str">
        <f ca="1">IFERROR(__xludf.DUMMYFUNCTION("IF(AA84 = """", """", GOOGLETRANSLATE(AA84, ""en"", ""mr""))"),"")</f>
        <v/>
      </c>
      <c r="AJ84" s="5" t="str">
        <f ca="1">IFERROR(__xludf.DUMMYFUNCTION("IF(AB84 = """", """", GOOGLETRANSLATE(AB84, ""en"", ""mr""))"),"")</f>
        <v/>
      </c>
      <c r="AK84" s="5" t="str">
        <f ca="1">IFERROR(__xludf.DUMMYFUNCTION("IF(Y84 = """", """", GOOGLETRANSLATE(Y84, ""en"", ""gu""))"),"")</f>
        <v/>
      </c>
      <c r="AL84" s="5" t="str">
        <f ca="1">IFERROR(__xludf.DUMMYFUNCTION("IF(Z84 = """", """", GOOGLETRANSLATE(Z84, ""en"", ""gu""))"),"")</f>
        <v/>
      </c>
      <c r="AM84" s="5" t="str">
        <f ca="1">IFERROR(__xludf.DUMMYFUNCTION("IF(AA84 = """", """", GOOGLETRANSLATE(AA84, ""en"", ""gu""))"),"")</f>
        <v/>
      </c>
      <c r="AN84" s="5" t="str">
        <f ca="1">IFERROR(__xludf.DUMMYFUNCTION("IF(AB84 = """", """", GOOGLETRANSLATE(AB84, ""en"", ""gu""))"),"")</f>
        <v/>
      </c>
      <c r="AO84" s="5" t="str">
        <f ca="1">IFERROR(__xludf.DUMMYFUNCTION("IF(Y84 = """", """", GOOGLETRANSLATE(Y84, ""en"", ""bn""))"),"")</f>
        <v/>
      </c>
      <c r="AP84" s="5" t="str">
        <f ca="1">IFERROR(__xludf.DUMMYFUNCTION("IF(Z84 = """", """", GOOGLETRANSLATE(Z84, ""en"", ""bn""))"),"")</f>
        <v/>
      </c>
      <c r="AQ84" s="5" t="str">
        <f ca="1">IFERROR(__xludf.DUMMYFUNCTION("IF(AA84 = """", """", GOOGLETRANSLATE(AA84, ""en"", ""bn""))"),"")</f>
        <v/>
      </c>
      <c r="AR84" s="5" t="str">
        <f ca="1">IFERROR(__xludf.DUMMYFUNCTION("IF(AB84 = """", """", GOOGLETRANSLATE(AB84, ""en"", ""bn""))"),"")</f>
        <v/>
      </c>
      <c r="AU84" s="5" t="str">
        <f ca="1">IFERROR(__xludf.DUMMYFUNCTION("IF(Y84 = """", """", GOOGLETRANSLATE(Y84, ""en"", ""te""))"),"")</f>
        <v/>
      </c>
      <c r="AV84" s="5" t="str">
        <f ca="1">IFERROR(__xludf.DUMMYFUNCTION("IF(Z84 = """", """", GOOGLETRANSLATE(Z84, ""en"", ""te""))"),"")</f>
        <v/>
      </c>
      <c r="AW84" s="5" t="str">
        <f ca="1">IFERROR(__xludf.DUMMYFUNCTION("IF(AA84 = """", """", GOOGLETRANSLATE(AA84, ""en"", ""te""))"),"")</f>
        <v/>
      </c>
      <c r="AX84" s="5" t="str">
        <f ca="1">IFERROR(__xludf.DUMMYFUNCTION("IF(AB84 = """", """", GOOGLETRANSLATE(AB84, ""en"", ""te""))"),"")</f>
        <v/>
      </c>
    </row>
    <row r="85" spans="1:50" x14ac:dyDescent="0.25">
      <c r="A85" s="1">
        <v>98</v>
      </c>
      <c r="B85" s="1" t="s">
        <v>56</v>
      </c>
      <c r="C85" s="8">
        <v>45831</v>
      </c>
      <c r="D85" s="8">
        <v>45831</v>
      </c>
      <c r="E85" s="1">
        <v>0</v>
      </c>
      <c r="F85" s="1">
        <v>1</v>
      </c>
      <c r="G85" s="3" t="s">
        <v>351</v>
      </c>
      <c r="H85" s="4">
        <v>7.6273148148148151E-3</v>
      </c>
      <c r="I85" s="4">
        <v>0</v>
      </c>
      <c r="J85" s="4">
        <v>1.2962962962962963E-3</v>
      </c>
      <c r="K85" s="1" t="s">
        <v>58</v>
      </c>
      <c r="L85" s="1" t="s">
        <v>59</v>
      </c>
      <c r="O85" s="1" t="s">
        <v>61</v>
      </c>
      <c r="P85" s="1" t="s">
        <v>61</v>
      </c>
      <c r="Q85" s="1" t="s">
        <v>61</v>
      </c>
      <c r="R85" s="1" t="s">
        <v>61</v>
      </c>
      <c r="S85" s="1" t="s">
        <v>61</v>
      </c>
      <c r="T85" s="1" t="s">
        <v>61</v>
      </c>
      <c r="V85" s="1" t="s">
        <v>61</v>
      </c>
      <c r="W85" s="1" t="s">
        <v>61</v>
      </c>
      <c r="X85" s="1" t="s">
        <v>61</v>
      </c>
      <c r="AB85" s="1"/>
      <c r="AC85" s="5" t="str">
        <f ca="1">IFERROR(__xludf.DUMMYFUNCTION("IF(Y85 = """", """", GOOGLETRANSLATE(Y85, ""en"", ""hi""))
"),"")</f>
        <v/>
      </c>
      <c r="AD85" s="5" t="str">
        <f ca="1">IFERROR(__xludf.DUMMYFUNCTION("IF(Z85 = """", """", GOOGLETRANSLATE(Z85, ""en"", ""hi""))"),"")</f>
        <v/>
      </c>
      <c r="AE85" s="5" t="str">
        <f ca="1">IFERROR(__xludf.DUMMYFUNCTION("IF(AA85 = """", """", GOOGLETRANSLATE(AA85, ""en"", ""hi""))"),"")</f>
        <v/>
      </c>
      <c r="AF85" s="5" t="str">
        <f ca="1">IFERROR(__xludf.DUMMYFUNCTION("IF(AB85 = """", """", GOOGLETRANSLATE(AB85, ""en"", ""hi""))"),"")</f>
        <v/>
      </c>
      <c r="AG85" s="5" t="str">
        <f ca="1">IFERROR(__xludf.DUMMYFUNCTION("IF(Y85 = """", """", GOOGLETRANSLATE(Y85, ""en"", ""mr""))"),"")</f>
        <v/>
      </c>
      <c r="AH85" s="5" t="str">
        <f ca="1">IFERROR(__xludf.DUMMYFUNCTION("IF(Z85 = """", """", GOOGLETRANSLATE(Z85, ""en"", ""mr""))"),"")</f>
        <v/>
      </c>
      <c r="AI85" s="5" t="str">
        <f ca="1">IFERROR(__xludf.DUMMYFUNCTION("IF(AA85 = """", """", GOOGLETRANSLATE(AA85, ""en"", ""mr""))"),"")</f>
        <v/>
      </c>
      <c r="AJ85" s="5" t="str">
        <f ca="1">IFERROR(__xludf.DUMMYFUNCTION("IF(AB85 = """", """", GOOGLETRANSLATE(AB85, ""en"", ""mr""))"),"")</f>
        <v/>
      </c>
      <c r="AK85" s="5" t="str">
        <f ca="1">IFERROR(__xludf.DUMMYFUNCTION("IF(Y85 = """", """", GOOGLETRANSLATE(Y85, ""en"", ""gu""))"),"")</f>
        <v/>
      </c>
      <c r="AL85" s="5" t="str">
        <f ca="1">IFERROR(__xludf.DUMMYFUNCTION("IF(Z85 = """", """", GOOGLETRANSLATE(Z85, ""en"", ""gu""))"),"")</f>
        <v/>
      </c>
      <c r="AM85" s="5" t="str">
        <f ca="1">IFERROR(__xludf.DUMMYFUNCTION("IF(AA85 = """", """", GOOGLETRANSLATE(AA85, ""en"", ""gu""))"),"")</f>
        <v/>
      </c>
      <c r="AN85" s="5" t="str">
        <f ca="1">IFERROR(__xludf.DUMMYFUNCTION("IF(AB85 = """", """", GOOGLETRANSLATE(AB85, ""en"", ""gu""))"),"")</f>
        <v/>
      </c>
      <c r="AO85" s="5" t="str">
        <f ca="1">IFERROR(__xludf.DUMMYFUNCTION("IF(Y85 = """", """", GOOGLETRANSLATE(Y85, ""en"", ""bn""))"),"")</f>
        <v/>
      </c>
      <c r="AP85" s="5" t="str">
        <f ca="1">IFERROR(__xludf.DUMMYFUNCTION("IF(Z85 = """", """", GOOGLETRANSLATE(Z85, ""en"", ""bn""))"),"")</f>
        <v/>
      </c>
      <c r="AQ85" s="5" t="str">
        <f ca="1">IFERROR(__xludf.DUMMYFUNCTION("IF(AA85 = """", """", GOOGLETRANSLATE(AA85, ""en"", ""bn""))"),"")</f>
        <v/>
      </c>
      <c r="AR85" s="5" t="str">
        <f ca="1">IFERROR(__xludf.DUMMYFUNCTION("IF(AB85 = """", """", GOOGLETRANSLATE(AB85, ""en"", ""bn""))"),"")</f>
        <v/>
      </c>
      <c r="AU85" s="5" t="str">
        <f ca="1">IFERROR(__xludf.DUMMYFUNCTION("IF(Y85 = """", """", GOOGLETRANSLATE(Y85, ""en"", ""te""))"),"")</f>
        <v/>
      </c>
      <c r="AV85" s="5" t="str">
        <f ca="1">IFERROR(__xludf.DUMMYFUNCTION("IF(Z85 = """", """", GOOGLETRANSLATE(Z85, ""en"", ""te""))"),"")</f>
        <v/>
      </c>
      <c r="AW85" s="5" t="str">
        <f ca="1">IFERROR(__xludf.DUMMYFUNCTION("IF(AA85 = """", """", GOOGLETRANSLATE(AA85, ""en"", ""te""))"),"")</f>
        <v/>
      </c>
      <c r="AX85" s="5" t="str">
        <f ca="1">IFERROR(__xludf.DUMMYFUNCTION("IF(AB85 = """", """", GOOGLETRANSLATE(AB85, ""en"", ""te""))"),"")</f>
        <v/>
      </c>
    </row>
    <row r="86" spans="1:50" x14ac:dyDescent="0.25">
      <c r="A86" s="1">
        <v>99</v>
      </c>
      <c r="B86" s="1" t="s">
        <v>56</v>
      </c>
      <c r="C86" s="8">
        <v>45831</v>
      </c>
      <c r="D86" s="8">
        <v>45831</v>
      </c>
      <c r="E86" s="1">
        <v>1</v>
      </c>
      <c r="F86" s="1">
        <v>1</v>
      </c>
      <c r="G86" s="3" t="s">
        <v>351</v>
      </c>
      <c r="H86" s="4">
        <v>7.6273148148148151E-3</v>
      </c>
      <c r="I86" s="4">
        <v>1.2962962962962963E-3</v>
      </c>
      <c r="J86" s="4">
        <v>2.0486111111111113E-3</v>
      </c>
      <c r="K86" s="1" t="s">
        <v>58</v>
      </c>
      <c r="L86" s="1" t="s">
        <v>142</v>
      </c>
      <c r="M86" s="1" t="s">
        <v>14</v>
      </c>
      <c r="O86" s="1" t="s">
        <v>352</v>
      </c>
      <c r="P86" s="1" t="s">
        <v>352</v>
      </c>
      <c r="Q86" s="1" t="s">
        <v>61</v>
      </c>
      <c r="R86" s="1" t="s">
        <v>61</v>
      </c>
      <c r="S86" s="1" t="s">
        <v>61</v>
      </c>
      <c r="T86" s="1" t="s">
        <v>61</v>
      </c>
      <c r="V86" s="1" t="s">
        <v>61</v>
      </c>
      <c r="W86" s="1" t="s">
        <v>61</v>
      </c>
      <c r="X86" s="1" t="s">
        <v>61</v>
      </c>
      <c r="Y86" s="1" t="s">
        <v>353</v>
      </c>
      <c r="Z86" s="1" t="s">
        <v>354</v>
      </c>
      <c r="AA86" s="1" t="s">
        <v>355</v>
      </c>
      <c r="AB86" s="1"/>
      <c r="AC86" s="5" t="str">
        <f ca="1">IFERROR(__xludf.DUMMYFUNCTION("IF(Y86 = """", """", GOOGLETRANSLATE(Y86, ""en"", ""hi""))
"),"ज़िम्मेदारियों से भरा व्यस्त दिन")</f>
        <v>ज़िम्मेदारियों से भरा व्यस्त दिन</v>
      </c>
      <c r="AD86" s="5" t="str">
        <f ca="1">IFERROR(__xludf.DUMMYFUNCTION("IF(Z86 = """", """", GOOGLETRANSLATE(Z86, ""en"", ""hi""))"),"समय का उत्पादक उपयोग")</f>
        <v>समय का उत्पादक उपयोग</v>
      </c>
      <c r="AE86" s="5" t="str">
        <f ca="1">IFERROR(__xludf.DUMMYFUNCTION("IF(AA86 = """", """", GOOGLETRANSLATE(AA86, ""en"", ""hi""))"),"मंगल-केतु प्रभाव के कारण स्वास्थ्य पर नजर")</f>
        <v>मंगल-केतु प्रभाव के कारण स्वास्थ्य पर नजर</v>
      </c>
      <c r="AF86" s="5" t="str">
        <f ca="1">IFERROR(__xludf.DUMMYFUNCTION("IF(AB86 = """", """", GOOGLETRANSLATE(AB86, ""en"", ""hi""))"),"")</f>
        <v/>
      </c>
      <c r="AG86" s="5" t="str">
        <f ca="1">IFERROR(__xludf.DUMMYFUNCTION("IF(Y86 = """", """", GOOGLETRANSLATE(Y86, ""en"", ""mr""))"),"जबाबदाऱ्यांमध्ये व्यस्त दिवस")</f>
        <v>जबाबदाऱ्यांमध्ये व्यस्त दिवस</v>
      </c>
      <c r="AH86" s="5" t="str">
        <f ca="1">IFERROR(__xludf.DUMMYFUNCTION("IF(Z86 = """", """", GOOGLETRANSLATE(Z86, ""en"", ""mr""))"),"वेळेचा उत्पादक वापर")</f>
        <v>वेळेचा उत्पादक वापर</v>
      </c>
      <c r="AI86" s="5" t="str">
        <f ca="1">IFERROR(__xludf.DUMMYFUNCTION("IF(AA86 = """", """", GOOGLETRANSLATE(AA86, ""en"", ""mr""))"),"मंगळ-केतू प्रभावामुळे आरोग्य पहा")</f>
        <v>मंगळ-केतू प्रभावामुळे आरोग्य पहा</v>
      </c>
      <c r="AJ86" s="5" t="str">
        <f ca="1">IFERROR(__xludf.DUMMYFUNCTION("IF(AB86 = """", """", GOOGLETRANSLATE(AB86, ""en"", ""mr""))"),"")</f>
        <v/>
      </c>
      <c r="AK86" s="5" t="str">
        <f ca="1">IFERROR(__xludf.DUMMYFUNCTION("IF(Y86 = """", """", GOOGLETRANSLATE(Y86, ""en"", ""gu""))"),"જવાબદારીઓમાં વ્યસ્ત દિવસ")</f>
        <v>જવાબદારીઓમાં વ્યસ્ત દિવસ</v>
      </c>
      <c r="AL86" s="5" t="str">
        <f ca="1">IFERROR(__xludf.DUMMYFUNCTION("IF(Z86 = """", """", GOOGLETRANSLATE(Z86, ""en"", ""gu""))"),"સમયનો ઉત્પાદક ઉપયોગ")</f>
        <v>સમયનો ઉત્પાદક ઉપયોગ</v>
      </c>
      <c r="AM86" s="5" t="str">
        <f ca="1">IFERROR(__xludf.DUMMYFUNCTION("IF(AA86 = """", """", GOOGLETRANSLATE(AA86, ""en"", ""gu""))"),"મંગળ-કેતુની અસરથી સ્વાસ્થ્યનું ધ્યાન રાખો")</f>
        <v>મંગળ-કેતુની અસરથી સ્વાસ્થ્યનું ધ્યાન રાખો</v>
      </c>
      <c r="AN86" s="5" t="str">
        <f ca="1">IFERROR(__xludf.DUMMYFUNCTION("IF(AB86 = """", """", GOOGLETRANSLATE(AB86, ""en"", ""gu""))"),"")</f>
        <v/>
      </c>
      <c r="AO86" s="5" t="str">
        <f ca="1">IFERROR(__xludf.DUMMYFUNCTION("IF(Y86 = """", """", GOOGLETRANSLATE(Y86, ""en"", ""bn""))"),"দায়িত্ব নিয়ে ব্যস্ত দিন")</f>
        <v>দায়িত্ব নিয়ে ব্যস্ত দিন</v>
      </c>
      <c r="AP86" s="5" t="str">
        <f ca="1">IFERROR(__xludf.DUMMYFUNCTION("IF(Z86 = """", """", GOOGLETRANSLATE(Z86, ""en"", ""bn""))"),"সময়ের উৎপাদনশীল ব্যবহার")</f>
        <v>সময়ের উৎপাদনশীল ব্যবহার</v>
      </c>
      <c r="AQ86" s="5" t="str">
        <f ca="1">IFERROR(__xludf.DUMMYFUNCTION("IF(AA86 = """", """", GOOGLETRANSLATE(AA86, ""en"", ""bn""))"),"মঙ্গল-কেতু প্রভাবের কারণে স্বাস্থ্য দেখুন")</f>
        <v>মঙ্গল-কেতু প্রভাবের কারণে স্বাস্থ্য দেখুন</v>
      </c>
      <c r="AR86" s="5" t="str">
        <f ca="1">IFERROR(__xludf.DUMMYFUNCTION("IF(AB86 = """", """", GOOGLETRANSLATE(AB86, ""en"", ""bn""))"),"")</f>
        <v/>
      </c>
      <c r="AU86" s="5" t="str">
        <f ca="1">IFERROR(__xludf.DUMMYFUNCTION("IF(Y86 = """", """", GOOGLETRANSLATE(Y86, ""en"", ""te""))"),"బాధ్యతలతో తీరికలేని రోజు")</f>
        <v>బాధ్యతలతో తీరికలేని రోజు</v>
      </c>
      <c r="AV86" s="5" t="str">
        <f ca="1">IFERROR(__xludf.DUMMYFUNCTION("IF(Z86 = """", """", GOOGLETRANSLATE(Z86, ""en"", ""te""))"),"సమయం యొక్క ఉత్పాదక ఉపయోగం")</f>
        <v>సమయం యొక్క ఉత్పాదక ఉపయోగం</v>
      </c>
      <c r="AW86" s="5" t="str">
        <f ca="1">IFERROR(__xludf.DUMMYFUNCTION("IF(AA86 = """", """", GOOGLETRANSLATE(AA86, ""en"", ""te""))"),"Watch కుజుడు-కేతు ప్రభావం వల్ల ఆరోగ్యం")</f>
        <v>Watch కుజుడు-కేతు ప్రభావం వల్ల ఆరోగ్యం</v>
      </c>
      <c r="AX86" s="5" t="str">
        <f ca="1">IFERROR(__xludf.DUMMYFUNCTION("IF(AB86 = """", """", GOOGLETRANSLATE(AB86, ""en"", ""te""))"),"")</f>
        <v/>
      </c>
    </row>
    <row r="87" spans="1:50" x14ac:dyDescent="0.25">
      <c r="A87" s="1">
        <v>100</v>
      </c>
      <c r="B87" s="1" t="s">
        <v>56</v>
      </c>
      <c r="C87" s="8">
        <v>45831</v>
      </c>
      <c r="D87" s="8">
        <v>45831</v>
      </c>
      <c r="E87" s="1">
        <v>2</v>
      </c>
      <c r="F87" s="1">
        <v>1</v>
      </c>
      <c r="G87" s="3" t="s">
        <v>351</v>
      </c>
      <c r="H87" s="4">
        <v>7.6273148148148151E-3</v>
      </c>
      <c r="I87" s="4">
        <v>2.0486111111111113E-3</v>
      </c>
      <c r="J87" s="4">
        <v>2.3263888888888887E-3</v>
      </c>
      <c r="K87" s="1" t="s">
        <v>58</v>
      </c>
      <c r="L87" s="1" t="s">
        <v>90</v>
      </c>
      <c r="M87" s="1" t="s">
        <v>17</v>
      </c>
      <c r="O87" s="1" t="s">
        <v>61</v>
      </c>
      <c r="P87" s="1" t="s">
        <v>61</v>
      </c>
      <c r="Q87" s="1" t="s">
        <v>61</v>
      </c>
      <c r="R87" s="1" t="s">
        <v>352</v>
      </c>
      <c r="S87" s="1" t="s">
        <v>61</v>
      </c>
      <c r="T87" s="1" t="s">
        <v>61</v>
      </c>
      <c r="V87" s="1" t="s">
        <v>61</v>
      </c>
      <c r="W87" s="1" t="s">
        <v>61</v>
      </c>
      <c r="X87" s="1" t="s">
        <v>61</v>
      </c>
      <c r="Y87" s="1" t="s">
        <v>356</v>
      </c>
      <c r="Z87" s="1" t="s">
        <v>357</v>
      </c>
      <c r="AA87" s="1" t="s">
        <v>358</v>
      </c>
      <c r="AB87" s="1"/>
      <c r="AC87" s="5" t="str">
        <f ca="1">IFERROR(__xludf.DUMMYFUNCTION("IF(Y87 = """", """", GOOGLETRANSLATE(Y87, ""en"", ""hi""))
"),"अतिरिक्त कार्यभार")</f>
        <v>अतिरिक्त कार्यभार</v>
      </c>
      <c r="AD87" s="5" t="str">
        <f ca="1">IFERROR(__xludf.DUMMYFUNCTION("IF(Z87 = """", """", GOOGLETRANSLATE(Z87, ""en"", ""hi""))"),"परिवार और कार्य-जीवन संतुलन चुनौतीपूर्ण हो सकता है")</f>
        <v>परिवार और कार्य-जीवन संतुलन चुनौतीपूर्ण हो सकता है</v>
      </c>
      <c r="AE87" s="5" t="str">
        <f ca="1">IFERROR(__xludf.DUMMYFUNCTION("IF(AA87 = """", """", GOOGLETRANSLATE(AA87, ""en"", ""hi""))"),"प्रियजनों का सहयोग मददगार होगा")</f>
        <v>प्रियजनों का सहयोग मददगार होगा</v>
      </c>
      <c r="AF87" s="5" t="str">
        <f ca="1">IFERROR(__xludf.DUMMYFUNCTION("IF(AB87 = """", """", GOOGLETRANSLATE(AB87, ""en"", ""hi""))"),"")</f>
        <v/>
      </c>
      <c r="AG87" s="5" t="str">
        <f ca="1">IFERROR(__xludf.DUMMYFUNCTION("IF(Y87 = """", """", GOOGLETRANSLATE(Y87, ""en"", ""mr""))"),"अतिरिक्त कामाचा ताण")</f>
        <v>अतिरिक्त कामाचा ताण</v>
      </c>
      <c r="AH87" s="5" t="str">
        <f ca="1">IFERROR(__xludf.DUMMYFUNCTION("IF(Z87 = """", """", GOOGLETRANSLATE(Z87, ""en"", ""mr""))"),"कौटुंबिक आणि कार्य-जीवन संतुलन आव्हानात्मक असू शकते")</f>
        <v>कौटुंबिक आणि कार्य-जीवन संतुलन आव्हानात्मक असू शकते</v>
      </c>
      <c r="AI87" s="5" t="str">
        <f ca="1">IFERROR(__xludf.DUMMYFUNCTION("IF(AA87 = """", """", GOOGLETRANSLATE(AA87, ""en"", ""mr""))"),"प्रियजनांचे सहकार्य लाभेल")</f>
        <v>प्रियजनांचे सहकार्य लाभेल</v>
      </c>
      <c r="AJ87" s="5" t="str">
        <f ca="1">IFERROR(__xludf.DUMMYFUNCTION("IF(AB87 = """", """", GOOGLETRANSLATE(AB87, ""en"", ""mr""))"),"")</f>
        <v/>
      </c>
      <c r="AK87" s="5" t="str">
        <f ca="1">IFERROR(__xludf.DUMMYFUNCTION("IF(Y87 = """", """", GOOGLETRANSLATE(Y87, ""en"", ""gu""))"),"વધારાનો વર્કલોડ")</f>
        <v>વધારાનો વર્કલોડ</v>
      </c>
      <c r="AL87" s="5" t="str">
        <f ca="1">IFERROR(__xludf.DUMMYFUNCTION("IF(Z87 = """", """", GOOGLETRANSLATE(Z87, ""en"", ""gu""))"),"કૌટુંબિક અને કાર્ય-જીવન સંતુલન પડકારજનક હોઈ શકે છે")</f>
        <v>કૌટુંબિક અને કાર્ય-જીવન સંતુલન પડકારજનક હોઈ શકે છે</v>
      </c>
      <c r="AM87" s="5" t="str">
        <f ca="1">IFERROR(__xludf.DUMMYFUNCTION("IF(AA87 = """", """", GOOGLETRANSLATE(AA87, ""en"", ""gu""))"),"પ્રિયજનો તરફથી સહયોગ મળશે")</f>
        <v>પ્રિયજનો તરફથી સહયોગ મળશે</v>
      </c>
      <c r="AN87" s="5" t="str">
        <f ca="1">IFERROR(__xludf.DUMMYFUNCTION("IF(AB87 = """", """", GOOGLETRANSLATE(AB87, ""en"", ""gu""))"),"")</f>
        <v/>
      </c>
      <c r="AO87" s="5" t="str">
        <f ca="1">IFERROR(__xludf.DUMMYFUNCTION("IF(Y87 = """", """", GOOGLETRANSLATE(Y87, ""en"", ""bn""))"),"অতিরিক্ত কাজের চাপ")</f>
        <v>অতিরিক্ত কাজের চাপ</v>
      </c>
      <c r="AP87" s="5" t="str">
        <f ca="1">IFERROR(__xludf.DUMMYFUNCTION("IF(Z87 = """", """", GOOGLETRANSLATE(Z87, ""en"", ""bn""))"),"পারিবারিক এবং কর্মজীবনের ভারসাম্য চ্যালেঞ্জিং হতে পারে")</f>
        <v>পারিবারিক এবং কর্মজীবনের ভারসাম্য চ্যালেঞ্জিং হতে পারে</v>
      </c>
      <c r="AQ87" s="5" t="str">
        <f ca="1">IFERROR(__xludf.DUMMYFUNCTION("IF(AA87 = """", """", GOOGLETRANSLATE(AA87, ""en"", ""bn""))"),"প্রিয়জনের সমর্থন সাহায্য করবে")</f>
        <v>প্রিয়জনের সমর্থন সাহায্য করবে</v>
      </c>
      <c r="AR87" s="5" t="str">
        <f ca="1">IFERROR(__xludf.DUMMYFUNCTION("IF(AB87 = """", """", GOOGLETRANSLATE(AB87, ""en"", ""bn""))"),"")</f>
        <v/>
      </c>
      <c r="AU87" s="5" t="str">
        <f ca="1">IFERROR(__xludf.DUMMYFUNCTION("IF(Y87 = """", """", GOOGLETRANSLATE(Y87, ""en"", ""te""))"),"అదనపు పనిభారం")</f>
        <v>అదనపు పనిభారం</v>
      </c>
      <c r="AV87" s="5" t="str">
        <f ca="1">IFERROR(__xludf.DUMMYFUNCTION("IF(Z87 = """", """", GOOGLETRANSLATE(Z87, ""en"", ""te""))"),"కుటుంబం మరియు పని-జీవిత సమతుల్యత సవాలుగా ఉండవచ్చు")</f>
        <v>కుటుంబం మరియు పని-జీవిత సమతుల్యత సవాలుగా ఉండవచ్చు</v>
      </c>
      <c r="AW87" s="5" t="str">
        <f ca="1">IFERROR(__xludf.DUMMYFUNCTION("IF(AA87 = """", """", GOOGLETRANSLATE(AA87, ""en"", ""te""))"),"ప్రియమైనవారి నుండి మద్దతు సహాయం చేస్తుంది")</f>
        <v>ప్రియమైనవారి నుండి మద్దతు సహాయం చేస్తుంది</v>
      </c>
      <c r="AX87" s="5" t="str">
        <f ca="1">IFERROR(__xludf.DUMMYFUNCTION("IF(AB87 = """", """", GOOGLETRANSLATE(AB87, ""en"", ""te""))"),"")</f>
        <v/>
      </c>
    </row>
    <row r="88" spans="1:50" x14ac:dyDescent="0.25">
      <c r="A88" s="1">
        <v>101</v>
      </c>
      <c r="B88" s="1" t="s">
        <v>56</v>
      </c>
      <c r="C88" s="8">
        <v>45831</v>
      </c>
      <c r="D88" s="8">
        <v>45831</v>
      </c>
      <c r="E88" s="1">
        <v>3</v>
      </c>
      <c r="F88" s="1">
        <v>1</v>
      </c>
      <c r="G88" s="3" t="s">
        <v>351</v>
      </c>
      <c r="H88" s="4">
        <v>7.6273148148148151E-3</v>
      </c>
      <c r="I88" s="4">
        <v>2.3263888888888887E-3</v>
      </c>
      <c r="J88" s="4">
        <v>2.9166666666666668E-3</v>
      </c>
      <c r="K88" s="1" t="s">
        <v>58</v>
      </c>
      <c r="L88" s="1" t="s">
        <v>97</v>
      </c>
      <c r="M88" s="1" t="s">
        <v>19</v>
      </c>
      <c r="O88" s="1" t="s">
        <v>61</v>
      </c>
      <c r="P88" s="1" t="s">
        <v>61</v>
      </c>
      <c r="Q88" s="1" t="s">
        <v>61</v>
      </c>
      <c r="R88" s="1" t="s">
        <v>61</v>
      </c>
      <c r="S88" s="1" t="s">
        <v>61</v>
      </c>
      <c r="T88" s="1" t="s">
        <v>352</v>
      </c>
      <c r="V88" s="1" t="s">
        <v>61</v>
      </c>
      <c r="W88" s="1" t="s">
        <v>61</v>
      </c>
      <c r="X88" s="1" t="s">
        <v>61</v>
      </c>
      <c r="Y88" s="1" t="s">
        <v>359</v>
      </c>
      <c r="Z88" s="1" t="s">
        <v>360</v>
      </c>
      <c r="AA88" s="1" t="s">
        <v>361</v>
      </c>
      <c r="AB88" s="1"/>
      <c r="AC88" s="5" t="str">
        <f ca="1">IFERROR(__xludf.DUMMYFUNCTION("IF(Y88 = """", """", GOOGLETRANSLATE(Y88, ""en"", ""hi""))
"),"इस सप्ताह अदालती फैसलों से बचें")</f>
        <v>इस सप्ताह अदालती फैसलों से बचें</v>
      </c>
      <c r="AD88" s="5" t="str">
        <f ca="1">IFERROR(__xludf.DUMMYFUNCTION("IF(Z88 = """", """", GOOGLETRANSLATE(Z88, ""en"", ""hi""))"),"वाणी और वादों पर नियंत्रण रखें")</f>
        <v>वाणी और वादों पर नियंत्रण रखें</v>
      </c>
      <c r="AE88" s="5" t="str">
        <f ca="1">IFERROR(__xludf.DUMMYFUNCTION("IF(AA88 = """", """", GOOGLETRANSLATE(AA88, ""en"", ""hi""))"),"शांत और धैर्यवान रहें")</f>
        <v>शांत और धैर्यवान रहें</v>
      </c>
      <c r="AF88" s="5" t="str">
        <f ca="1">IFERROR(__xludf.DUMMYFUNCTION("IF(AB88 = """", """", GOOGLETRANSLATE(AB88, ""en"", ""hi""))"),"")</f>
        <v/>
      </c>
      <c r="AG88" s="5" t="str">
        <f ca="1">IFERROR(__xludf.DUMMYFUNCTION("IF(Y88 = """", """", GOOGLETRANSLATE(Y88, ""en"", ""mr""))"),"या आठवड्यात न्यायालयीन निर्णय टाळा")</f>
        <v>या आठवड्यात न्यायालयीन निर्णय टाळा</v>
      </c>
      <c r="AH88" s="5" t="str">
        <f ca="1">IFERROR(__xludf.DUMMYFUNCTION("IF(Z88 = """", """", GOOGLETRANSLATE(Z88, ""en"", ""mr""))"),"वाणी आणि वचनांवर नियंत्रण ठेवा")</f>
        <v>वाणी आणि वचनांवर नियंत्रण ठेवा</v>
      </c>
      <c r="AI88" s="5" t="str">
        <f ca="1">IFERROR(__xludf.DUMMYFUNCTION("IF(AA88 = """", """", GOOGLETRANSLATE(AA88, ""en"", ""mr""))"),"शांत आणि धीर धरा")</f>
        <v>शांत आणि धीर धरा</v>
      </c>
      <c r="AJ88" s="5" t="str">
        <f ca="1">IFERROR(__xludf.DUMMYFUNCTION("IF(AB88 = """", """", GOOGLETRANSLATE(AB88, ""en"", ""mr""))"),"")</f>
        <v/>
      </c>
      <c r="AK88" s="5" t="str">
        <f ca="1">IFERROR(__xludf.DUMMYFUNCTION("IF(Y88 = """", """", GOOGLETRANSLATE(Y88, ""en"", ""gu""))"),"આ અઠવાડિયે કોર્ટના નિર્ણયો ટાળો")</f>
        <v>આ અઠવાડિયે કોર્ટના નિર્ણયો ટાળો</v>
      </c>
      <c r="AL88" s="5" t="str">
        <f ca="1">IFERROR(__xludf.DUMMYFUNCTION("IF(Z88 = """", """", GOOGLETRANSLATE(Z88, ""en"", ""gu""))"),"વાણી અને વચનો પર નિયંત્રણ રાખો")</f>
        <v>વાણી અને વચનો પર નિયંત્રણ રાખો</v>
      </c>
      <c r="AM88" s="5" t="str">
        <f ca="1">IFERROR(__xludf.DUMMYFUNCTION("IF(AA88 = """", """", GOOGLETRANSLATE(AA88, ""en"", ""gu""))"),"શાંત અને ધીરજ રાખો")</f>
        <v>શાંત અને ધીરજ રાખો</v>
      </c>
      <c r="AN88" s="5" t="str">
        <f ca="1">IFERROR(__xludf.DUMMYFUNCTION("IF(AB88 = """", """", GOOGLETRANSLATE(AB88, ""en"", ""gu""))"),"")</f>
        <v/>
      </c>
      <c r="AO88" s="5" t="str">
        <f ca="1">IFERROR(__xludf.DUMMYFUNCTION("IF(Y88 = """", """", GOOGLETRANSLATE(Y88, ""en"", ""bn""))"),"এই সপ্তাহে আদালতের সিদ্ধান্ত এড়িয়ে চলুন")</f>
        <v>এই সপ্তাহে আদালতের সিদ্ধান্ত এড়িয়ে চলুন</v>
      </c>
      <c r="AP88" s="5" t="str">
        <f ca="1">IFERROR(__xludf.DUMMYFUNCTION("IF(Z88 = """", """", GOOGLETRANSLATE(Z88, ""en"", ""bn""))"),"বক্তৃতা এবং প্রতিশ্রুতি নিয়ন্ত্রণ করুন")</f>
        <v>বক্তৃতা এবং প্রতিশ্রুতি নিয়ন্ত্রণ করুন</v>
      </c>
      <c r="AQ88" s="5" t="str">
        <f ca="1">IFERROR(__xludf.DUMMYFUNCTION("IF(AA88 = """", """", GOOGLETRANSLATE(AA88, ""en"", ""bn""))"),"শান্ত এবং ধৈর্যশীল থাকুন")</f>
        <v>শান্ত এবং ধৈর্যশীল থাকুন</v>
      </c>
      <c r="AR88" s="5" t="str">
        <f ca="1">IFERROR(__xludf.DUMMYFUNCTION("IF(AB88 = """", """", GOOGLETRANSLATE(AB88, ""en"", ""bn""))"),"")</f>
        <v/>
      </c>
      <c r="AU88" s="5" t="str">
        <f ca="1">IFERROR(__xludf.DUMMYFUNCTION("IF(Y88 = """", """", GOOGLETRANSLATE(Y88, ""en"", ""te""))"),"ఈ వారం కోర్టు నిర్ణయాలకు దూరంగా ఉండండి")</f>
        <v>ఈ వారం కోర్టు నిర్ణయాలకు దూరంగా ఉండండి</v>
      </c>
      <c r="AV88" s="5" t="str">
        <f ca="1">IFERROR(__xludf.DUMMYFUNCTION("IF(Z88 = """", """", GOOGLETRANSLATE(Z88, ""en"", ""te""))"),"ప్రసంగం మరియు వాగ్దానాలను నియంత్రించండి")</f>
        <v>ప్రసంగం మరియు వాగ్దానాలను నియంత్రించండి</v>
      </c>
      <c r="AW88" s="5" t="str">
        <f ca="1">IFERROR(__xludf.DUMMYFUNCTION("IF(AA88 = """", """", GOOGLETRANSLATE(AA88, ""en"", ""te""))"),"ప్రశాంతంగా మరియు ఓపికగా ఉండండి")</f>
        <v>ప్రశాంతంగా మరియు ఓపికగా ఉండండి</v>
      </c>
      <c r="AX88" s="5" t="str">
        <f ca="1">IFERROR(__xludf.DUMMYFUNCTION("IF(AB88 = """", """", GOOGLETRANSLATE(AB88, ""en"", ""te""))"),"")</f>
        <v/>
      </c>
    </row>
    <row r="89" spans="1:50" x14ac:dyDescent="0.25">
      <c r="A89" s="1">
        <v>102</v>
      </c>
      <c r="B89" s="1" t="s">
        <v>56</v>
      </c>
      <c r="C89" s="8">
        <v>45831</v>
      </c>
      <c r="D89" s="8">
        <v>45831</v>
      </c>
      <c r="E89" s="1">
        <v>4</v>
      </c>
      <c r="F89" s="1">
        <v>1</v>
      </c>
      <c r="G89" s="3" t="s">
        <v>351</v>
      </c>
      <c r="H89" s="4">
        <v>7.6273148148148151E-3</v>
      </c>
      <c r="I89" s="4">
        <v>2.9166666666666668E-3</v>
      </c>
      <c r="J89" s="4">
        <v>3.7384259259259259E-3</v>
      </c>
      <c r="K89" s="1" t="s">
        <v>58</v>
      </c>
      <c r="L89" s="1" t="s">
        <v>102</v>
      </c>
      <c r="M89" s="1" t="s">
        <v>14</v>
      </c>
      <c r="O89" s="1" t="s">
        <v>61</v>
      </c>
      <c r="P89" s="1" t="s">
        <v>61</v>
      </c>
      <c r="Q89" s="1" t="s">
        <v>61</v>
      </c>
      <c r="R89" s="1" t="s">
        <v>61</v>
      </c>
      <c r="S89" s="1" t="s">
        <v>61</v>
      </c>
      <c r="T89" s="1" t="s">
        <v>61</v>
      </c>
      <c r="V89" s="1" t="s">
        <v>61</v>
      </c>
      <c r="W89" s="1" t="s">
        <v>61</v>
      </c>
      <c r="X89" s="1" t="s">
        <v>61</v>
      </c>
      <c r="Y89" s="1" t="s">
        <v>362</v>
      </c>
      <c r="Z89" s="1" t="s">
        <v>363</v>
      </c>
      <c r="AA89" s="1" t="s">
        <v>364</v>
      </c>
      <c r="AB89" s="1"/>
      <c r="AC89" s="5" t="str">
        <f ca="1">IFERROR(__xludf.DUMMYFUNCTION("IF(Y89 = """", """", GOOGLETRANSLATE(Y89, ""en"", ""hi""))
"),"इस सप्ताह उच्च उतार-चढ़ाव")</f>
        <v>इस सप्ताह उच्च उतार-चढ़ाव</v>
      </c>
      <c r="AD89" s="5" t="str">
        <f ca="1">IFERROR(__xludf.DUMMYFUNCTION("IF(Z89 = """", """", GOOGLETRANSLATE(Z89, ""en"", ""hi""))"),"इस सकारात्मक दिन का बुद्धिमानी से उपयोग करें")</f>
        <v>इस सकारात्मक दिन का बुद्धिमानी से उपयोग करें</v>
      </c>
      <c r="AE89" s="5" t="str">
        <f ca="1">IFERROR(__xludf.DUMMYFUNCTION("IF(AA89 = """", """", GOOGLETRANSLATE(AA89, ""en"", ""hi""))"),"पूर्वाग्रही सोच और तर्कों से बचें")</f>
        <v>पूर्वाग्रही सोच और तर्कों से बचें</v>
      </c>
      <c r="AF89" s="5" t="str">
        <f ca="1">IFERROR(__xludf.DUMMYFUNCTION("IF(AB89 = """", """", GOOGLETRANSLATE(AB89, ""en"", ""hi""))"),"")</f>
        <v/>
      </c>
      <c r="AG89" s="5" t="str">
        <f ca="1">IFERROR(__xludf.DUMMYFUNCTION("IF(Y89 = """", """", GOOGLETRANSLATE(Y89, ""en"", ""mr""))"),"या आठवड्यात उच्च चढ-उतार")</f>
        <v>या आठवड्यात उच्च चढ-उतार</v>
      </c>
      <c r="AH89" s="5" t="str">
        <f ca="1">IFERROR(__xludf.DUMMYFUNCTION("IF(Z89 = """", """", GOOGLETRANSLATE(Z89, ""en"", ""mr""))"),"या सकारात्मक दिवसाचा हुशारीने वापर करा")</f>
        <v>या सकारात्मक दिवसाचा हुशारीने वापर करा</v>
      </c>
      <c r="AI89" s="5" t="str">
        <f ca="1">IFERROR(__xludf.DUMMYFUNCTION("IF(AA89 = """", """", GOOGLETRANSLATE(AA89, ""en"", ""mr""))"),"पूर्वग्रहदूषित विचार आणि वाद टाळा")</f>
        <v>पूर्वग्रहदूषित विचार आणि वाद टाळा</v>
      </c>
      <c r="AJ89" s="5" t="str">
        <f ca="1">IFERROR(__xludf.DUMMYFUNCTION("IF(AB89 = """", """", GOOGLETRANSLATE(AB89, ""en"", ""mr""))"),"")</f>
        <v/>
      </c>
      <c r="AK89" s="5" t="str">
        <f ca="1">IFERROR(__xludf.DUMMYFUNCTION("IF(Y89 = """", """", GOOGLETRANSLATE(Y89, ""en"", ""gu""))"),"આ સપ્તાહમાં ઊંચા ઉતાર-ચઢાવ")</f>
        <v>આ સપ્તાહમાં ઊંચા ઉતાર-ચઢાવ</v>
      </c>
      <c r="AL89" s="5" t="str">
        <f ca="1">IFERROR(__xludf.DUMMYFUNCTION("IF(Z89 = """", """", GOOGLETRANSLATE(Z89, ""en"", ""gu""))"),"આ સકારાત્મક દિવસનો સમજદારીપૂર્વક ઉપયોગ કરો")</f>
        <v>આ સકારાત્મક દિવસનો સમજદારીપૂર્વક ઉપયોગ કરો</v>
      </c>
      <c r="AM89" s="5" t="str">
        <f ca="1">IFERROR(__xludf.DUMMYFUNCTION("IF(AA89 = """", """", GOOGLETRANSLATE(AA89, ""en"", ""gu""))"),"પૂર્વગ્રહયુક્ત વિચાર અને દલીલો ટાળો")</f>
        <v>પૂર્વગ્રહયુક્ત વિચાર અને દલીલો ટાળો</v>
      </c>
      <c r="AN89" s="5" t="str">
        <f ca="1">IFERROR(__xludf.DUMMYFUNCTION("IF(AB89 = """", """", GOOGLETRANSLATE(AB89, ""en"", ""gu""))"),"")</f>
        <v/>
      </c>
      <c r="AO89" s="5" t="str">
        <f ca="1">IFERROR(__xludf.DUMMYFUNCTION("IF(Y89 = """", """", GOOGLETRANSLATE(Y89, ""en"", ""bn""))"),"এই সপ্তাহে উচ্চ উত্থান-পতন")</f>
        <v>এই সপ্তাহে উচ্চ উত্থান-পতন</v>
      </c>
      <c r="AP89" s="5" t="str">
        <f ca="1">IFERROR(__xludf.DUMMYFUNCTION("IF(Z89 = """", """", GOOGLETRANSLATE(Z89, ""en"", ""bn""))"),"এই ইতিবাচক দিনটি বুদ্ধিমানের সাথে ব্যবহার করুন")</f>
        <v>এই ইতিবাচক দিনটি বুদ্ধিমানের সাথে ব্যবহার করুন</v>
      </c>
      <c r="AQ89" s="5" t="str">
        <f ca="1">IFERROR(__xludf.DUMMYFUNCTION("IF(AA89 = """", """", GOOGLETRANSLATE(AA89, ""en"", ""bn""))"),"কুসংস্কারপূর্ণ চিন্তাভাবনা এবং তর্ক এড়িয়ে চলুন")</f>
        <v>কুসংস্কারপূর্ণ চিন্তাভাবনা এবং তর্ক এড়িয়ে চলুন</v>
      </c>
      <c r="AR89" s="5" t="str">
        <f ca="1">IFERROR(__xludf.DUMMYFUNCTION("IF(AB89 = """", """", GOOGLETRANSLATE(AB89, ""en"", ""bn""))"),"")</f>
        <v/>
      </c>
      <c r="AU89" s="5" t="str">
        <f ca="1">IFERROR(__xludf.DUMMYFUNCTION("IF(Y89 = """", """", GOOGLETRANSLATE(Y89, ""en"", ""te""))"),"ఈ వారం హెచ్చు తగ్గులు")</f>
        <v>ఈ వారం హెచ్చు తగ్గులు</v>
      </c>
      <c r="AV89" s="5" t="str">
        <f ca="1">IFERROR(__xludf.DUMMYFUNCTION("IF(Z89 = """", """", GOOGLETRANSLATE(Z89, ""en"", ""te""))"),"ఈ సానుకూల రోజును తెలివిగా ఉపయోగించుకోండి")</f>
        <v>ఈ సానుకూల రోజును తెలివిగా ఉపయోగించుకోండి</v>
      </c>
      <c r="AW89" s="5" t="str">
        <f ca="1">IFERROR(__xludf.DUMMYFUNCTION("IF(AA89 = """", """", GOOGLETRANSLATE(AA89, ""en"", ""te""))"),"పక్షపాత ఆలోచనలు మరియు వాదనలు మానుకోండి")</f>
        <v>పక్షపాత ఆలోచనలు మరియు వాదనలు మానుకోండి</v>
      </c>
      <c r="AX89" s="5" t="str">
        <f ca="1">IFERROR(__xludf.DUMMYFUNCTION("IF(AB89 = """", """", GOOGLETRANSLATE(AB89, ""en"", ""te""))"),"")</f>
        <v/>
      </c>
    </row>
    <row r="90" spans="1:50" x14ac:dyDescent="0.25">
      <c r="A90" s="1">
        <v>103</v>
      </c>
      <c r="B90" s="1" t="s">
        <v>56</v>
      </c>
      <c r="C90" s="8">
        <v>45831</v>
      </c>
      <c r="D90" s="8">
        <v>45831</v>
      </c>
      <c r="E90" s="1">
        <v>5</v>
      </c>
      <c r="F90" s="1">
        <v>1</v>
      </c>
      <c r="G90" s="3" t="s">
        <v>351</v>
      </c>
      <c r="H90" s="4">
        <v>7.6273148148148151E-3</v>
      </c>
      <c r="I90" s="4">
        <v>3.7384259259259259E-3</v>
      </c>
      <c r="J90" s="4">
        <v>4.409722222222222E-3</v>
      </c>
      <c r="K90" s="1" t="s">
        <v>58</v>
      </c>
      <c r="L90" s="1" t="s">
        <v>108</v>
      </c>
      <c r="M90" s="1" t="s">
        <v>17</v>
      </c>
      <c r="O90" s="1" t="s">
        <v>61</v>
      </c>
      <c r="P90" s="1" t="s">
        <v>61</v>
      </c>
      <c r="Q90" s="1" t="s">
        <v>61</v>
      </c>
      <c r="R90" s="1" t="s">
        <v>352</v>
      </c>
      <c r="S90" s="1" t="s">
        <v>61</v>
      </c>
      <c r="T90" s="1" t="s">
        <v>61</v>
      </c>
      <c r="V90" s="1" t="s">
        <v>61</v>
      </c>
      <c r="W90" s="1" t="s">
        <v>61</v>
      </c>
      <c r="X90" s="1" t="s">
        <v>61</v>
      </c>
      <c r="Y90" s="1" t="s">
        <v>365</v>
      </c>
      <c r="Z90" s="1" t="s">
        <v>366</v>
      </c>
      <c r="AA90" s="1" t="s">
        <v>367</v>
      </c>
      <c r="AB90" s="1"/>
      <c r="AC90" s="5" t="str">
        <f ca="1">IFERROR(__xludf.DUMMYFUNCTION("IF(Y90 = """", """", GOOGLETRANSLATE(Y90, ""en"", ""hi""))
"),"भारी कार्यभार")</f>
        <v>भारी कार्यभार</v>
      </c>
      <c r="AD90" s="5" t="str">
        <f ca="1">IFERROR(__xludf.DUMMYFUNCTION("IF(Z90 = """", """", GOOGLETRANSLATE(Z90, ""en"", ""hi""))"),"मधुरभाषी बनें")</f>
        <v>मधुरभाषी बनें</v>
      </c>
      <c r="AE90" s="5" t="str">
        <f ca="1">IFERROR(__xludf.DUMMYFUNCTION("IF(AA90 = """", """", GOOGLETRANSLATE(AA90, ""en"", ""hi""))"),"स्वास्थ्य का विशेष ध्यान रखें, फिसलने या चोट लगने से बचें")</f>
        <v>स्वास्थ्य का विशेष ध्यान रखें, फिसलने या चोट लगने से बचें</v>
      </c>
      <c r="AF90" s="5" t="str">
        <f ca="1">IFERROR(__xludf.DUMMYFUNCTION("IF(AB90 = """", """", GOOGLETRANSLATE(AB90, ""en"", ""hi""))"),"")</f>
        <v/>
      </c>
      <c r="AG90" s="5" t="str">
        <f ca="1">IFERROR(__xludf.DUMMYFUNCTION("IF(Y90 = """", """", GOOGLETRANSLATE(Y90, ""en"", ""mr""))"),"कामाचा प्रचंड ताण")</f>
        <v>कामाचा प्रचंड ताण</v>
      </c>
      <c r="AH90" s="5" t="str">
        <f ca="1">IFERROR(__xludf.DUMMYFUNCTION("IF(Z90 = """", """", GOOGLETRANSLATE(Z90, ""en"", ""mr""))"),"गोड बोलणारे व्हा")</f>
        <v>गोड बोलणारे व्हा</v>
      </c>
      <c r="AI90" s="5" t="str">
        <f ca="1">IFERROR(__xludf.DUMMYFUNCTION("IF(AA90 = """", """", GOOGLETRANSLATE(AA90, ""en"", ""mr""))")," आरोग्याची अतिरिक्त काळजी घ्या, घसरणे किंवा जखम टाळा")</f>
        <v xml:space="preserve"> आरोग्याची अतिरिक्त काळजी घ्या, घसरणे किंवा जखम टाळा</v>
      </c>
      <c r="AJ90" s="5" t="str">
        <f ca="1">IFERROR(__xludf.DUMMYFUNCTION("IF(AB90 = """", """", GOOGLETRANSLATE(AB90, ""en"", ""mr""))"),"")</f>
        <v/>
      </c>
      <c r="AK90" s="5" t="str">
        <f ca="1">IFERROR(__xludf.DUMMYFUNCTION("IF(Y90 = """", """", GOOGLETRANSLATE(Y90, ""en"", ""gu""))"),"ભારે કામનું ભારણ")</f>
        <v>ભારે કામનું ભારણ</v>
      </c>
      <c r="AL90" s="5" t="str">
        <f ca="1">IFERROR(__xludf.DUMMYFUNCTION("IF(Z90 = """", """", GOOGLETRANSLATE(Z90, ""en"", ""gu""))"),"મધુર બોલો")</f>
        <v>મધુર બોલો</v>
      </c>
      <c r="AM90" s="5" t="str">
        <f ca="1">IFERROR(__xludf.DUMMYFUNCTION("IF(AA90 = """", """", GOOGLETRANSLATE(AA90, ""en"", ""gu""))")," સ્વાસ્થ્યનું વિશેષ ધ્યાન રાખો, સ્લિપ અથવા ઇજાઓ ટાળો")</f>
        <v xml:space="preserve"> સ્વાસ્થ્યનું વિશેષ ધ્યાન રાખો, સ્લિપ અથવા ઇજાઓ ટાળો</v>
      </c>
      <c r="AN90" s="5" t="str">
        <f ca="1">IFERROR(__xludf.DUMMYFUNCTION("IF(AB90 = """", """", GOOGLETRANSLATE(AB90, ""en"", ""gu""))"),"")</f>
        <v/>
      </c>
      <c r="AO90" s="5" t="str">
        <f ca="1">IFERROR(__xludf.DUMMYFUNCTION("IF(Y90 = """", """", GOOGLETRANSLATE(Y90, ""en"", ""bn""))"),"ভারী কাজের চাপ")</f>
        <v>ভারী কাজের চাপ</v>
      </c>
      <c r="AP90" s="5" t="str">
        <f ca="1">IFERROR(__xludf.DUMMYFUNCTION("IF(Z90 = """", """", GOOGLETRANSLATE(Z90, ""en"", ""bn""))"),"মিষ্টভাষী হও")</f>
        <v>মিষ্টভাষী হও</v>
      </c>
      <c r="AQ90" s="5" t="str">
        <f ca="1">IFERROR(__xludf.DUMMYFUNCTION("IF(AA90 = """", """", GOOGLETRANSLATE(AA90, ""en"", ""bn""))")," স্বাস্থ্যের অতিরিক্ত যত্ন নিন, স্লিপ বা আঘাত এড়ান")</f>
        <v xml:space="preserve"> স্বাস্থ্যের অতিরিক্ত যত্ন নিন, স্লিপ বা আঘাত এড়ান</v>
      </c>
      <c r="AR90" s="5" t="str">
        <f ca="1">IFERROR(__xludf.DUMMYFUNCTION("IF(AB90 = """", """", GOOGLETRANSLATE(AB90, ""en"", ""bn""))"),"")</f>
        <v/>
      </c>
      <c r="AU90" s="5" t="str">
        <f ca="1">IFERROR(__xludf.DUMMYFUNCTION("IF(Y90 = """", """", GOOGLETRANSLATE(Y90, ""en"", ""te""))"),"అధిక పనిభారం")</f>
        <v>అధిక పనిభారం</v>
      </c>
      <c r="AV90" s="5" t="str">
        <f ca="1">IFERROR(__xludf.DUMMYFUNCTION("IF(Z90 = """", """", GOOGLETRANSLATE(Z90, ""en"", ""te""))"),"మధురంగా ​​మాట్లాడు")</f>
        <v>మధురంగా ​​మాట్లాడు</v>
      </c>
      <c r="AW90" s="5" t="str">
        <f ca="1">IFERROR(__xludf.DUMMYFUNCTION("IF(AA90 = """", """", GOOGLETRANSLATE(AA90, ""en"", ""te""))")," ఆరోగ్యంపై అదనపు శ్రద్ధ వహించండి, స్లిప్స్ లేదా గాయాలు నివారించండి")</f>
        <v xml:space="preserve"> ఆరోగ్యంపై అదనపు శ్రద్ధ వహించండి, స్లిప్స్ లేదా గాయాలు నివారించండి</v>
      </c>
      <c r="AX90" s="5" t="str">
        <f ca="1">IFERROR(__xludf.DUMMYFUNCTION("IF(AB90 = """", """", GOOGLETRANSLATE(AB90, ""en"", ""te""))"),"")</f>
        <v/>
      </c>
    </row>
    <row r="91" spans="1:50" x14ac:dyDescent="0.25">
      <c r="A91" s="1">
        <v>104</v>
      </c>
      <c r="B91" s="1" t="s">
        <v>56</v>
      </c>
      <c r="C91" s="8">
        <v>45831</v>
      </c>
      <c r="D91" s="8">
        <v>45831</v>
      </c>
      <c r="E91" s="1">
        <v>6</v>
      </c>
      <c r="F91" s="1">
        <v>1</v>
      </c>
      <c r="G91" s="3" t="s">
        <v>351</v>
      </c>
      <c r="H91" s="4">
        <v>7.6273148148148151E-3</v>
      </c>
      <c r="I91" s="4">
        <v>4.409722222222222E-3</v>
      </c>
      <c r="J91" s="4">
        <v>4.7685185185185183E-3</v>
      </c>
      <c r="K91" s="1" t="s">
        <v>58</v>
      </c>
      <c r="L91" s="1" t="s">
        <v>113</v>
      </c>
      <c r="M91" s="1" t="s">
        <v>14</v>
      </c>
      <c r="O91" s="1" t="s">
        <v>352</v>
      </c>
      <c r="P91" s="1" t="s">
        <v>61</v>
      </c>
      <c r="Q91" s="1" t="s">
        <v>61</v>
      </c>
      <c r="R91" s="1" t="s">
        <v>61</v>
      </c>
      <c r="S91" s="1" t="s">
        <v>61</v>
      </c>
      <c r="T91" s="1" t="s">
        <v>61</v>
      </c>
      <c r="V91" s="1" t="s">
        <v>61</v>
      </c>
      <c r="W91" s="1" t="s">
        <v>61</v>
      </c>
      <c r="X91" s="1" t="s">
        <v>61</v>
      </c>
      <c r="Y91" s="1" t="s">
        <v>368</v>
      </c>
      <c r="Z91" s="1" t="s">
        <v>369</v>
      </c>
      <c r="AA91" s="1" t="s">
        <v>370</v>
      </c>
      <c r="AB91" s="1"/>
      <c r="AC91" s="5" t="str">
        <f ca="1">IFERROR(__xludf.DUMMYFUNCTION("IF(Y91 = """", """", GOOGLETRANSLATE(Y91, ""en"", ""hi""))
"),"परिणामों के लिए कड़ी मेहनत की आवश्यकता")</f>
        <v>परिणामों के लिए कड़ी मेहनत की आवश्यकता</v>
      </c>
      <c r="AD91" s="5" t="str">
        <f ca="1">IFERROR(__xludf.DUMMYFUNCTION("IF(Z91 = """", """", GOOGLETRANSLATE(Z91, ""en"", ""hi""))"),"कम भाग्य, अधिक योजना और प्रयास")</f>
        <v>कम भाग्य, अधिक योजना और प्रयास</v>
      </c>
      <c r="AE91" s="5" t="str">
        <f ca="1">IFERROR(__xludf.DUMMYFUNCTION("IF(AA91 = """", """", GOOGLETRANSLATE(AA91, ""en"", ""hi""))"),"थकावट महसूस हो सकती है")</f>
        <v>थकावट महसूस हो सकती है</v>
      </c>
      <c r="AF91" s="5" t="str">
        <f ca="1">IFERROR(__xludf.DUMMYFUNCTION("IF(AB91 = """", """", GOOGLETRANSLATE(AB91, ""en"", ""hi""))"),"")</f>
        <v/>
      </c>
      <c r="AG91" s="5" t="str">
        <f ca="1">IFERROR(__xludf.DUMMYFUNCTION("IF(Y91 = """", """", GOOGLETRANSLATE(Y91, ""en"", ""mr""))"),"परिणामांसाठी कठोर परिश्रम आवश्यक आहेत")</f>
        <v>परिणामांसाठी कठोर परिश्रम आवश्यक आहेत</v>
      </c>
      <c r="AH91" s="5" t="str">
        <f ca="1">IFERROR(__xludf.DUMMYFUNCTION("IF(Z91 = """", """", GOOGLETRANSLATE(Z91, ""en"", ""mr""))")," कमी नशीब, अधिक नियोजन आणि प्रयत्न ")</f>
        <v xml:space="preserve"> कमी नशीब, अधिक नियोजन आणि प्रयत्न </v>
      </c>
      <c r="AI91" s="5" t="str">
        <f ca="1">IFERROR(__xludf.DUMMYFUNCTION("IF(AA91 = """", """", GOOGLETRANSLATE(AA91, ""en"", ""mr""))"),"थकवा जाणवू शकतो")</f>
        <v>थकवा जाणवू शकतो</v>
      </c>
      <c r="AJ91" s="5" t="str">
        <f ca="1">IFERROR(__xludf.DUMMYFUNCTION("IF(AB91 = """", """", GOOGLETRANSLATE(AB91, ""en"", ""mr""))"),"")</f>
        <v/>
      </c>
      <c r="AK91" s="5" t="str">
        <f ca="1">IFERROR(__xludf.DUMMYFUNCTION("IF(Y91 = """", """", GOOGLETRANSLATE(Y91, ""en"", ""gu""))"),"પરિણામ માટે સખત મહેનત જરૂરી છે")</f>
        <v>પરિણામ માટે સખત મહેનત જરૂરી છે</v>
      </c>
      <c r="AL91" s="5" t="str">
        <f ca="1">IFERROR(__xludf.DUMMYFUNCTION("IF(Z91 = """", """", GOOGLETRANSLATE(Z91, ""en"", ""gu""))")," ઓછા નસીબ, વધુ આયોજન અને મહેનત ")</f>
        <v xml:space="preserve"> ઓછા નસીબ, વધુ આયોજન અને મહેનત </v>
      </c>
      <c r="AM91" s="5" t="str">
        <f ca="1">IFERROR(__xludf.DUMMYFUNCTION("IF(AA91 = """", """", GOOGLETRANSLATE(AA91, ""en"", ""gu""))"),"થાક અનુભવી શકે છે")</f>
        <v>થાક અનુભવી શકે છે</v>
      </c>
      <c r="AN91" s="5" t="str">
        <f ca="1">IFERROR(__xludf.DUMMYFUNCTION("IF(AB91 = """", """", GOOGLETRANSLATE(AB91, ""en"", ""gu""))"),"")</f>
        <v/>
      </c>
      <c r="AO91" s="5" t="str">
        <f ca="1">IFERROR(__xludf.DUMMYFUNCTION("IF(Y91 = """", """", GOOGLETRANSLATE(Y91, ""en"", ""bn""))"),"ফলাফলের জন্য প্রয়োজন কঠোর পরিশ্রম")</f>
        <v>ফলাফলের জন্য প্রয়োজন কঠোর পরিশ্রম</v>
      </c>
      <c r="AP91" s="5" t="str">
        <f ca="1">IFERROR(__xludf.DUMMYFUNCTION("IF(Z91 = """", """", GOOGLETRANSLATE(Z91, ""en"", ""bn""))")," কম ভাগ্য, আরও পরিকল্পনা এবং প্রচেষ্টা ")</f>
        <v xml:space="preserve"> কম ভাগ্য, আরও পরিকল্পনা এবং প্রচেষ্টা </v>
      </c>
      <c r="AQ91" s="5" t="str">
        <f ca="1">IFERROR(__xludf.DUMMYFUNCTION("IF(AA91 = """", """", GOOGLETRANSLATE(AA91, ""en"", ""bn""))"),"ক্লান্তিকর বোধ হতে পারে")</f>
        <v>ক্লান্তিকর বোধ হতে পারে</v>
      </c>
      <c r="AR91" s="5" t="str">
        <f ca="1">IFERROR(__xludf.DUMMYFUNCTION("IF(AB91 = """", """", GOOGLETRANSLATE(AB91, ""en"", ""bn""))"),"")</f>
        <v/>
      </c>
      <c r="AU91" s="5" t="str">
        <f ca="1">IFERROR(__xludf.DUMMYFUNCTION("IF(Y91 = """", """", GOOGLETRANSLATE(Y91, ""en"", ""te""))"),"ఫలితాల కోసం కృషి అవసరం")</f>
        <v>ఫలితాల కోసం కృషి అవసరం</v>
      </c>
      <c r="AV91" s="5" t="str">
        <f ca="1">IFERROR(__xludf.DUMMYFUNCTION("IF(Z91 = """", """", GOOGLETRANSLATE(Z91, ""en"", ""te""))")," తక్కువ అదృష్టం, ఎక్కువ ప్రణాళిక మరియు కృషి ")</f>
        <v xml:space="preserve"> తక్కువ అదృష్టం, ఎక్కువ ప్రణాళిక మరియు కృషి </v>
      </c>
      <c r="AW91" s="5" t="str">
        <f ca="1">IFERROR(__xludf.DUMMYFUNCTION("IF(AA91 = """", """", GOOGLETRANSLATE(AA91, ""en"", ""te""))"),"అలసటగా అనిపించవచ్చు")</f>
        <v>అలసటగా అనిపించవచ్చు</v>
      </c>
      <c r="AX91" s="5" t="str">
        <f ca="1">IFERROR(__xludf.DUMMYFUNCTION("IF(AB91 = """", """", GOOGLETRANSLATE(AB91, ""en"", ""te""))"),"")</f>
        <v/>
      </c>
    </row>
    <row r="92" spans="1:50" x14ac:dyDescent="0.25">
      <c r="A92" s="1">
        <v>105</v>
      </c>
      <c r="B92" s="1" t="s">
        <v>56</v>
      </c>
      <c r="C92" s="8">
        <v>45831</v>
      </c>
      <c r="D92" s="8">
        <v>45831</v>
      </c>
      <c r="E92" s="1">
        <v>7</v>
      </c>
      <c r="F92" s="1">
        <v>1</v>
      </c>
      <c r="G92" s="3" t="s">
        <v>351</v>
      </c>
      <c r="H92" s="4">
        <v>7.6273148148148151E-3</v>
      </c>
      <c r="I92" s="4">
        <v>4.7685185185185183E-3</v>
      </c>
      <c r="J92" s="4">
        <v>5.2546296296296299E-3</v>
      </c>
      <c r="K92" s="1" t="s">
        <v>58</v>
      </c>
      <c r="L92" s="1" t="s">
        <v>64</v>
      </c>
      <c r="M92" s="1" t="s">
        <v>19</v>
      </c>
      <c r="O92" s="1" t="s">
        <v>61</v>
      </c>
      <c r="P92" s="1" t="s">
        <v>61</v>
      </c>
      <c r="Q92" s="1" t="s">
        <v>61</v>
      </c>
      <c r="R92" s="1" t="s">
        <v>61</v>
      </c>
      <c r="S92" s="1" t="s">
        <v>61</v>
      </c>
      <c r="T92" s="1" t="s">
        <v>352</v>
      </c>
      <c r="V92" s="1" t="s">
        <v>61</v>
      </c>
      <c r="W92" s="1" t="s">
        <v>61</v>
      </c>
      <c r="X92" s="1" t="s">
        <v>61</v>
      </c>
      <c r="Y92" s="1" t="s">
        <v>371</v>
      </c>
      <c r="Z92" s="1" t="s">
        <v>372</v>
      </c>
      <c r="AA92" s="1" t="s">
        <v>373</v>
      </c>
      <c r="AB92" s="1"/>
      <c r="AC92" s="5" t="str">
        <f ca="1">IFERROR(__xludf.DUMMYFUNCTION("IF(Y92 = """", """", GOOGLETRANSLATE(Y92, ""en"", ""hi""))
"),"स्वास्थ्य संबंधी समस्याएँ संभावित")</f>
        <v>स्वास्थ्य संबंधी समस्याएँ संभावित</v>
      </c>
      <c r="AD92" s="5" t="str">
        <f ca="1">IFERROR(__xludf.DUMMYFUNCTION("IF(Z92 = """", """", GOOGLETRANSLATE(Z92, ""en"", ""hi""))"),"उत्तेजित होने पर भी शांत रहें")</f>
        <v>उत्तेजित होने पर भी शांत रहें</v>
      </c>
      <c r="AE92" s="5" t="str">
        <f ca="1">IFERROR(__xludf.DUMMYFUNCTION("IF(AA92 = """", """", GOOGLETRANSLATE(AA92, ""en"", ""hi""))"),"संघर्षों से बचें, नियमित कार्यों पर ध्यान केंद्रित करें")</f>
        <v>संघर्षों से बचें, नियमित कार्यों पर ध्यान केंद्रित करें</v>
      </c>
      <c r="AF92" s="5" t="str">
        <f ca="1">IFERROR(__xludf.DUMMYFUNCTION("IF(AB92 = """", """", GOOGLETRANSLATE(AB92, ""en"", ""hi""))"),"")</f>
        <v/>
      </c>
      <c r="AG92" s="5" t="str">
        <f ca="1">IFERROR(__xludf.DUMMYFUNCTION("IF(Y92 = """", """", GOOGLETRANSLATE(Y92, ""en"", ""mr""))"),"आरोग्याच्या समस्या संभवतात")</f>
        <v>आरोग्याच्या समस्या संभवतात</v>
      </c>
      <c r="AH92" s="5" t="str">
        <f ca="1">IFERROR(__xludf.DUMMYFUNCTION("IF(Z92 = """", """", GOOGLETRANSLATE(Z92, ""en"", ""mr""))"),"चिथावणी दिली तरी शांत राहा")</f>
        <v>चिथावणी दिली तरी शांत राहा</v>
      </c>
      <c r="AI92" s="5" t="str">
        <f ca="1">IFERROR(__xludf.DUMMYFUNCTION("IF(AA92 = """", """", GOOGLETRANSLATE(AA92, ""en"", ""mr""))")," संघर्ष टाळा, नेहमीच्या कामांना चिकटून राहा")</f>
        <v xml:space="preserve"> संघर्ष टाळा, नेहमीच्या कामांना चिकटून राहा</v>
      </c>
      <c r="AJ92" s="5" t="str">
        <f ca="1">IFERROR(__xludf.DUMMYFUNCTION("IF(AB92 = """", """", GOOGLETRANSLATE(AB92, ""en"", ""mr""))"),"")</f>
        <v/>
      </c>
      <c r="AK92" s="5" t="str">
        <f ca="1">IFERROR(__xludf.DUMMYFUNCTION("IF(Y92 = """", """", GOOGLETRANSLATE(Y92, ""en"", ""gu""))"),"સ્વાસ્થ્ય સમસ્યાઓ થવાની સંભાવના છે")</f>
        <v>સ્વાસ્થ્ય સમસ્યાઓ થવાની સંભાવના છે</v>
      </c>
      <c r="AL92" s="5" t="str">
        <f ca="1">IFERROR(__xludf.DUMMYFUNCTION("IF(Z92 = """", """", GOOGLETRANSLATE(Z92, ""en"", ""gu""))"),"ઉશ્કેરવામાં આવે તો પણ શાંત રહો")</f>
        <v>ઉશ્કેરવામાં આવે તો પણ શાંત રહો</v>
      </c>
      <c r="AM92" s="5" t="str">
        <f ca="1">IFERROR(__xludf.DUMMYFUNCTION("IF(AA92 = """", """", GOOGLETRANSLATE(AA92, ""en"", ""gu""))")," સંઘર્ષ ટાળો, નિયમિત કાર્યોને વળગી રહો")</f>
        <v xml:space="preserve"> સંઘર્ષ ટાળો, નિયમિત કાર્યોને વળગી રહો</v>
      </c>
      <c r="AN92" s="5" t="str">
        <f ca="1">IFERROR(__xludf.DUMMYFUNCTION("IF(AB92 = """", """", GOOGLETRANSLATE(AB92, ""en"", ""gu""))"),"")</f>
        <v/>
      </c>
      <c r="AO92" s="5" t="str">
        <f ca="1">IFERROR(__xludf.DUMMYFUNCTION("IF(Y92 = """", """", GOOGLETRANSLATE(Y92, ""en"", ""bn""))"),"স্বাস্থ্য সমস্যা হতে পারে")</f>
        <v>স্বাস্থ্য সমস্যা হতে পারে</v>
      </c>
      <c r="AP92" s="5" t="str">
        <f ca="1">IFERROR(__xludf.DUMMYFUNCTION("IF(Z92 = """", """", GOOGLETRANSLATE(Z92, ""en"", ""bn""))"),"প্ররোচিত হলেও শান্ত থাকুন")</f>
        <v>প্ররোচিত হলেও শান্ত থাকুন</v>
      </c>
      <c r="AQ92" s="5" t="str">
        <f ca="1">IFERROR(__xludf.DUMMYFUNCTION("IF(AA92 = """", """", GOOGLETRANSLATE(AA92, ""en"", ""bn""))")," দ্বন্দ্ব এড়িয়ে চলুন, রুটিন কাজগুলিতে লেগে থাকুন")</f>
        <v xml:space="preserve"> দ্বন্দ্ব এড়িয়ে চলুন, রুটিন কাজগুলিতে লেগে থাকুন</v>
      </c>
      <c r="AR92" s="5" t="str">
        <f ca="1">IFERROR(__xludf.DUMMYFUNCTION("IF(AB92 = """", """", GOOGLETRANSLATE(AB92, ""en"", ""bn""))"),"")</f>
        <v/>
      </c>
      <c r="AU92" s="5" t="str">
        <f ca="1">IFERROR(__xludf.DUMMYFUNCTION("IF(Y92 = """", """", GOOGLETRANSLATE(Y92, ""en"", ""te""))"),"ఆరోగ్య సమస్యలు వచ్చే అవకాశం ఉంది")</f>
        <v>ఆరోగ్య సమస్యలు వచ్చే అవకాశం ఉంది</v>
      </c>
      <c r="AV92" s="5" t="str">
        <f ca="1">IFERROR(__xludf.DUMMYFUNCTION("IF(Z92 = """", """", GOOGLETRANSLATE(Z92, ""en"", ""te""))"),"రెచ్చగొట్టినా ప్రశాంతంగా ఉండండి")</f>
        <v>రెచ్చగొట్టినా ప్రశాంతంగా ఉండండి</v>
      </c>
      <c r="AW92" s="5" t="str">
        <f ca="1">IFERROR(__xludf.DUMMYFUNCTION("IF(AA92 = """", """", GOOGLETRANSLATE(AA92, ""en"", ""te""))")," వివాదాలను నివారించండి, సాధారణ పనులకు కట్టుబడి ఉండండి")</f>
        <v xml:space="preserve"> వివాదాలను నివారించండి, సాధారణ పనులకు కట్టుబడి ఉండండి</v>
      </c>
      <c r="AX92" s="5" t="str">
        <f ca="1">IFERROR(__xludf.DUMMYFUNCTION("IF(AB92 = """", """", GOOGLETRANSLATE(AB92, ""en"", ""te""))"),"")</f>
        <v/>
      </c>
    </row>
    <row r="93" spans="1:50" x14ac:dyDescent="0.25">
      <c r="A93" s="1">
        <v>106</v>
      </c>
      <c r="B93" s="1" t="s">
        <v>56</v>
      </c>
      <c r="C93" s="8">
        <v>45831</v>
      </c>
      <c r="D93" s="8">
        <v>45831</v>
      </c>
      <c r="E93" s="1">
        <v>8</v>
      </c>
      <c r="F93" s="1">
        <v>1</v>
      </c>
      <c r="G93" s="3" t="s">
        <v>351</v>
      </c>
      <c r="H93" s="4">
        <v>7.6273148148148151E-3</v>
      </c>
      <c r="I93" s="4">
        <v>5.2546296296296299E-3</v>
      </c>
      <c r="J93" s="4">
        <v>5.6134259259259262E-3</v>
      </c>
      <c r="K93" s="1" t="s">
        <v>58</v>
      </c>
      <c r="L93" s="1" t="s">
        <v>68</v>
      </c>
      <c r="M93" s="1" t="s">
        <v>17</v>
      </c>
      <c r="O93" s="1" t="s">
        <v>61</v>
      </c>
      <c r="P93" s="1" t="s">
        <v>61</v>
      </c>
      <c r="Q93" s="1" t="s">
        <v>61</v>
      </c>
      <c r="R93" s="1" t="s">
        <v>352</v>
      </c>
      <c r="S93" s="1" t="s">
        <v>61</v>
      </c>
      <c r="T93" s="1" t="s">
        <v>61</v>
      </c>
      <c r="V93" s="1" t="s">
        <v>61</v>
      </c>
      <c r="W93" s="1" t="s">
        <v>61</v>
      </c>
      <c r="X93" s="1" t="s">
        <v>61</v>
      </c>
      <c r="Y93" s="1" t="s">
        <v>374</v>
      </c>
      <c r="Z93" s="1" t="s">
        <v>375</v>
      </c>
      <c r="AA93" s="1" t="s">
        <v>376</v>
      </c>
      <c r="AB93" s="1"/>
      <c r="AC93" s="5" t="str">
        <f ca="1">IFERROR(__xludf.DUMMYFUNCTION("IF(Y93 = """", """", GOOGLETRANSLATE(Y93, ""en"", ""hi""))
"),"भारी ज़िम्मेदारियाँ, कुछ अप्रिय")</f>
        <v>भारी ज़िम्मेदारियाँ, कुछ अप्रिय</v>
      </c>
      <c r="AD93" s="5" t="str">
        <f ca="1">IFERROR(__xludf.DUMMYFUNCTION("IF(Z93 = """", """", GOOGLETRANSLATE(Z93, ""en"", ""hi""))"),"भोजन और यात्रा में सावधानी बरतें")</f>
        <v>भोजन और यात्रा में सावधानी बरतें</v>
      </c>
      <c r="AE93" s="5" t="str">
        <f ca="1">IFERROR(__xludf.DUMMYFUNCTION("IF(AA93 = """", """", GOOGLETRANSLATE(AA93, ""en"", ""hi""))"),"शारीरिक रूप से थका देने वाला दिन")</f>
        <v>शारीरिक रूप से थका देने वाला दिन</v>
      </c>
      <c r="AF93" s="5" t="str">
        <f ca="1">IFERROR(__xludf.DUMMYFUNCTION("IF(AB93 = """", """", GOOGLETRANSLATE(AB93, ""en"", ""hi""))"),"")</f>
        <v/>
      </c>
      <c r="AG93" s="5" t="str">
        <f ca="1">IFERROR(__xludf.DUMMYFUNCTION("IF(Y93 = """", """", GOOGLETRANSLATE(Y93, ""en"", ""mr""))"),"भारी जबाबदाऱ्या, काही अप्रिय ")</f>
        <v xml:space="preserve">भारी जबाबदाऱ्या, काही अप्रिय </v>
      </c>
      <c r="AH93" s="5" t="str">
        <f ca="1">IFERROR(__xludf.DUMMYFUNCTION("IF(Z93 = """", """", GOOGLETRANSLATE(Z93, ""en"", ""mr""))"),"जेवण आणि प्रवासात सावध राहा")</f>
        <v>जेवण आणि प्रवासात सावध राहा</v>
      </c>
      <c r="AI93" s="5" t="str">
        <f ca="1">IFERROR(__xludf.DUMMYFUNCTION("IF(AA93 = """", """", GOOGLETRANSLATE(AA93, ""en"", ""mr""))"),"शारीरिकदृष्ट्या थकवणारा दिवस")</f>
        <v>शारीरिकदृष्ट्या थकवणारा दिवस</v>
      </c>
      <c r="AJ93" s="5" t="str">
        <f ca="1">IFERROR(__xludf.DUMMYFUNCTION("IF(AB93 = """", """", GOOGLETRANSLATE(AB93, ""en"", ""mr""))"),"")</f>
        <v/>
      </c>
      <c r="AK93" s="5" t="str">
        <f ca="1">IFERROR(__xludf.DUMMYFUNCTION("IF(Y93 = """", """", GOOGLETRANSLATE(Y93, ""en"", ""gu""))"),"ભારે જવાબદારીઓ, કેટલીક અપ્રિય ")</f>
        <v xml:space="preserve">ભારે જવાબદારીઓ, કેટલીક અપ્રિય </v>
      </c>
      <c r="AL93" s="5" t="str">
        <f ca="1">IFERROR(__xludf.DUMMYFUNCTION("IF(Z93 = """", """", GOOGLETRANSLATE(Z93, ""en"", ""gu""))"),"ભોજન અને મુસાફરીમાં સાવધાની રાખો")</f>
        <v>ભોજન અને મુસાફરીમાં સાવધાની રાખો</v>
      </c>
      <c r="AM93" s="5" t="str">
        <f ca="1">IFERROR(__xludf.DUMMYFUNCTION("IF(AA93 = """", """", GOOGLETRANSLATE(AA93, ""en"", ""gu""))"),"શારીરિક રીતે કંટાળાજનક દિવસ")</f>
        <v>શારીરિક રીતે કંટાળાજનક દિવસ</v>
      </c>
      <c r="AN93" s="5" t="str">
        <f ca="1">IFERROR(__xludf.DUMMYFUNCTION("IF(AB93 = """", """", GOOGLETRANSLATE(AB93, ""en"", ""gu""))"),"")</f>
        <v/>
      </c>
      <c r="AO93" s="5" t="str">
        <f ca="1">IFERROR(__xludf.DUMMYFUNCTION("IF(Y93 = """", """", GOOGLETRANSLATE(Y93, ""en"", ""bn""))"),"ভারী দায়িত্ব, কিছু অপ্রীতিকর ")</f>
        <v xml:space="preserve">ভারী দায়িত্ব, কিছু অপ্রীতিকর </v>
      </c>
      <c r="AP93" s="5" t="str">
        <f ca="1">IFERROR(__xludf.DUMMYFUNCTION("IF(Z93 = """", """", GOOGLETRANSLATE(Z93, ""en"", ""bn""))"),"খাবার এবং ভ্রমণে সতর্ক থাকুন")</f>
        <v>খাবার এবং ভ্রমণে সতর্ক থাকুন</v>
      </c>
      <c r="AQ93" s="5" t="str">
        <f ca="1">IFERROR(__xludf.DUMMYFUNCTION("IF(AA93 = """", """", GOOGLETRANSLATE(AA93, ""en"", ""bn""))"),"শারীরিকভাবে ক্লান্তিকর দিন")</f>
        <v>শারীরিকভাবে ক্লান্তিকর দিন</v>
      </c>
      <c r="AR93" s="5" t="str">
        <f ca="1">IFERROR(__xludf.DUMMYFUNCTION("IF(AB93 = """", """", GOOGLETRANSLATE(AB93, ""en"", ""bn""))"),"")</f>
        <v/>
      </c>
      <c r="AU93" s="5" t="str">
        <f ca="1">IFERROR(__xludf.DUMMYFUNCTION("IF(Y93 = """", """", GOOGLETRANSLATE(Y93, ""en"", ""te""))"),"భారమైన బాధ్యతలు, కొన్ని అసహ్యకరమైనవి ")</f>
        <v xml:space="preserve">భారమైన బాధ్యతలు, కొన్ని అసహ్యకరమైనవి </v>
      </c>
      <c r="AV93" s="5" t="str">
        <f ca="1">IFERROR(__xludf.DUMMYFUNCTION("IF(Z93 = """", """", GOOGLETRANSLATE(Z93, ""en"", ""te""))"),"ఆహారం మరియు ప్రయాణాలలో జాగ్రత్తగా ఉండండి")</f>
        <v>ఆహారం మరియు ప్రయాణాలలో జాగ్రత్తగా ఉండండి</v>
      </c>
      <c r="AW93" s="5" t="str">
        <f ca="1">IFERROR(__xludf.DUMMYFUNCTION("IF(AA93 = """", """", GOOGLETRANSLATE(AA93, ""en"", ""te""))"),"శారీరకంగా అలసిపోయే రోజు")</f>
        <v>శారీరకంగా అలసిపోయే రోజు</v>
      </c>
      <c r="AX93" s="5" t="str">
        <f ca="1">IFERROR(__xludf.DUMMYFUNCTION("IF(AB93 = """", """", GOOGLETRANSLATE(AB93, ""en"", ""te""))"),"")</f>
        <v/>
      </c>
    </row>
    <row r="94" spans="1:50" x14ac:dyDescent="0.25">
      <c r="A94" s="1">
        <v>107</v>
      </c>
      <c r="B94" s="1" t="s">
        <v>56</v>
      </c>
      <c r="C94" s="8">
        <v>45831</v>
      </c>
      <c r="D94" s="8">
        <v>45831</v>
      </c>
      <c r="E94" s="1">
        <v>9</v>
      </c>
      <c r="F94" s="1">
        <v>1</v>
      </c>
      <c r="G94" s="3" t="s">
        <v>351</v>
      </c>
      <c r="H94" s="4">
        <v>7.6273148148148151E-3</v>
      </c>
      <c r="I94" s="4">
        <v>5.6134259259259262E-3</v>
      </c>
      <c r="J94" s="4">
        <v>6.2152777777777779E-3</v>
      </c>
      <c r="K94" s="1" t="s">
        <v>58</v>
      </c>
      <c r="L94" s="1" t="s">
        <v>72</v>
      </c>
      <c r="M94" s="1" t="s">
        <v>17</v>
      </c>
      <c r="O94" s="1" t="s">
        <v>61</v>
      </c>
      <c r="P94" s="1" t="s">
        <v>61</v>
      </c>
      <c r="Q94" s="1" t="s">
        <v>61</v>
      </c>
      <c r="R94" s="1" t="s">
        <v>352</v>
      </c>
      <c r="S94" s="1" t="s">
        <v>61</v>
      </c>
      <c r="T94" s="1" t="s">
        <v>61</v>
      </c>
      <c r="V94" s="1" t="s">
        <v>61</v>
      </c>
      <c r="W94" s="1" t="s">
        <v>61</v>
      </c>
      <c r="X94" s="1" t="s">
        <v>61</v>
      </c>
      <c r="Y94" s="1" t="s">
        <v>377</v>
      </c>
      <c r="Z94" s="1" t="s">
        <v>378</v>
      </c>
      <c r="AA94" s="1" t="s">
        <v>379</v>
      </c>
      <c r="AB94" s="1"/>
      <c r="AC94" s="5" t="str">
        <f ca="1">IFERROR(__xludf.DUMMYFUNCTION("IF(Y94 = """", """", GOOGLETRANSLATE(Y94, ""en"", ""hi""))
"),"तनाव जारी है")</f>
        <v>तनाव जारी है</v>
      </c>
      <c r="AD94" s="5" t="str">
        <f ca="1">IFERROR(__xludf.DUMMYFUNCTION("IF(Z94 = """", """", GOOGLETRANSLATE(Z94, ""en"", ""hi""))"),"स्वास्थ्य को गंभीरता से लें")</f>
        <v>स्वास्थ्य को गंभीरता से लें</v>
      </c>
      <c r="AE94" s="5" t="str">
        <f ca="1">IFERROR(__xludf.DUMMYFUNCTION("IF(AA94 = """", """", GOOGLETRANSLATE(AA94, ""en"", ""hi""))"),"सकारात्मक दृष्टिकोण के साथ ज़िम्मेदारियों को संभालें")</f>
        <v>सकारात्मक दृष्टिकोण के साथ ज़िम्मेदारियों को संभालें</v>
      </c>
      <c r="AF94" s="5" t="str">
        <f ca="1">IFERROR(__xludf.DUMMYFUNCTION("IF(AB94 = """", """", GOOGLETRANSLATE(AB94, ""en"", ""hi""))"),"")</f>
        <v/>
      </c>
      <c r="AG94" s="5" t="str">
        <f ca="1">IFERROR(__xludf.DUMMYFUNCTION("IF(Y94 = """", """", GOOGLETRANSLATE(Y94, ""en"", ""mr""))"),"तणाव सुरूच आहे")</f>
        <v>तणाव सुरूच आहे</v>
      </c>
      <c r="AH94" s="5" t="str">
        <f ca="1">IFERROR(__xludf.DUMMYFUNCTION("IF(Z94 = """", """", GOOGLETRANSLATE(Z94, ""en"", ""mr""))"),"तब्येत गांभीर्याने घ्या")</f>
        <v>तब्येत गांभीर्याने घ्या</v>
      </c>
      <c r="AI94" s="5" t="str">
        <f ca="1">IFERROR(__xludf.DUMMYFUNCTION("IF(AA94 = """", """", GOOGLETRANSLATE(AA94, ""en"", ""mr""))"),"सकारात्मक दृष्टिकोन ठेवून जबाबदाऱ्या हाताळा")</f>
        <v>सकारात्मक दृष्टिकोन ठेवून जबाबदाऱ्या हाताळा</v>
      </c>
      <c r="AJ94" s="5" t="str">
        <f ca="1">IFERROR(__xludf.DUMMYFUNCTION("IF(AB94 = """", """", GOOGLETRANSLATE(AB94, ""en"", ""mr""))"),"")</f>
        <v/>
      </c>
      <c r="AK94" s="5" t="str">
        <f ca="1">IFERROR(__xludf.DUMMYFUNCTION("IF(Y94 = """", """", GOOGLETRANSLATE(Y94, ""en"", ""gu""))"),"તણાવ ચાલુ રહે છે")</f>
        <v>તણાવ ચાલુ રહે છે</v>
      </c>
      <c r="AL94" s="5" t="str">
        <f ca="1">IFERROR(__xludf.DUMMYFUNCTION("IF(Z94 = """", """", GOOGLETRANSLATE(Z94, ""en"", ""gu""))"),"સ્વાસ્થ્યને ગંભીરતાથી લો")</f>
        <v>સ્વાસ્થ્યને ગંભીરતાથી લો</v>
      </c>
      <c r="AM94" s="5" t="str">
        <f ca="1">IFERROR(__xludf.DUMMYFUNCTION("IF(AA94 = """", """", GOOGLETRANSLATE(AA94, ""en"", ""gu""))"),"સકારાત્મક વલણ સાથે જવાબદારીઓ સંભાળો")</f>
        <v>સકારાત્મક વલણ સાથે જવાબદારીઓ સંભાળો</v>
      </c>
      <c r="AN94" s="5" t="str">
        <f ca="1">IFERROR(__xludf.DUMMYFUNCTION("IF(AB94 = """", """", GOOGLETRANSLATE(AB94, ""en"", ""gu""))"),"")</f>
        <v/>
      </c>
      <c r="AO94" s="5" t="str">
        <f ca="1">IFERROR(__xludf.DUMMYFUNCTION("IF(Y94 = """", """", GOOGLETRANSLATE(Y94, ""en"", ""bn""))"),"স্ট্রেস চলতে থাকে")</f>
        <v>স্ট্রেস চলতে থাকে</v>
      </c>
      <c r="AP94" s="5" t="str">
        <f ca="1">IFERROR(__xludf.DUMMYFUNCTION("IF(Z94 = """", """", GOOGLETRANSLATE(Z94, ""en"", ""bn""))"),"স্বাস্থ্যকে গুরুত্ব সহকারে নিন")</f>
        <v>স্বাস্থ্যকে গুরুত্ব সহকারে নিন</v>
      </c>
      <c r="AQ94" s="5" t="str">
        <f ca="1">IFERROR(__xludf.DUMMYFUNCTION("IF(AA94 = """", """", GOOGLETRANSLATE(AA94, ""en"", ""bn""))"),"ইতিবাচক মনোভাব নিয়ে দায়িত্ব সামলান")</f>
        <v>ইতিবাচক মনোভাব নিয়ে দায়িত্ব সামলান</v>
      </c>
      <c r="AR94" s="5" t="str">
        <f ca="1">IFERROR(__xludf.DUMMYFUNCTION("IF(AB94 = """", """", GOOGLETRANSLATE(AB94, ""en"", ""bn""))"),"")</f>
        <v/>
      </c>
      <c r="AU94" s="5" t="str">
        <f ca="1">IFERROR(__xludf.DUMMYFUNCTION("IF(Y94 = """", """", GOOGLETRANSLATE(Y94, ""en"", ""te""))"),"ఒత్తిడి కొనసాగుతుంది")</f>
        <v>ఒత్తిడి కొనసాగుతుంది</v>
      </c>
      <c r="AV94" s="5" t="str">
        <f ca="1">IFERROR(__xludf.DUMMYFUNCTION("IF(Z94 = """", """", GOOGLETRANSLATE(Z94, ""en"", ""te""))"),"ఆరోగ్యాన్ని సీరియస్‌గా తీసుకోండి")</f>
        <v>ఆరోగ్యాన్ని సీరియస్‌గా తీసుకోండి</v>
      </c>
      <c r="AW94" s="5" t="str">
        <f ca="1">IFERROR(__xludf.DUMMYFUNCTION("IF(AA94 = """", """", GOOGLETRANSLATE(AA94, ""en"", ""te""))"),"సానుకూల దృక్పథంతో బాధ్యతలను నిర్వహించండి")</f>
        <v>సానుకూల దృక్పథంతో బాధ్యతలను నిర్వహించండి</v>
      </c>
      <c r="AX94" s="5" t="str">
        <f ca="1">IFERROR(__xludf.DUMMYFUNCTION("IF(AB94 = """", """", GOOGLETRANSLATE(AB94, ""en"", ""te""))"),"")</f>
        <v/>
      </c>
    </row>
    <row r="95" spans="1:50" x14ac:dyDescent="0.25">
      <c r="A95" s="1">
        <v>108</v>
      </c>
      <c r="B95" s="1" t="s">
        <v>56</v>
      </c>
      <c r="C95" s="8">
        <v>45831</v>
      </c>
      <c r="D95" s="8">
        <v>45831</v>
      </c>
      <c r="E95" s="1">
        <v>10</v>
      </c>
      <c r="F95" s="1">
        <v>1</v>
      </c>
      <c r="G95" s="3" t="s">
        <v>351</v>
      </c>
      <c r="H95" s="4">
        <v>7.6273148148148151E-3</v>
      </c>
      <c r="I95" s="4">
        <v>6.2152777777777779E-3</v>
      </c>
      <c r="J95" s="4">
        <v>6.5277777777777782E-3</v>
      </c>
      <c r="K95" s="1" t="s">
        <v>58</v>
      </c>
      <c r="L95" s="1" t="s">
        <v>76</v>
      </c>
      <c r="M95" s="1" t="s">
        <v>14</v>
      </c>
      <c r="O95" s="1" t="s">
        <v>352</v>
      </c>
      <c r="P95" s="1" t="s">
        <v>61</v>
      </c>
      <c r="Q95" s="1" t="s">
        <v>61</v>
      </c>
      <c r="R95" s="1" t="s">
        <v>61</v>
      </c>
      <c r="S95" s="1" t="s">
        <v>61</v>
      </c>
      <c r="T95" s="1" t="s">
        <v>61</v>
      </c>
      <c r="V95" s="1" t="s">
        <v>61</v>
      </c>
      <c r="W95" s="1" t="s">
        <v>61</v>
      </c>
      <c r="X95" s="1" t="s">
        <v>61</v>
      </c>
      <c r="Y95" s="1" t="s">
        <v>380</v>
      </c>
      <c r="Z95" s="1" t="s">
        <v>381</v>
      </c>
      <c r="AA95" s="1" t="s">
        <v>382</v>
      </c>
      <c r="AB95" s="1"/>
      <c r="AC95" s="5" t="str">
        <f ca="1">IFERROR(__xludf.DUMMYFUNCTION("IF(Y95 = """", """", GOOGLETRANSLATE(Y95, ""en"", ""hi""))
"),"मान्यता और सम्मान संभव")</f>
        <v>मान्यता और सम्मान संभव</v>
      </c>
      <c r="AD95" s="5" t="str">
        <f ca="1">IFERROR(__xludf.DUMMYFUNCTION("IF(Z95 = """", """", GOOGLETRANSLATE(Z95, ""en"", ""hi""))"),"सरकारी काम में प्रगति हो सकती है")</f>
        <v>सरकारी काम में प्रगति हो सकती है</v>
      </c>
      <c r="AE95" s="5" t="str">
        <f ca="1">IFERROR(__xludf.DUMMYFUNCTION("IF(AA95 = """", """", GOOGLETRANSLATE(AA95, ""en"", ""hi""))"),"इस भाग्यशाली दिन का पूरा लाभ उठाएँ")</f>
        <v>इस भाग्यशाली दिन का पूरा लाभ उठाएँ</v>
      </c>
      <c r="AF95" s="5" t="str">
        <f ca="1">IFERROR(__xludf.DUMMYFUNCTION("IF(AB95 = """", """", GOOGLETRANSLATE(AB95, ""en"", ""hi""))"),"")</f>
        <v/>
      </c>
      <c r="AG95" s="5" t="str">
        <f ca="1">IFERROR(__xludf.DUMMYFUNCTION("IF(Y95 = """", """", GOOGLETRANSLATE(Y95, ""en"", ""mr""))"),"ओळख आणि आदर शक्य")</f>
        <v>ओळख आणि आदर शक्य</v>
      </c>
      <c r="AH95" s="5" t="str">
        <f ca="1">IFERROR(__xludf.DUMMYFUNCTION("IF(Z95 = """", """", GOOGLETRANSLATE(Z95, ""en"", ""mr""))"),"सरकारी कामात प्रगती होऊ शकते")</f>
        <v>सरकारी कामात प्रगती होऊ शकते</v>
      </c>
      <c r="AI95" s="5" t="str">
        <f ca="1">IFERROR(__xludf.DUMMYFUNCTION("IF(AA95 = """", """", GOOGLETRANSLATE(AA95, ""en"", ""mr""))"),"या शुभ दिवसाचा पुरेपूर लाभ घ्या")</f>
        <v>या शुभ दिवसाचा पुरेपूर लाभ घ्या</v>
      </c>
      <c r="AJ95" s="5" t="str">
        <f ca="1">IFERROR(__xludf.DUMMYFUNCTION("IF(AB95 = """", """", GOOGLETRANSLATE(AB95, ""en"", ""mr""))"),"")</f>
        <v/>
      </c>
      <c r="AK95" s="5" t="str">
        <f ca="1">IFERROR(__xludf.DUMMYFUNCTION("IF(Y95 = """", """", GOOGLETRANSLATE(Y95, ""en"", ""gu""))"),"ઓળખ અને સન્માન શક્ય છે")</f>
        <v>ઓળખ અને સન્માન શક્ય છે</v>
      </c>
      <c r="AL95" s="5" t="str">
        <f ca="1">IFERROR(__xludf.DUMMYFUNCTION("IF(Z95 = """", """", GOOGLETRANSLATE(Z95, ""en"", ""gu""))"),"સરકારી કામમાં પ્રગતિ થઈ શકે છે")</f>
        <v>સરકારી કામમાં પ્રગતિ થઈ શકે છે</v>
      </c>
      <c r="AM95" s="5" t="str">
        <f ca="1">IFERROR(__xludf.DUMMYFUNCTION("IF(AA95 = """", """", GOOGLETRANSLATE(AA95, ""en"", ""gu""))"),"આ શુભ દિવસનો ભરપૂર લાભ લો")</f>
        <v>આ શુભ દિવસનો ભરપૂર લાભ લો</v>
      </c>
      <c r="AN95" s="5" t="str">
        <f ca="1">IFERROR(__xludf.DUMMYFUNCTION("IF(AB95 = """", """", GOOGLETRANSLATE(AB95, ""en"", ""gu""))"),"")</f>
        <v/>
      </c>
      <c r="AO95" s="5" t="str">
        <f ca="1">IFERROR(__xludf.DUMMYFUNCTION("IF(Y95 = """", """", GOOGLETRANSLATE(Y95, ""en"", ""bn""))"),"স্বীকৃতি এবং সম্মান সম্ভব")</f>
        <v>স্বীকৃতি এবং সম্মান সম্ভব</v>
      </c>
      <c r="AP95" s="5" t="str">
        <f ca="1">IFERROR(__xludf.DUMMYFUNCTION("IF(Z95 = """", """", GOOGLETRANSLATE(Z95, ""en"", ""bn""))"),"সরকারি কাজে অগ্রগতি হতে পারে")</f>
        <v>সরকারি কাজে অগ্রগতি হতে পারে</v>
      </c>
      <c r="AQ95" s="5" t="str">
        <f ca="1">IFERROR(__xludf.DUMMYFUNCTION("IF(AA95 = """", """", GOOGLETRANSLATE(AA95, ""en"", ""bn""))"),"এই সৌভাগ্যের দিনটির পূর্ণ সদ্ব্যবহার করুন")</f>
        <v>এই সৌভাগ্যের দিনটির পূর্ণ সদ্ব্যবহার করুন</v>
      </c>
      <c r="AR95" s="5" t="str">
        <f ca="1">IFERROR(__xludf.DUMMYFUNCTION("IF(AB95 = """", """", GOOGLETRANSLATE(AB95, ""en"", ""bn""))"),"")</f>
        <v/>
      </c>
      <c r="AU95" s="5" t="str">
        <f ca="1">IFERROR(__xludf.DUMMYFUNCTION("IF(Y95 = """", """", GOOGLETRANSLATE(Y95, ""en"", ""te""))"),"గుర్తింపు మరియు గౌరవం సాధ్యమే")</f>
        <v>గుర్తింపు మరియు గౌరవం సాధ్యమే</v>
      </c>
      <c r="AV95" s="5" t="str">
        <f ca="1">IFERROR(__xludf.DUMMYFUNCTION("IF(Z95 = """", """", GOOGLETRANSLATE(Z95, ""en"", ""te""))"),"ప్రభుత్వ పనులు పురోగమిస్తాయి")</f>
        <v>ప్రభుత్వ పనులు పురోగమిస్తాయి</v>
      </c>
      <c r="AW95" s="5" t="str">
        <f ca="1">IFERROR(__xludf.DUMMYFUNCTION("IF(AA95 = """", """", GOOGLETRANSLATE(AA95, ""en"", ""te""))"),"ఈ అదృష్ట దినాన్ని పూర్తిగా సద్వినియోగం చేసుకోండి")</f>
        <v>ఈ అదృష్ట దినాన్ని పూర్తిగా సద్వినియోగం చేసుకోండి</v>
      </c>
      <c r="AX95" s="5" t="str">
        <f ca="1">IFERROR(__xludf.DUMMYFUNCTION("IF(AB95 = """", """", GOOGLETRANSLATE(AB95, ""en"", ""te""))"),"")</f>
        <v/>
      </c>
    </row>
    <row r="96" spans="1:50" x14ac:dyDescent="0.25">
      <c r="A96" s="1">
        <v>109</v>
      </c>
      <c r="B96" s="1" t="s">
        <v>56</v>
      </c>
      <c r="C96" s="8">
        <v>45831</v>
      </c>
      <c r="D96" s="8">
        <v>45831</v>
      </c>
      <c r="E96" s="1">
        <v>11</v>
      </c>
      <c r="F96" s="1">
        <v>1</v>
      </c>
      <c r="G96" s="3" t="s">
        <v>351</v>
      </c>
      <c r="H96" s="4">
        <v>7.6273148148148151E-3</v>
      </c>
      <c r="I96" s="4">
        <v>6.5277777777777782E-3</v>
      </c>
      <c r="J96" s="4">
        <v>7.3379629629629628E-3</v>
      </c>
      <c r="K96" s="1" t="s">
        <v>58</v>
      </c>
      <c r="L96" s="1" t="s">
        <v>79</v>
      </c>
      <c r="M96" s="1" t="s">
        <v>19</v>
      </c>
      <c r="O96" s="1" t="s">
        <v>61</v>
      </c>
      <c r="P96" s="1" t="s">
        <v>61</v>
      </c>
      <c r="Q96" s="1" t="s">
        <v>61</v>
      </c>
      <c r="R96" s="1" t="s">
        <v>61</v>
      </c>
      <c r="S96" s="1" t="s">
        <v>61</v>
      </c>
      <c r="T96" s="1" t="s">
        <v>352</v>
      </c>
      <c r="V96" s="1" t="s">
        <v>61</v>
      </c>
      <c r="W96" s="1" t="s">
        <v>61</v>
      </c>
      <c r="X96" s="1" t="s">
        <v>61</v>
      </c>
      <c r="Y96" s="1" t="s">
        <v>383</v>
      </c>
      <c r="Z96" s="1" t="s">
        <v>384</v>
      </c>
      <c r="AA96" s="1" t="s">
        <v>385</v>
      </c>
      <c r="AB96" s="1"/>
      <c r="AC96" s="5" t="str">
        <f ca="1">IFERROR(__xludf.DUMMYFUNCTION("IF(Y96 = """", """", GOOGLETRANSLATE(Y96, ""en"", ""hi""))
"),"अत्यधिक सोच और पिछली घटनाएं मन को धुंधला कर सकती हैं")</f>
        <v>अत्यधिक सोच और पिछली घटनाएं मन को धुंधला कर सकती हैं</v>
      </c>
      <c r="AD96" s="5" t="str">
        <f ca="1">IFERROR(__xludf.DUMMYFUNCTION("IF(Z96 = """", """", GOOGLETRANSLATE(Z96, ""en"", ""hi""))"),"मानसिक तनाव से बचें")</f>
        <v>मानसिक तनाव से बचें</v>
      </c>
      <c r="AE96" s="5" t="str">
        <f ca="1">IFERROR(__xludf.DUMMYFUNCTION("IF(AA96 = """", """", GOOGLETRANSLATE(AA96, ""en"", ""hi""))"),"दिन शांति से बीतने दो")</f>
        <v>दिन शांति से बीतने दो</v>
      </c>
      <c r="AF96" s="5" t="str">
        <f ca="1">IFERROR(__xludf.DUMMYFUNCTION("IF(AB96 = """", """", GOOGLETRANSLATE(AB96, ""en"", ""hi""))"),"")</f>
        <v/>
      </c>
      <c r="AG96" s="5" t="str">
        <f ca="1">IFERROR(__xludf.DUMMYFUNCTION("IF(Y96 = """", """", GOOGLETRANSLATE(Y96, ""en"", ""mr""))"),"अतिविचार आणि भूतकाळातील घटनांमुळे मन ढळू शकते")</f>
        <v>अतिविचार आणि भूतकाळातील घटनांमुळे मन ढळू शकते</v>
      </c>
      <c r="AH96" s="5" t="str">
        <f ca="1">IFERROR(__xludf.DUMMYFUNCTION("IF(Z96 = """", """", GOOGLETRANSLATE(Z96, ""en"", ""mr""))"),"मानसिक ताण टाळा")</f>
        <v>मानसिक ताण टाळा</v>
      </c>
      <c r="AI96" s="5" t="str">
        <f ca="1">IFERROR(__xludf.DUMMYFUNCTION("IF(AA96 = """", """", GOOGLETRANSLATE(AA96, ""en"", ""mr""))"),"दिवस शांतपणे जाऊ द्या")</f>
        <v>दिवस शांतपणे जाऊ द्या</v>
      </c>
      <c r="AJ96" s="5" t="str">
        <f ca="1">IFERROR(__xludf.DUMMYFUNCTION("IF(AB96 = """", """", GOOGLETRANSLATE(AB96, ""en"", ""mr""))"),"")</f>
        <v/>
      </c>
      <c r="AK96" s="5" t="str">
        <f ca="1">IFERROR(__xludf.DUMMYFUNCTION("IF(Y96 = """", """", GOOGLETRANSLATE(Y96, ""en"", ""gu""))"),"અતિશય વિચારણા અને ભૂતકાળની ઘટનાઓ મનમાં વાદળછાયું બની શકે છે")</f>
        <v>અતિશય વિચારણા અને ભૂતકાળની ઘટનાઓ મનમાં વાદળછાયું બની શકે છે</v>
      </c>
      <c r="AL96" s="5" t="str">
        <f ca="1">IFERROR(__xludf.DUMMYFUNCTION("IF(Z96 = """", """", GOOGLETRANSLATE(Z96, ""en"", ""gu""))"),"માનસિક તણાવથી બચો")</f>
        <v>માનસિક તણાવથી બચો</v>
      </c>
      <c r="AM96" s="5" t="str">
        <f ca="1">IFERROR(__xludf.DUMMYFUNCTION("IF(AA96 = """", """", GOOGLETRANSLATE(AA96, ""en"", ""gu""))"),"દિવસને શાંતિથી પસાર થવા દો")</f>
        <v>દિવસને શાંતિથી પસાર થવા દો</v>
      </c>
      <c r="AN96" s="5" t="str">
        <f ca="1">IFERROR(__xludf.DUMMYFUNCTION("IF(AB96 = """", """", GOOGLETRANSLATE(AB96, ""en"", ""gu""))"),"")</f>
        <v/>
      </c>
      <c r="AO96" s="5" t="str">
        <f ca="1">IFERROR(__xludf.DUMMYFUNCTION("IF(Y96 = """", """", GOOGLETRANSLATE(Y96, ""en"", ""bn""))"),"অত্যধিক চিন্তাভাবনা এবং অতীতের ঘটনা মনে মেঘ করতে পারে")</f>
        <v>অত্যধিক চিন্তাভাবনা এবং অতীতের ঘটনা মনে মেঘ করতে পারে</v>
      </c>
      <c r="AP96" s="5" t="str">
        <f ca="1">IFERROR(__xludf.DUMMYFUNCTION("IF(Z96 = """", """", GOOGLETRANSLATE(Z96, ""en"", ""bn""))"),"মানসিক চাপ এড়িয়ে চলুন")</f>
        <v>মানসিক চাপ এড়িয়ে চলুন</v>
      </c>
      <c r="AQ96" s="5" t="str">
        <f ca="1">IFERROR(__xludf.DUMMYFUNCTION("IF(AA96 = """", """", GOOGLETRANSLATE(AA96, ""en"", ""bn""))"),"দিনটি শান্তভাবে কাটুক")</f>
        <v>দিনটি শান্তভাবে কাটুক</v>
      </c>
      <c r="AR96" s="5" t="str">
        <f ca="1">IFERROR(__xludf.DUMMYFUNCTION("IF(AB96 = """", """", GOOGLETRANSLATE(AB96, ""en"", ""bn""))"),"")</f>
        <v/>
      </c>
      <c r="AU96" s="5" t="str">
        <f ca="1">IFERROR(__xludf.DUMMYFUNCTION("IF(Y96 = """", """", GOOGLETRANSLATE(Y96, ""en"", ""te""))"),"అతిగా ఆలోచించడం &amp; గత సంఘటనలు మనస్సును మబ్బుగా మార్చవచ్చు")</f>
        <v>అతిగా ఆలోచించడం &amp; గత సంఘటనలు మనస్సును మబ్బుగా మార్చవచ్చు</v>
      </c>
      <c r="AV96" s="5" t="str">
        <f ca="1">IFERROR(__xludf.DUMMYFUNCTION("IF(Z96 = """", """", GOOGLETRANSLATE(Z96, ""en"", ""te""))"),"మానసిక ఒత్తిడిని నివారించండి")</f>
        <v>మానసిక ఒత్తిడిని నివారించండి</v>
      </c>
      <c r="AW96" s="5" t="str">
        <f ca="1">IFERROR(__xludf.DUMMYFUNCTION("IF(AA96 = """", """", GOOGLETRANSLATE(AA96, ""en"", ""te""))"),"రోజు ప్రశాంతంగా గడిచిపోనివ్వండి")</f>
        <v>రోజు ప్రశాంతంగా గడిచిపోనివ్వండి</v>
      </c>
      <c r="AX96" s="5" t="str">
        <f ca="1">IFERROR(__xludf.DUMMYFUNCTION("IF(AB96 = """", """", GOOGLETRANSLATE(AB96, ""en"", ""te""))"),"")</f>
        <v/>
      </c>
    </row>
    <row r="97" spans="1:50" x14ac:dyDescent="0.25">
      <c r="A97" s="1">
        <v>110</v>
      </c>
      <c r="B97" s="1" t="s">
        <v>56</v>
      </c>
      <c r="C97" s="8">
        <v>45831</v>
      </c>
      <c r="D97" s="8">
        <v>45831</v>
      </c>
      <c r="E97" s="1">
        <v>12</v>
      </c>
      <c r="F97" s="1">
        <v>1</v>
      </c>
      <c r="G97" s="3" t="s">
        <v>351</v>
      </c>
      <c r="H97" s="4">
        <v>7.6273148148148151E-3</v>
      </c>
      <c r="I97" s="4">
        <v>7.3379629629629628E-3</v>
      </c>
      <c r="J97" s="4">
        <v>7.6273148148148151E-3</v>
      </c>
      <c r="K97" s="1" t="s">
        <v>58</v>
      </c>
      <c r="L97" s="1" t="s">
        <v>81</v>
      </c>
      <c r="M97" s="1" t="s">
        <v>14</v>
      </c>
      <c r="O97" s="1" t="s">
        <v>352</v>
      </c>
      <c r="P97" s="1" t="s">
        <v>61</v>
      </c>
      <c r="Q97" s="1" t="s">
        <v>61</v>
      </c>
      <c r="R97" s="1" t="s">
        <v>61</v>
      </c>
      <c r="S97" s="1" t="s">
        <v>61</v>
      </c>
      <c r="T97" s="1" t="s">
        <v>61</v>
      </c>
      <c r="V97" s="1" t="s">
        <v>61</v>
      </c>
      <c r="W97" s="1" t="s">
        <v>61</v>
      </c>
      <c r="X97" s="1" t="s">
        <v>61</v>
      </c>
      <c r="Y97" s="1" t="s">
        <v>386</v>
      </c>
      <c r="Z97" s="1" t="s">
        <v>387</v>
      </c>
      <c r="AA97" s="1" t="s">
        <v>388</v>
      </c>
      <c r="AB97" s="1"/>
      <c r="AC97" s="5" t="str">
        <f ca="1">IFERROR(__xludf.DUMMYFUNCTION("IF(Y97 = """", """", GOOGLETRANSLATE(Y97, ""en"", ""hi""))
"),"सामाजिक समय और पारिवारिक बंधन का आनंद लें")</f>
        <v>सामाजिक समय और पारिवारिक बंधन का आनंद लें</v>
      </c>
      <c r="AD97" s="5" t="str">
        <f ca="1">IFERROR(__xludf.DUMMYFUNCTION("IF(Z97 = """", """", GOOGLETRANSLATE(Z97, ""en"", ""hi""))"),"खरीदारी या सैर संभव")</f>
        <v>खरीदारी या सैर संभव</v>
      </c>
      <c r="AE97" s="5" t="str">
        <f ca="1">IFERROR(__xludf.DUMMYFUNCTION("IF(AA97 = """", """", GOOGLETRANSLATE(AA97, ""en"", ""hi""))"),"प्रतिष्ठा और सम्मान बढ़ सकता है")</f>
        <v>प्रतिष्ठा और सम्मान बढ़ सकता है</v>
      </c>
      <c r="AF97" s="5" t="str">
        <f ca="1">IFERROR(__xludf.DUMMYFUNCTION("IF(AB97 = """", """", GOOGLETRANSLATE(AB97, ""en"", ""hi""))"),"")</f>
        <v/>
      </c>
      <c r="AG97" s="5" t="str">
        <f ca="1">IFERROR(__xludf.DUMMYFUNCTION("IF(Y97 = """", """", GOOGLETRANSLATE(Y97, ""en"", ""mr""))"),"सामाजिक वेळ आणि कौटुंबिक संबंधांचा आनंद घ्या")</f>
        <v>सामाजिक वेळ आणि कौटुंबिक संबंधांचा आनंद घ्या</v>
      </c>
      <c r="AH97" s="5" t="str">
        <f ca="1">IFERROR(__xludf.DUMMYFUNCTION("IF(Z97 = """", """", GOOGLETRANSLATE(Z97, ""en"", ""mr""))"),"खरेदी किंवा बाहेर जाण्याची शक्यता आहे")</f>
        <v>खरेदी किंवा बाहेर जाण्याची शक्यता आहे</v>
      </c>
      <c r="AI97" s="5" t="str">
        <f ca="1">IFERROR(__xludf.DUMMYFUNCTION("IF(AA97 = """", """", GOOGLETRANSLATE(AA97, ""en"", ""mr""))"),"प्रतिष्ठा आणि आदर वाढू शकतो")</f>
        <v>प्रतिष्ठा आणि आदर वाढू शकतो</v>
      </c>
      <c r="AJ97" s="5" t="str">
        <f ca="1">IFERROR(__xludf.DUMMYFUNCTION("IF(AB97 = """", """", GOOGLETRANSLATE(AB97, ""en"", ""mr""))"),"")</f>
        <v/>
      </c>
      <c r="AK97" s="5" t="str">
        <f ca="1">IFERROR(__xludf.DUMMYFUNCTION("IF(Y97 = """", """", GOOGLETRANSLATE(Y97, ""en"", ""gu""))"),"સામાજિક સમય અને કૌટુંબિક બંધનનો આનંદ માણો")</f>
        <v>સામાજિક સમય અને કૌટુંબિક બંધનનો આનંદ માણો</v>
      </c>
      <c r="AL97" s="5" t="str">
        <f ca="1">IFERROR(__xludf.DUMMYFUNCTION("IF(Z97 = """", """", GOOGLETRANSLATE(Z97, ""en"", ""gu""))"),"ખરીદી અથવા બહાર ફરવાનું શક્ય છે")</f>
        <v>ખરીદી અથવા બહાર ફરવાનું શક્ય છે</v>
      </c>
      <c r="AM97" s="5" t="str">
        <f ca="1">IFERROR(__xludf.DUMMYFUNCTION("IF(AA97 = """", """", GOOGLETRANSLATE(AA97, ""en"", ""gu""))"),"પદ અને સન્માન વધી શકે છે")</f>
        <v>પદ અને સન્માન વધી શકે છે</v>
      </c>
      <c r="AN97" s="5" t="str">
        <f ca="1">IFERROR(__xludf.DUMMYFUNCTION("IF(AB97 = """", """", GOOGLETRANSLATE(AB97, ""en"", ""gu""))"),"")</f>
        <v/>
      </c>
      <c r="AO97" s="5" t="str">
        <f ca="1">IFERROR(__xludf.DUMMYFUNCTION("IF(Y97 = """", """", GOOGLETRANSLATE(Y97, ""en"", ""bn""))"),"সামাজিক সময় এবং পারিবারিক বন্ধন উপভোগ করুন")</f>
        <v>সামাজিক সময় এবং পারিবারিক বন্ধন উপভোগ করুন</v>
      </c>
      <c r="AP97" s="5" t="str">
        <f ca="1">IFERROR(__xludf.DUMMYFUNCTION("IF(Z97 = """", """", GOOGLETRANSLATE(Z97, ""en"", ""bn""))"),"কেনাকাটা বা আউটিং সম্ভব")</f>
        <v>কেনাকাটা বা আউটিং সম্ভব</v>
      </c>
      <c r="AQ97" s="5" t="str">
        <f ca="1">IFERROR(__xludf.DUMMYFUNCTION("IF(AA97 = """", """", GOOGLETRANSLATE(AA97, ""en"", ""bn""))"),"মর্যাদা ও সম্মান বৃদ্ধি পেতে পারে")</f>
        <v>মর্যাদা ও সম্মান বৃদ্ধি পেতে পারে</v>
      </c>
      <c r="AR97" s="5" t="str">
        <f ca="1">IFERROR(__xludf.DUMMYFUNCTION("IF(AB97 = """", """", GOOGLETRANSLATE(AB97, ""en"", ""bn""))"),"")</f>
        <v/>
      </c>
      <c r="AU97" s="5" t="str">
        <f ca="1">IFERROR(__xludf.DUMMYFUNCTION("IF(Y97 = """", """", GOOGLETRANSLATE(Y97, ""en"", ""te""))"),"సామాజిక సమయం మరియు కుటుంబ బంధాన్ని ఆస్వాదించండి")</f>
        <v>సామాజిక సమయం మరియు కుటుంబ బంధాన్ని ఆస్వాదించండి</v>
      </c>
      <c r="AV97" s="5" t="str">
        <f ca="1">IFERROR(__xludf.DUMMYFUNCTION("IF(Z97 = """", """", GOOGLETRANSLATE(Z97, ""en"", ""te""))"),"షాపింగ్ లేదా విహారయాత్రలు సాధ్యమే")</f>
        <v>షాపింగ్ లేదా విహారయాత్రలు సాధ్యమే</v>
      </c>
      <c r="AW97" s="5" t="str">
        <f ca="1">IFERROR(__xludf.DUMMYFUNCTION("IF(AA97 = """", """", GOOGLETRANSLATE(AA97, ""en"", ""te""))"),"హోదా, గౌరవం పెరగవచ్చు")</f>
        <v>హోదా, గౌరవం పెరగవచ్చు</v>
      </c>
      <c r="AX97" s="5" t="str">
        <f ca="1">IFERROR(__xludf.DUMMYFUNCTION("IF(AB97 = """", """", GOOGLETRANSLATE(AB97, ""en"", ""te""))"),"")</f>
        <v/>
      </c>
    </row>
    <row r="98" spans="1:50" x14ac:dyDescent="0.25">
      <c r="A98" s="1">
        <v>111</v>
      </c>
      <c r="B98" s="1" t="s">
        <v>56</v>
      </c>
      <c r="C98" s="8">
        <v>45831</v>
      </c>
      <c r="D98" s="8">
        <v>45831</v>
      </c>
      <c r="E98" s="1">
        <v>13</v>
      </c>
      <c r="F98" s="1">
        <v>1</v>
      </c>
      <c r="G98" s="3" t="s">
        <v>351</v>
      </c>
      <c r="H98" s="4">
        <v>7.6273148148148151E-3</v>
      </c>
      <c r="I98" s="4">
        <v>7.6273148148148151E-3</v>
      </c>
      <c r="J98" s="4">
        <v>7.6273148148148151E-3</v>
      </c>
      <c r="L98" s="1" t="s">
        <v>137</v>
      </c>
      <c r="O98" s="1" t="s">
        <v>61</v>
      </c>
      <c r="P98" s="1" t="s">
        <v>61</v>
      </c>
      <c r="Q98" s="1" t="s">
        <v>61</v>
      </c>
      <c r="R98" s="1" t="s">
        <v>61</v>
      </c>
      <c r="S98" s="1" t="s">
        <v>61</v>
      </c>
      <c r="T98" s="1" t="s">
        <v>61</v>
      </c>
      <c r="V98" s="1" t="s">
        <v>61</v>
      </c>
      <c r="W98" s="1" t="s">
        <v>61</v>
      </c>
      <c r="X98" s="1" t="s">
        <v>61</v>
      </c>
      <c r="AB98" s="1"/>
      <c r="AC98" s="5" t="str">
        <f ca="1">IFERROR(__xludf.DUMMYFUNCTION("IF(Y98 = """", """", GOOGLETRANSLATE(Y98, ""en"", ""hi""))
"),"")</f>
        <v/>
      </c>
      <c r="AD98" s="5" t="str">
        <f ca="1">IFERROR(__xludf.DUMMYFUNCTION("IF(Z98 = """", """", GOOGLETRANSLATE(Z98, ""en"", ""hi""))"),"")</f>
        <v/>
      </c>
      <c r="AE98" s="5" t="str">
        <f ca="1">IFERROR(__xludf.DUMMYFUNCTION("IF(AA98 = """", """", GOOGLETRANSLATE(AA98, ""en"", ""hi""))"),"")</f>
        <v/>
      </c>
      <c r="AF98" s="5" t="str">
        <f ca="1">IFERROR(__xludf.DUMMYFUNCTION("IF(AB98 = """", """", GOOGLETRANSLATE(AB98, ""en"", ""hi""))"),"")</f>
        <v/>
      </c>
      <c r="AG98" s="5" t="str">
        <f ca="1">IFERROR(__xludf.DUMMYFUNCTION("IF(Y98 = """", """", GOOGLETRANSLATE(Y98, ""en"", ""mr""))"),"")</f>
        <v/>
      </c>
      <c r="AH98" s="5" t="str">
        <f ca="1">IFERROR(__xludf.DUMMYFUNCTION("IF(Z98 = """", """", GOOGLETRANSLATE(Z98, ""en"", ""mr""))"),"")</f>
        <v/>
      </c>
      <c r="AI98" s="5" t="str">
        <f ca="1">IFERROR(__xludf.DUMMYFUNCTION("IF(AA98 = """", """", GOOGLETRANSLATE(AA98, ""en"", ""mr""))"),"")</f>
        <v/>
      </c>
      <c r="AJ98" s="5" t="str">
        <f ca="1">IFERROR(__xludf.DUMMYFUNCTION("IF(AB98 = """", """", GOOGLETRANSLATE(AB98, ""en"", ""mr""))"),"")</f>
        <v/>
      </c>
      <c r="AK98" s="5" t="str">
        <f ca="1">IFERROR(__xludf.DUMMYFUNCTION("IF(Y98 = """", """", GOOGLETRANSLATE(Y98, ""en"", ""gu""))"),"")</f>
        <v/>
      </c>
      <c r="AL98" s="5" t="str">
        <f ca="1">IFERROR(__xludf.DUMMYFUNCTION("IF(Z98 = """", """", GOOGLETRANSLATE(Z98, ""en"", ""gu""))"),"")</f>
        <v/>
      </c>
      <c r="AM98" s="5" t="str">
        <f ca="1">IFERROR(__xludf.DUMMYFUNCTION("IF(AA98 = """", """", GOOGLETRANSLATE(AA98, ""en"", ""gu""))"),"")</f>
        <v/>
      </c>
      <c r="AN98" s="5" t="str">
        <f ca="1">IFERROR(__xludf.DUMMYFUNCTION("IF(AB98 = """", """", GOOGLETRANSLATE(AB98, ""en"", ""gu""))"),"")</f>
        <v/>
      </c>
      <c r="AO98" s="5" t="str">
        <f ca="1">IFERROR(__xludf.DUMMYFUNCTION("IF(Y98 = """", """", GOOGLETRANSLATE(Y98, ""en"", ""bn""))"),"")</f>
        <v/>
      </c>
      <c r="AP98" s="5" t="str">
        <f ca="1">IFERROR(__xludf.DUMMYFUNCTION("IF(Z98 = """", """", GOOGLETRANSLATE(Z98, ""en"", ""bn""))"),"")</f>
        <v/>
      </c>
      <c r="AQ98" s="5" t="str">
        <f ca="1">IFERROR(__xludf.DUMMYFUNCTION("IF(AA98 = """", """", GOOGLETRANSLATE(AA98, ""en"", ""bn""))"),"")</f>
        <v/>
      </c>
      <c r="AR98" s="5" t="str">
        <f ca="1">IFERROR(__xludf.DUMMYFUNCTION("IF(AB98 = """", """", GOOGLETRANSLATE(AB98, ""en"", ""bn""))"),"")</f>
        <v/>
      </c>
      <c r="AU98" s="5" t="str">
        <f ca="1">IFERROR(__xludf.DUMMYFUNCTION("IF(Y98 = """", """", GOOGLETRANSLATE(Y98, ""en"", ""te""))"),"")</f>
        <v/>
      </c>
      <c r="AV98" s="5" t="str">
        <f ca="1">IFERROR(__xludf.DUMMYFUNCTION("IF(Z98 = """", """", GOOGLETRANSLATE(Z98, ""en"", ""te""))"),"")</f>
        <v/>
      </c>
      <c r="AW98" s="5" t="str">
        <f ca="1">IFERROR(__xludf.DUMMYFUNCTION("IF(AA98 = """", """", GOOGLETRANSLATE(AA98, ""en"", ""te""))"),"")</f>
        <v/>
      </c>
      <c r="AX98" s="5" t="str">
        <f ca="1">IFERROR(__xludf.DUMMYFUNCTION("IF(AB98 = """", """", GOOGLETRANSLATE(AB98, ""en"", ""te""))"),"")</f>
        <v/>
      </c>
    </row>
    <row r="99" spans="1:50" x14ac:dyDescent="0.25">
      <c r="A99" s="1">
        <v>112</v>
      </c>
      <c r="B99" s="1" t="s">
        <v>56</v>
      </c>
      <c r="C99" s="8">
        <v>45832</v>
      </c>
      <c r="D99" s="8">
        <v>45832</v>
      </c>
      <c r="E99" s="1">
        <v>0</v>
      </c>
      <c r="F99" s="1">
        <v>1</v>
      </c>
      <c r="G99" s="3" t="s">
        <v>389</v>
      </c>
      <c r="H99" s="4">
        <v>9.8958333333333329E-3</v>
      </c>
      <c r="I99" s="4">
        <v>0</v>
      </c>
      <c r="J99" s="4">
        <v>7.8703703703703705E-4</v>
      </c>
      <c r="K99" s="1" t="s">
        <v>58</v>
      </c>
      <c r="L99" s="1" t="s">
        <v>59</v>
      </c>
      <c r="O99" s="1" t="s">
        <v>61</v>
      </c>
      <c r="P99" s="1" t="s">
        <v>61</v>
      </c>
      <c r="Q99" s="1" t="s">
        <v>61</v>
      </c>
      <c r="R99" s="1" t="s">
        <v>61</v>
      </c>
      <c r="S99" s="1" t="s">
        <v>61</v>
      </c>
      <c r="T99" s="1" t="s">
        <v>61</v>
      </c>
      <c r="V99" s="1" t="s">
        <v>61</v>
      </c>
      <c r="W99" s="1" t="s">
        <v>61</v>
      </c>
      <c r="X99" s="1" t="s">
        <v>61</v>
      </c>
      <c r="AB99" s="1"/>
      <c r="AC99" s="5" t="str">
        <f ca="1">IFERROR(__xludf.DUMMYFUNCTION("IF(Y99 = """", """", GOOGLETRANSLATE(Y99, ""en"", ""hi""))
"),"")</f>
        <v/>
      </c>
      <c r="AD99" s="5" t="str">
        <f ca="1">IFERROR(__xludf.DUMMYFUNCTION("IF(Z99 = """", """", GOOGLETRANSLATE(Z99, ""en"", ""hi""))"),"")</f>
        <v/>
      </c>
      <c r="AE99" s="5" t="str">
        <f ca="1">IFERROR(__xludf.DUMMYFUNCTION("IF(AA99 = """", """", GOOGLETRANSLATE(AA99, ""en"", ""hi""))"),"")</f>
        <v/>
      </c>
      <c r="AF99" s="5" t="str">
        <f ca="1">IFERROR(__xludf.DUMMYFUNCTION("IF(AB99 = """", """", GOOGLETRANSLATE(AB99, ""en"", ""hi""))"),"")</f>
        <v/>
      </c>
      <c r="AG99" s="5" t="str">
        <f ca="1">IFERROR(__xludf.DUMMYFUNCTION("IF(Y99 = """", """", GOOGLETRANSLATE(Y99, ""en"", ""mr""))"),"")</f>
        <v/>
      </c>
      <c r="AH99" s="5" t="str">
        <f ca="1">IFERROR(__xludf.DUMMYFUNCTION("IF(Z99 = """", """", GOOGLETRANSLATE(Z99, ""en"", ""mr""))"),"")</f>
        <v/>
      </c>
      <c r="AI99" s="5" t="str">
        <f ca="1">IFERROR(__xludf.DUMMYFUNCTION("IF(AA99 = """", """", GOOGLETRANSLATE(AA99, ""en"", ""mr""))"),"")</f>
        <v/>
      </c>
      <c r="AJ99" s="5" t="str">
        <f ca="1">IFERROR(__xludf.DUMMYFUNCTION("IF(AB99 = """", """", GOOGLETRANSLATE(AB99, ""en"", ""mr""))"),"")</f>
        <v/>
      </c>
      <c r="AK99" s="5" t="str">
        <f ca="1">IFERROR(__xludf.DUMMYFUNCTION("IF(Y99 = """", """", GOOGLETRANSLATE(Y99, ""en"", ""gu""))"),"")</f>
        <v/>
      </c>
      <c r="AL99" s="5" t="str">
        <f ca="1">IFERROR(__xludf.DUMMYFUNCTION("IF(Z99 = """", """", GOOGLETRANSLATE(Z99, ""en"", ""gu""))"),"")</f>
        <v/>
      </c>
      <c r="AM99" s="5" t="str">
        <f ca="1">IFERROR(__xludf.DUMMYFUNCTION("IF(AA99 = """", """", GOOGLETRANSLATE(AA99, ""en"", ""gu""))"),"")</f>
        <v/>
      </c>
      <c r="AN99" s="5" t="str">
        <f ca="1">IFERROR(__xludf.DUMMYFUNCTION("IF(AB99 = """", """", GOOGLETRANSLATE(AB99, ""en"", ""gu""))"),"")</f>
        <v/>
      </c>
      <c r="AO99" s="5" t="str">
        <f ca="1">IFERROR(__xludf.DUMMYFUNCTION("IF(Y99 = """", """", GOOGLETRANSLATE(Y99, ""en"", ""bn""))"),"")</f>
        <v/>
      </c>
      <c r="AP99" s="5" t="str">
        <f ca="1">IFERROR(__xludf.DUMMYFUNCTION("IF(Z99 = """", """", GOOGLETRANSLATE(Z99, ""en"", ""bn""))"),"")</f>
        <v/>
      </c>
      <c r="AQ99" s="5" t="str">
        <f ca="1">IFERROR(__xludf.DUMMYFUNCTION("IF(AA99 = """", """", GOOGLETRANSLATE(AA99, ""en"", ""bn""))"),"")</f>
        <v/>
      </c>
      <c r="AR99" s="5" t="str">
        <f ca="1">IFERROR(__xludf.DUMMYFUNCTION("IF(AB99 = """", """", GOOGLETRANSLATE(AB99, ""en"", ""bn""))"),"")</f>
        <v/>
      </c>
      <c r="AU99" s="5" t="str">
        <f ca="1">IFERROR(__xludf.DUMMYFUNCTION("IF(Y99 = """", """", GOOGLETRANSLATE(Y99, ""en"", ""te""))"),"")</f>
        <v/>
      </c>
      <c r="AV99" s="5" t="str">
        <f ca="1">IFERROR(__xludf.DUMMYFUNCTION("IF(Z99 = """", """", GOOGLETRANSLATE(Z99, ""en"", ""te""))"),"")</f>
        <v/>
      </c>
      <c r="AW99" s="5" t="str">
        <f ca="1">IFERROR(__xludf.DUMMYFUNCTION("IF(AA99 = """", """", GOOGLETRANSLATE(AA99, ""en"", ""te""))"),"")</f>
        <v/>
      </c>
      <c r="AX99" s="5" t="str">
        <f ca="1">IFERROR(__xludf.DUMMYFUNCTION("IF(AB99 = """", """", GOOGLETRANSLATE(AB99, ""en"", ""te""))"),"")</f>
        <v/>
      </c>
    </row>
    <row r="100" spans="1:50" x14ac:dyDescent="0.25">
      <c r="A100" s="1">
        <v>113</v>
      </c>
      <c r="B100" s="1" t="s">
        <v>56</v>
      </c>
      <c r="C100" s="8">
        <v>45832</v>
      </c>
      <c r="D100" s="8">
        <v>45832</v>
      </c>
      <c r="E100" s="1">
        <v>1</v>
      </c>
      <c r="F100" s="1">
        <v>1</v>
      </c>
      <c r="G100" s="3" t="s">
        <v>389</v>
      </c>
      <c r="H100" s="4">
        <v>9.8958333333333329E-3</v>
      </c>
      <c r="I100" s="4">
        <v>7.8703703703703705E-4</v>
      </c>
      <c r="J100" s="4">
        <v>1.3888888888888889E-3</v>
      </c>
      <c r="K100" s="1" t="s">
        <v>58</v>
      </c>
      <c r="L100" s="1" t="s">
        <v>142</v>
      </c>
      <c r="M100" s="1" t="s">
        <v>14</v>
      </c>
      <c r="O100" s="1" t="s">
        <v>61</v>
      </c>
      <c r="P100" s="1" t="s">
        <v>61</v>
      </c>
      <c r="Q100" s="1" t="s">
        <v>61</v>
      </c>
      <c r="R100" s="1" t="s">
        <v>61</v>
      </c>
      <c r="S100" s="1" t="s">
        <v>61</v>
      </c>
      <c r="T100" s="1" t="s">
        <v>61</v>
      </c>
      <c r="V100" s="1" t="s">
        <v>61</v>
      </c>
      <c r="W100" s="1" t="s">
        <v>61</v>
      </c>
      <c r="X100" s="1" t="s">
        <v>61</v>
      </c>
      <c r="Y100" s="1" t="s">
        <v>390</v>
      </c>
      <c r="Z100" s="1" t="s">
        <v>391</v>
      </c>
      <c r="AA100" s="1" t="s">
        <v>392</v>
      </c>
      <c r="AB100" s="1"/>
      <c r="AC100" s="5" t="str">
        <f ca="1">IFERROR(__xludf.DUMMYFUNCTION("IF(Y100 = """", """", GOOGLETRANSLATE(Y100, ""en"", ""hi""))
"),"पारिवारिक एवं सामाजिक जिम्मेदारियाँ बढ़ेंगी")</f>
        <v>पारिवारिक एवं सामाजिक जिम्मेदारियाँ बढ़ेंगी</v>
      </c>
      <c r="AD100" s="5" t="str">
        <f ca="1">IFERROR(__xludf.DUMMYFUNCTION("IF(Z100 = """", """", GOOGLETRANSLATE(Z100, ""en"", ""hi""))"),"स्वास्थ्य और चोटों के प्रति सचेत रहें")</f>
        <v>स्वास्थ्य और चोटों के प्रति सचेत रहें</v>
      </c>
      <c r="AE100" s="5" t="str">
        <f ca="1">IFERROR(__xludf.DUMMYFUNCTION("IF(AA100 = """", """", GOOGLETRANSLATE(AA100, ""en"", ""hi""))"),"मंगल-केतु के प्रभाव से थकान हो सकती है")</f>
        <v>मंगल-केतु के प्रभाव से थकान हो सकती है</v>
      </c>
      <c r="AF100" s="5" t="str">
        <f ca="1">IFERROR(__xludf.DUMMYFUNCTION("IF(AB100 = """", """", GOOGLETRANSLATE(AB100, ""en"", ""hi""))"),"")</f>
        <v/>
      </c>
      <c r="AG100" s="5" t="str">
        <f ca="1">IFERROR(__xludf.DUMMYFUNCTION("IF(Y100 = """", """", GOOGLETRANSLATE(Y100, ""en"", ""mr""))"),"कौटुंबिक व सामाजिक जबाबदाऱ्या वाढतील")</f>
        <v>कौटुंबिक व सामाजिक जबाबदाऱ्या वाढतील</v>
      </c>
      <c r="AH100" s="5" t="str">
        <f ca="1">IFERROR(__xludf.DUMMYFUNCTION("IF(Z100 = """", """", GOOGLETRANSLATE(Z100, ""en"", ""mr""))"),"आरोग्य आणि दुखापतींबाबत सावध रहा")</f>
        <v>आरोग्य आणि दुखापतींबाबत सावध रहा</v>
      </c>
      <c r="AI100" s="5" t="str">
        <f ca="1">IFERROR(__xludf.DUMMYFUNCTION("IF(AA100 = """", """", GOOGLETRANSLATE(AA100, ""en"", ""mr""))"),"मंगळ-केतूच्या प्रभावामुळे थकवा येऊ शकतो")</f>
        <v>मंगळ-केतूच्या प्रभावामुळे थकवा येऊ शकतो</v>
      </c>
      <c r="AJ100" s="5" t="str">
        <f ca="1">IFERROR(__xludf.DUMMYFUNCTION("IF(AB100 = """", """", GOOGLETRANSLATE(AB100, ""en"", ""mr""))"),"")</f>
        <v/>
      </c>
      <c r="AK100" s="5" t="str">
        <f ca="1">IFERROR(__xludf.DUMMYFUNCTION("IF(Y100 = """", """", GOOGLETRANSLATE(Y100, ""en"", ""gu""))"),"કૌટુંબિક અને સામાજિક જવાબદારીઓ વધે")</f>
        <v>કૌટુંબિક અને સામાજિક જવાબદારીઓ વધે</v>
      </c>
      <c r="AL100" s="5" t="str">
        <f ca="1">IFERROR(__xludf.DUMMYFUNCTION("IF(Z100 = """", """", GOOGLETRANSLATE(Z100, ""en"", ""gu""))"),"સ્વાસ્થ્ય અને ઇજાઓનું ધ્યાન રાખો")</f>
        <v>સ્વાસ્થ્ય અને ઇજાઓનું ધ્યાન રાખો</v>
      </c>
      <c r="AM100" s="5" t="str">
        <f ca="1">IFERROR(__xludf.DUMMYFUNCTION("IF(AA100 = """", """", GOOGLETRANSLATE(AA100, ""en"", ""gu""))"),"મંગળ-કેતુના પ્રભાવથી થાક થઈ શકે છે")</f>
        <v>મંગળ-કેતુના પ્રભાવથી થાક થઈ શકે છે</v>
      </c>
      <c r="AN100" s="5" t="str">
        <f ca="1">IFERROR(__xludf.DUMMYFUNCTION("IF(AB100 = """", """", GOOGLETRANSLATE(AB100, ""en"", ""gu""))"),"")</f>
        <v/>
      </c>
      <c r="AO100" s="5" t="str">
        <f ca="1">IFERROR(__xludf.DUMMYFUNCTION("IF(Y100 = """", """", GOOGLETRANSLATE(Y100, ""en"", ""bn""))"),"পারিবারিক ও সামাজিক দায়িত্ব বৃদ্ধি পায়")</f>
        <v>পারিবারিক ও সামাজিক দায়িত্ব বৃদ্ধি পায়</v>
      </c>
      <c r="AP100" s="5" t="str">
        <f ca="1">IFERROR(__xludf.DUMMYFUNCTION("IF(Z100 = """", """", GOOGLETRANSLATE(Z100, ""en"", ""bn""))"),"স্বাস্থ্য এবং আঘাত সম্পর্কে সচেতন হন")</f>
        <v>স্বাস্থ্য এবং আঘাত সম্পর্কে সচেতন হন</v>
      </c>
      <c r="AQ100" s="5" t="str">
        <f ca="1">IFERROR(__xludf.DUMMYFUNCTION("IF(AA100 = """", """", GOOGLETRANSLATE(AA100, ""en"", ""bn""))"),"মঙ্গল-কেতুর প্রভাবে ক্লান্তি হতে পারে")</f>
        <v>মঙ্গল-কেতুর প্রভাবে ক্লান্তি হতে পারে</v>
      </c>
      <c r="AR100" s="5" t="str">
        <f ca="1">IFERROR(__xludf.DUMMYFUNCTION("IF(AB100 = """", """", GOOGLETRANSLATE(AB100, ""en"", ""bn""))"),"")</f>
        <v/>
      </c>
      <c r="AU100" s="5" t="str">
        <f ca="1">IFERROR(__xludf.DUMMYFUNCTION("IF(Y100 = """", """", GOOGLETRANSLATE(Y100, ""en"", ""te""))"),"కుటుంబ, సామాజిక బాధ్యతలు పెరుగుతాయి")</f>
        <v>కుటుంబ, సామాజిక బాధ్యతలు పెరుగుతాయి</v>
      </c>
      <c r="AV100" s="5" t="str">
        <f ca="1">IFERROR(__xludf.DUMMYFUNCTION("IF(Z100 = """", """", GOOGLETRANSLATE(Z100, ""en"", ""te""))"),"ఆరోగ్యం &amp; గాయాల పట్ల జాగ్రత్త వహించండి")</f>
        <v>ఆరోగ్యం &amp; గాయాల పట్ల జాగ్రత్త వహించండి</v>
      </c>
      <c r="AW100" s="5" t="str">
        <f ca="1">IFERROR(__xludf.DUMMYFUNCTION("IF(AA100 = """", """", GOOGLETRANSLATE(AA100, ""en"", ""te""))"),"కుజుడు-కేతువు ప్రభావం వల్ల అలసట కలుగుతుంది")</f>
        <v>కుజుడు-కేతువు ప్రభావం వల్ల అలసట కలుగుతుంది</v>
      </c>
      <c r="AX100" s="5" t="str">
        <f ca="1">IFERROR(__xludf.DUMMYFUNCTION("IF(AB100 = """", """", GOOGLETRANSLATE(AB100, ""en"", ""te""))"),"")</f>
        <v/>
      </c>
    </row>
    <row r="101" spans="1:50" x14ac:dyDescent="0.25">
      <c r="A101" s="1">
        <v>114</v>
      </c>
      <c r="B101" s="1" t="s">
        <v>56</v>
      </c>
      <c r="C101" s="8">
        <v>45832</v>
      </c>
      <c r="D101" s="8">
        <v>45832</v>
      </c>
      <c r="E101" s="1">
        <v>2</v>
      </c>
      <c r="F101" s="1">
        <v>1</v>
      </c>
      <c r="G101" s="3" t="s">
        <v>389</v>
      </c>
      <c r="H101" s="4">
        <v>9.8958333333333329E-3</v>
      </c>
      <c r="I101" s="4">
        <v>1.3888888888888889E-3</v>
      </c>
      <c r="J101" s="4">
        <v>1.8865740740740742E-3</v>
      </c>
      <c r="K101" s="1" t="s">
        <v>58</v>
      </c>
      <c r="L101" s="1" t="s">
        <v>90</v>
      </c>
      <c r="M101" s="1" t="s">
        <v>14</v>
      </c>
      <c r="O101" s="1" t="s">
        <v>61</v>
      </c>
      <c r="P101" s="1" t="s">
        <v>61</v>
      </c>
      <c r="Q101" s="1" t="s">
        <v>61</v>
      </c>
      <c r="R101" s="1" t="s">
        <v>61</v>
      </c>
      <c r="S101" s="1" t="s">
        <v>61</v>
      </c>
      <c r="T101" s="1" t="s">
        <v>61</v>
      </c>
      <c r="V101" s="1" t="s">
        <v>61</v>
      </c>
      <c r="W101" s="1" t="s">
        <v>61</v>
      </c>
      <c r="X101" s="1" t="s">
        <v>61</v>
      </c>
      <c r="Y101" s="1" t="s">
        <v>393</v>
      </c>
      <c r="Z101" s="1" t="s">
        <v>394</v>
      </c>
      <c r="AA101" s="1" t="s">
        <v>395</v>
      </c>
      <c r="AB101" s="1"/>
      <c r="AC101" s="5" t="str">
        <f ca="1">IFERROR(__xludf.DUMMYFUNCTION("IF(Y101 = """", """", GOOGLETRANSLATE(Y101, ""en"", ""hi""))
"),"कार्यभार अधिक लेकिन मान्यता संभव")</f>
        <v>कार्यभार अधिक लेकिन मान्यता संभव</v>
      </c>
      <c r="AD101" s="5" t="str">
        <f ca="1">IFERROR(__xludf.DUMMYFUNCTION("IF(Z101 = """", """", GOOGLETRANSLATE(Z101, ""en"", ""hi""))"),"मनोबल और स्थिति में वृद्धि")</f>
        <v>मनोबल और स्थिति में वृद्धि</v>
      </c>
      <c r="AE101" s="5" t="str">
        <f ca="1">IFERROR(__xludf.DUMMYFUNCTION("IF(AA101 = """", """", GOOGLETRANSLATE(AA101, ""en"", ""hi""))"),"पारिवारिक समर्थन मजबूत बना हुआ है")</f>
        <v>पारिवारिक समर्थन मजबूत बना हुआ है</v>
      </c>
      <c r="AF101" s="5" t="str">
        <f ca="1">IFERROR(__xludf.DUMMYFUNCTION("IF(AB101 = """", """", GOOGLETRANSLATE(AB101, ""en"", ""hi""))"),"")</f>
        <v/>
      </c>
      <c r="AG101" s="5" t="str">
        <f ca="1">IFERROR(__xludf.DUMMYFUNCTION("IF(Y101 = """", """", GOOGLETRANSLATE(Y101, ""en"", ""mr""))"),"जास्त कामाचा ताण पण ओळख शक्य")</f>
        <v>जास्त कामाचा ताण पण ओळख शक्य</v>
      </c>
      <c r="AH101" s="5" t="str">
        <f ca="1">IFERROR(__xludf.DUMMYFUNCTION("IF(Z101 = """", """", GOOGLETRANSLATE(Z101, ""en"", ""mr""))"),"मनोबल आणि स्थिती वाढवा")</f>
        <v>मनोबल आणि स्थिती वाढवा</v>
      </c>
      <c r="AI101" s="5" t="str">
        <f ca="1">IFERROR(__xludf.DUMMYFUNCTION("IF(AA101 = """", """", GOOGLETRANSLATE(AA101, ""en"", ""mr""))"),"कुटुंबाचा पाठिंबा मजबूत राहील")</f>
        <v>कुटुंबाचा पाठिंबा मजबूत राहील</v>
      </c>
      <c r="AJ101" s="5" t="str">
        <f ca="1">IFERROR(__xludf.DUMMYFUNCTION("IF(AB101 = """", """", GOOGLETRANSLATE(AB101, ""en"", ""mr""))"),"")</f>
        <v/>
      </c>
      <c r="AK101" s="5" t="str">
        <f ca="1">IFERROR(__xludf.DUMMYFUNCTION("IF(Y101 = """", """", GOOGLETRANSLATE(Y101, ""en"", ""gu""))"),"ભારે વર્કલોડ પરંતુ ઓળખ શક્ય")</f>
        <v>ભારે વર્કલોડ પરંતુ ઓળખ શક્ય</v>
      </c>
      <c r="AL101" s="5" t="str">
        <f ca="1">IFERROR(__xludf.DUMMYFUNCTION("IF(Z101 = """", """", GOOGLETRANSLATE(Z101, ""en"", ""gu""))"),"મનોબળ અને સ્થિતિમાં વધારો")</f>
        <v>મનોબળ અને સ્થિતિમાં વધારો</v>
      </c>
      <c r="AM101" s="5" t="str">
        <f ca="1">IFERROR(__xludf.DUMMYFUNCTION("IF(AA101 = """", """", GOOGLETRANSLATE(AA101, ""en"", ""gu""))"),"પરિવારનો સહયોગ મજબૂત રહે")</f>
        <v>પરિવારનો સહયોગ મજબૂત રહે</v>
      </c>
      <c r="AN101" s="5" t="str">
        <f ca="1">IFERROR(__xludf.DUMMYFUNCTION("IF(AB101 = """", """", GOOGLETRANSLATE(AB101, ""en"", ""gu""))"),"")</f>
        <v/>
      </c>
      <c r="AO101" s="5" t="str">
        <f ca="1">IFERROR(__xludf.DUMMYFUNCTION("IF(Y101 = """", """", GOOGLETRANSLATE(Y101, ""en"", ""bn""))"),"ভারী কাজের চাপ কিন্তু স্বীকৃতি সম্ভব")</f>
        <v>ভারী কাজের চাপ কিন্তু স্বীকৃতি সম্ভব</v>
      </c>
      <c r="AP101" s="5" t="str">
        <f ca="1">IFERROR(__xludf.DUMMYFUNCTION("IF(Z101 = """", """", GOOGLETRANSLATE(Z101, ""en"", ""bn""))"),"মনোবল ও স্থিতি বৃদ্ধি করুন")</f>
        <v>মনোবল ও স্থিতি বৃদ্ধি করুন</v>
      </c>
      <c r="AQ101" s="5" t="str">
        <f ca="1">IFERROR(__xludf.DUMMYFUNCTION("IF(AA101 = """", """", GOOGLETRANSLATE(AA101, ""en"", ""bn""))"),"পারিবারিক সমর্থন জোরালো থাকে")</f>
        <v>পারিবারিক সমর্থন জোরালো থাকে</v>
      </c>
      <c r="AR101" s="5" t="str">
        <f ca="1">IFERROR(__xludf.DUMMYFUNCTION("IF(AB101 = """", """", GOOGLETRANSLATE(AB101, ""en"", ""bn""))"),"")</f>
        <v/>
      </c>
      <c r="AU101" s="5" t="str">
        <f ca="1">IFERROR(__xludf.DUMMYFUNCTION("IF(Y101 = """", """", GOOGLETRANSLATE(Y101, ""en"", ""te""))"),"అధిక పనిభారం ఉన్నప్పటికీ గుర్తింపు సాధ్యమవుతుంది")</f>
        <v>అధిక పనిభారం ఉన్నప్పటికీ గుర్తింపు సాధ్యమవుతుంది</v>
      </c>
      <c r="AV101" s="5" t="str">
        <f ca="1">IFERROR(__xludf.DUMMYFUNCTION("IF(Z101 = """", """", GOOGLETRANSLATE(Z101, ""en"", ""te""))"),"నైతికత &amp; స్థితిని పెంచండి")</f>
        <v>నైతికత &amp; స్థితిని పెంచండి</v>
      </c>
      <c r="AW101" s="5" t="str">
        <f ca="1">IFERROR(__xludf.DUMMYFUNCTION("IF(AA101 = """", """", GOOGLETRANSLATE(AA101, ""en"", ""te""))"),"కుటుంబ మద్దతు బలంగా ఉంటుంది")</f>
        <v>కుటుంబ మద్దతు బలంగా ఉంటుంది</v>
      </c>
      <c r="AX101" s="5" t="str">
        <f ca="1">IFERROR(__xludf.DUMMYFUNCTION("IF(AB101 = """", """", GOOGLETRANSLATE(AB101, ""en"", ""te""))"),"")</f>
        <v/>
      </c>
    </row>
    <row r="102" spans="1:50" x14ac:dyDescent="0.25">
      <c r="A102" s="1">
        <v>115</v>
      </c>
      <c r="B102" s="1" t="s">
        <v>56</v>
      </c>
      <c r="C102" s="8">
        <v>45832</v>
      </c>
      <c r="D102" s="8">
        <v>45832</v>
      </c>
      <c r="E102" s="1">
        <v>3</v>
      </c>
      <c r="F102" s="1">
        <v>1</v>
      </c>
      <c r="G102" s="3" t="s">
        <v>389</v>
      </c>
      <c r="H102" s="4">
        <v>9.8958333333333329E-3</v>
      </c>
      <c r="I102" s="4">
        <v>1.8865740740740742E-3</v>
      </c>
      <c r="J102" s="4">
        <v>2.4189814814814816E-3</v>
      </c>
      <c r="K102" s="1" t="s">
        <v>58</v>
      </c>
      <c r="L102" s="1" t="s">
        <v>97</v>
      </c>
      <c r="M102" s="1" t="s">
        <v>19</v>
      </c>
      <c r="O102" s="1" t="s">
        <v>61</v>
      </c>
      <c r="P102" s="1" t="s">
        <v>61</v>
      </c>
      <c r="Q102" s="1" t="s">
        <v>61</v>
      </c>
      <c r="R102" s="1" t="s">
        <v>61</v>
      </c>
      <c r="S102" s="1" t="s">
        <v>61</v>
      </c>
      <c r="T102" s="1" t="s">
        <v>61</v>
      </c>
      <c r="V102" s="1" t="s">
        <v>61</v>
      </c>
      <c r="W102" s="1" t="s">
        <v>61</v>
      </c>
      <c r="X102" s="1" t="s">
        <v>61</v>
      </c>
      <c r="Y102" s="1" t="s">
        <v>186</v>
      </c>
      <c r="Z102" s="1" t="s">
        <v>361</v>
      </c>
      <c r="AA102" s="1" t="s">
        <v>396</v>
      </c>
      <c r="AB102" s="1"/>
      <c r="AC102" s="5" t="str">
        <f ca="1">IFERROR(__xludf.DUMMYFUNCTION("IF(Y102 = """", """", GOOGLETRANSLATE(Y102, ""en"", ""hi""))
"),"बहस से बचें")</f>
        <v>बहस से बचें</v>
      </c>
      <c r="AD102" s="5" t="str">
        <f ca="1">IFERROR(__xludf.DUMMYFUNCTION("IF(Z102 = """", """", GOOGLETRANSLATE(Z102, ""en"", ""hi""))"),"शांत और धैर्यवान रहें")</f>
        <v>शांत और धैर्यवान रहें</v>
      </c>
      <c r="AE102" s="5" t="str">
        <f ca="1">IFERROR(__xludf.DUMMYFUNCTION("IF(AA102 = """", """", GOOGLETRANSLATE(AA102, ""en"", ""hi""))"),"भावनात्मक विस्फोट से बचने के लिए गुस्से और संचार पर नियंत्रण रखें")</f>
        <v>भावनात्मक विस्फोट से बचने के लिए गुस्से और संचार पर नियंत्रण रखें</v>
      </c>
      <c r="AF102" s="5" t="str">
        <f ca="1">IFERROR(__xludf.DUMMYFUNCTION("IF(AB102 = """", """", GOOGLETRANSLATE(AB102, ""en"", ""hi""))"),"")</f>
        <v/>
      </c>
      <c r="AG102" s="5" t="str">
        <f ca="1">IFERROR(__xludf.DUMMYFUNCTION("IF(Y102 = """", """", GOOGLETRANSLATE(Y102, ""en"", ""mr""))"),"वाद टाळा")</f>
        <v>वाद टाळा</v>
      </c>
      <c r="AH102" s="5" t="str">
        <f ca="1">IFERROR(__xludf.DUMMYFUNCTION("IF(Z102 = """", """", GOOGLETRANSLATE(Z102, ""en"", ""mr""))"),"शांत आणि धीर धरा")</f>
        <v>शांत आणि धीर धरा</v>
      </c>
      <c r="AI102" s="5" t="str">
        <f ca="1">IFERROR(__xludf.DUMMYFUNCTION("IF(AA102 = """", """", GOOGLETRANSLATE(AA102, ""en"", ""mr""))"),"भावनिक उद्रेक टाळण्यासाठी स्वभाव आणि संवादावर नियंत्रण ठेवा")</f>
        <v>भावनिक उद्रेक टाळण्यासाठी स्वभाव आणि संवादावर नियंत्रण ठेवा</v>
      </c>
      <c r="AJ102" s="5" t="str">
        <f ca="1">IFERROR(__xludf.DUMMYFUNCTION("IF(AB102 = """", """", GOOGLETRANSLATE(AB102, ""en"", ""mr""))"),"")</f>
        <v/>
      </c>
      <c r="AK102" s="5" t="str">
        <f ca="1">IFERROR(__xludf.DUMMYFUNCTION("IF(Y102 = """", """", GOOGLETRANSLATE(Y102, ""en"", ""gu""))"),"દલીલો ટાળો")</f>
        <v>દલીલો ટાળો</v>
      </c>
      <c r="AL102" s="5" t="str">
        <f ca="1">IFERROR(__xludf.DUMMYFUNCTION("IF(Z102 = """", """", GOOGLETRANSLATE(Z102, ""en"", ""gu""))"),"શાંત અને ધીરજ રાખો")</f>
        <v>શાંત અને ધીરજ રાખો</v>
      </c>
      <c r="AM102" s="5" t="str">
        <f ca="1">IFERROR(__xludf.DUMMYFUNCTION("IF(AA102 = """", """", GOOGLETRANSLATE(AA102, ""en"", ""gu""))"),"ભાવનાત્મક વિસ્ફોટો ટાળવા માટે સ્વભાવ અને સંદેશાવ્યવહારને નિયંત્રિત કરો")</f>
        <v>ભાવનાત્મક વિસ્ફોટો ટાળવા માટે સ્વભાવ અને સંદેશાવ્યવહારને નિયંત્રિત કરો</v>
      </c>
      <c r="AN102" s="5" t="str">
        <f ca="1">IFERROR(__xludf.DUMMYFUNCTION("IF(AB102 = """", """", GOOGLETRANSLATE(AB102, ""en"", ""gu""))"),"")</f>
        <v/>
      </c>
      <c r="AO102" s="5" t="str">
        <f ca="1">IFERROR(__xludf.DUMMYFUNCTION("IF(Y102 = """", """", GOOGLETRANSLATE(Y102, ""en"", ""bn""))"),"তর্ক এড়িয়ে চলুন")</f>
        <v>তর্ক এড়িয়ে চলুন</v>
      </c>
      <c r="AP102" s="5" t="str">
        <f ca="1">IFERROR(__xludf.DUMMYFUNCTION("IF(Z102 = """", """", GOOGLETRANSLATE(Z102, ""en"", ""bn""))"),"শান্ত এবং ধৈর্যশীল থাকুন")</f>
        <v>শান্ত এবং ধৈর্যশীল থাকুন</v>
      </c>
      <c r="AQ102" s="5" t="str">
        <f ca="1">IFERROR(__xludf.DUMMYFUNCTION("IF(AA102 = """", """", GOOGLETRANSLATE(AA102, ""en"", ""bn""))"),"মানসিক বিস্ফোরণ এড়াতে মেজাজ ও যোগাযোগ নিয়ন্ত্রণ করুন")</f>
        <v>মানসিক বিস্ফোরণ এড়াতে মেজাজ ও যোগাযোগ নিয়ন্ত্রণ করুন</v>
      </c>
      <c r="AR102" s="5" t="str">
        <f ca="1">IFERROR(__xludf.DUMMYFUNCTION("IF(AB102 = """", """", GOOGLETRANSLATE(AB102, ""en"", ""bn""))"),"")</f>
        <v/>
      </c>
      <c r="AU102" s="5" t="str">
        <f ca="1">IFERROR(__xludf.DUMMYFUNCTION("IF(Y102 = """", """", GOOGLETRANSLATE(Y102, ""en"", ""te""))"),"వాదనలు మానుకోండి")</f>
        <v>వాదనలు మానుకోండి</v>
      </c>
      <c r="AV102" s="5" t="str">
        <f ca="1">IFERROR(__xludf.DUMMYFUNCTION("IF(Z102 = """", """", GOOGLETRANSLATE(Z102, ""en"", ""te""))"),"ప్రశాంతంగా మరియు ఓపికగా ఉండండి")</f>
        <v>ప్రశాంతంగా మరియు ఓపికగా ఉండండి</v>
      </c>
      <c r="AW102" s="5" t="str">
        <f ca="1">IFERROR(__xludf.DUMMYFUNCTION("IF(AA102 = """", """", GOOGLETRANSLATE(AA102, ""en"", ""te""))"),"భావోద్వేగ ప్రకోపాలను నివారించడానికి నిగ్రహాన్ని &amp; కమ్యూనికేషన్‌ను నియంత్రించండి")</f>
        <v>భావోద్వేగ ప్రకోపాలను నివారించడానికి నిగ్రహాన్ని &amp; కమ్యూనికేషన్‌ను నియంత్రించండి</v>
      </c>
      <c r="AX102" s="5" t="str">
        <f ca="1">IFERROR(__xludf.DUMMYFUNCTION("IF(AB102 = """", """", GOOGLETRANSLATE(AB102, ""en"", ""te""))"),"")</f>
        <v/>
      </c>
    </row>
    <row r="103" spans="1:50" x14ac:dyDescent="0.25">
      <c r="A103" s="1">
        <v>116</v>
      </c>
      <c r="B103" s="1" t="s">
        <v>56</v>
      </c>
      <c r="C103" s="8">
        <v>45832</v>
      </c>
      <c r="D103" s="8">
        <v>45832</v>
      </c>
      <c r="E103" s="1">
        <v>4</v>
      </c>
      <c r="F103" s="1">
        <v>1</v>
      </c>
      <c r="G103" s="3" t="s">
        <v>389</v>
      </c>
      <c r="H103" s="4">
        <v>9.8958333333333329E-3</v>
      </c>
      <c r="I103" s="4">
        <v>2.4189814814814816E-3</v>
      </c>
      <c r="J103" s="4">
        <v>3.1134259259259257E-3</v>
      </c>
      <c r="K103" s="1" t="s">
        <v>58</v>
      </c>
      <c r="L103" s="1" t="s">
        <v>102</v>
      </c>
      <c r="M103" s="1" t="s">
        <v>14</v>
      </c>
      <c r="O103" s="1" t="s">
        <v>61</v>
      </c>
      <c r="P103" s="1" t="s">
        <v>61</v>
      </c>
      <c r="Q103" s="1" t="s">
        <v>61</v>
      </c>
      <c r="R103" s="1" t="s">
        <v>61</v>
      </c>
      <c r="S103" s="1" t="s">
        <v>61</v>
      </c>
      <c r="T103" s="1" t="s">
        <v>61</v>
      </c>
      <c r="V103" s="1" t="s">
        <v>61</v>
      </c>
      <c r="W103" s="1" t="s">
        <v>61</v>
      </c>
      <c r="X103" s="1" t="s">
        <v>61</v>
      </c>
      <c r="Y103" s="1" t="s">
        <v>397</v>
      </c>
      <c r="Z103" s="1" t="s">
        <v>398</v>
      </c>
      <c r="AA103" s="1" t="s">
        <v>399</v>
      </c>
      <c r="AB103" s="1"/>
      <c r="AC103" s="5" t="str">
        <f ca="1">IFERROR(__xludf.DUMMYFUNCTION("IF(Y103 = """", """", GOOGLETRANSLATE(Y103, ""en"", ""hi""))
"),"विदेश से संबंधित कार्यों के लिए उत्तम दिन")</f>
        <v>विदेश से संबंधित कार्यों के लिए उत्तम दिन</v>
      </c>
      <c r="AD103" s="5" t="str">
        <f ca="1">IFERROR(__xludf.DUMMYFUNCTION("IF(Z103 = """", """", GOOGLETRANSLATE(Z103, ""en"", ""hi""))"),"महत्वपूर्ण निर्णयों के लिए अनुकूल")</f>
        <v>महत्वपूर्ण निर्णयों के लिए अनुकूल</v>
      </c>
      <c r="AE103" s="5" t="str">
        <f ca="1">IFERROR(__xludf.DUMMYFUNCTION("IF(AA103 = """", """", GOOGLETRANSLATE(AA103, ""en"", ""hi""))"),"प्रियजनों के साथ ग़लतफ़हमी से बचें")</f>
        <v>प्रियजनों के साथ ग़लतफ़हमी से बचें</v>
      </c>
      <c r="AF103" s="5" t="str">
        <f ca="1">IFERROR(__xludf.DUMMYFUNCTION("IF(AB103 = """", """", GOOGLETRANSLATE(AB103, ""en"", ""hi""))"),"")</f>
        <v/>
      </c>
      <c r="AG103" s="5" t="str">
        <f ca="1">IFERROR(__xludf.DUMMYFUNCTION("IF(Y103 = """", """", GOOGLETRANSLATE(Y103, ""en"", ""mr""))"),"परदेशाशी संबंधित कामांसाठी उत्तम दिवस")</f>
        <v>परदेशाशी संबंधित कामांसाठी उत्तम दिवस</v>
      </c>
      <c r="AH103" s="5" t="str">
        <f ca="1">IFERROR(__xludf.DUMMYFUNCTION("IF(Z103 = """", """", GOOGLETRANSLATE(Z103, ""en"", ""mr""))"),"महत्त्वाच्या निर्णयांसाठी अनुकूल")</f>
        <v>महत्त्वाच्या निर्णयांसाठी अनुकूल</v>
      </c>
      <c r="AI103" s="5" t="str">
        <f ca="1">IFERROR(__xludf.DUMMYFUNCTION("IF(AA103 = """", """", GOOGLETRANSLATE(AA103, ""en"", ""mr""))"),"प्रियजनांसोबत गैरसमज टाळा")</f>
        <v>प्रियजनांसोबत गैरसमज टाळा</v>
      </c>
      <c r="AJ103" s="5" t="str">
        <f ca="1">IFERROR(__xludf.DUMMYFUNCTION("IF(AB103 = """", """", GOOGLETRANSLATE(AB103, ""en"", ""mr""))"),"")</f>
        <v/>
      </c>
      <c r="AK103" s="5" t="str">
        <f ca="1">IFERROR(__xludf.DUMMYFUNCTION("IF(Y103 = """", """", GOOGLETRANSLATE(Y103, ""en"", ""gu""))"),"વિદેશ સંબંધિત કાર્યો માટે સારો દિવસ")</f>
        <v>વિદેશ સંબંધિત કાર્યો માટે સારો દિવસ</v>
      </c>
      <c r="AL103" s="5" t="str">
        <f ca="1">IFERROR(__xludf.DUMMYFUNCTION("IF(Z103 = """", """", GOOGLETRANSLATE(Z103, ""en"", ""gu""))"),"મહત્વપૂર્ણ નિર્ણયો માટે અનુકૂળ")</f>
        <v>મહત્વપૂર્ણ નિર્ણયો માટે અનુકૂળ</v>
      </c>
      <c r="AM103" s="5" t="str">
        <f ca="1">IFERROR(__xludf.DUMMYFUNCTION("IF(AA103 = """", """", GOOGLETRANSLATE(AA103, ""en"", ""gu""))"),"પ્રિયજનો સાથે ગેરસમજ ટાળો")</f>
        <v>પ્રિયજનો સાથે ગેરસમજ ટાળો</v>
      </c>
      <c r="AN103" s="5" t="str">
        <f ca="1">IFERROR(__xludf.DUMMYFUNCTION("IF(AB103 = """", """", GOOGLETRANSLATE(AB103, ""en"", ""gu""))"),"")</f>
        <v/>
      </c>
      <c r="AO103" s="5" t="str">
        <f ca="1">IFERROR(__xludf.DUMMYFUNCTION("IF(Y103 = """", """", GOOGLETRANSLATE(Y103, ""en"", ""bn""))"),"বিদেশী কাজের জন্য দিনটি শুভ")</f>
        <v>বিদেশী কাজের জন্য দিনটি শুভ</v>
      </c>
      <c r="AP103" s="5" t="str">
        <f ca="1">IFERROR(__xludf.DUMMYFUNCTION("IF(Z103 = """", """", GOOGLETRANSLATE(Z103, ""en"", ""bn""))"),"গুরুত্বপূর্ণ সিদ্ধান্তের জন্য অনুকূল")</f>
        <v>গুরুত্বপূর্ণ সিদ্ধান্তের জন্য অনুকূল</v>
      </c>
      <c r="AQ103" s="5" t="str">
        <f ca="1">IFERROR(__xludf.DUMMYFUNCTION("IF(AA103 = """", """", GOOGLETRANSLATE(AA103, ""en"", ""bn""))"),"প্রিয়জনের সাথে ভুল বোঝাবুঝি এড়িয়ে চলুন")</f>
        <v>প্রিয়জনের সাথে ভুল বোঝাবুঝি এড়িয়ে চলুন</v>
      </c>
      <c r="AR103" s="5" t="str">
        <f ca="1">IFERROR(__xludf.DUMMYFUNCTION("IF(AB103 = """", """", GOOGLETRANSLATE(AB103, ""en"", ""bn""))"),"")</f>
        <v/>
      </c>
      <c r="AU103" s="5" t="str">
        <f ca="1">IFERROR(__xludf.DUMMYFUNCTION("IF(Y103 = """", """", GOOGLETRANSLATE(Y103, ""en"", ""te""))"),"విదేశీ సంబంధిత పనులకు గొప్ప రోజు")</f>
        <v>విదేశీ సంబంధిత పనులకు గొప్ప రోజు</v>
      </c>
      <c r="AV103" s="5" t="str">
        <f ca="1">IFERROR(__xludf.DUMMYFUNCTION("IF(Z103 = """", """", GOOGLETRANSLATE(Z103, ""en"", ""te""))"),"ముఖ్యమైన నిర్ణయాలకు అనుకూలం")</f>
        <v>ముఖ్యమైన నిర్ణయాలకు అనుకూలం</v>
      </c>
      <c r="AW103" s="5" t="str">
        <f ca="1">IFERROR(__xludf.DUMMYFUNCTION("IF(AA103 = """", """", GOOGLETRANSLATE(AA103, ""en"", ""te""))"),"ప్రియమైన వారితో అపార్థాలకు దూరంగా ఉండండి")</f>
        <v>ప్రియమైన వారితో అపార్థాలకు దూరంగా ఉండండి</v>
      </c>
      <c r="AX103" s="5" t="str">
        <f ca="1">IFERROR(__xludf.DUMMYFUNCTION("IF(AB103 = """", """", GOOGLETRANSLATE(AB103, ""en"", ""te""))"),"")</f>
        <v/>
      </c>
    </row>
    <row r="104" spans="1:50" x14ac:dyDescent="0.25">
      <c r="A104" s="1">
        <v>117</v>
      </c>
      <c r="B104" s="1" t="s">
        <v>56</v>
      </c>
      <c r="C104" s="8">
        <v>45832</v>
      </c>
      <c r="D104" s="8">
        <v>45832</v>
      </c>
      <c r="E104" s="1">
        <v>5</v>
      </c>
      <c r="F104" s="1">
        <v>1</v>
      </c>
      <c r="G104" s="3" t="s">
        <v>389</v>
      </c>
      <c r="H104" s="4">
        <v>9.8958333333333329E-3</v>
      </c>
      <c r="I104" s="4">
        <v>3.1134259259259257E-3</v>
      </c>
      <c r="J104" s="4">
        <v>3.472222222222222E-3</v>
      </c>
      <c r="K104" s="1" t="s">
        <v>58</v>
      </c>
      <c r="L104" s="1" t="s">
        <v>108</v>
      </c>
      <c r="M104" s="1" t="s">
        <v>17</v>
      </c>
      <c r="O104" s="1" t="s">
        <v>61</v>
      </c>
      <c r="P104" s="1" t="s">
        <v>61</v>
      </c>
      <c r="Q104" s="1" t="s">
        <v>61</v>
      </c>
      <c r="R104" s="1" t="s">
        <v>61</v>
      </c>
      <c r="S104" s="1" t="s">
        <v>61</v>
      </c>
      <c r="T104" s="1" t="s">
        <v>61</v>
      </c>
      <c r="V104" s="1" t="s">
        <v>61</v>
      </c>
      <c r="W104" s="1" t="s">
        <v>61</v>
      </c>
      <c r="X104" s="1" t="s">
        <v>61</v>
      </c>
      <c r="Y104" s="1" t="s">
        <v>400</v>
      </c>
      <c r="Z104" s="1" t="s">
        <v>401</v>
      </c>
      <c r="AA104" s="1" t="s">
        <v>402</v>
      </c>
      <c r="AB104" s="1"/>
      <c r="AC104" s="5" t="str">
        <f ca="1">IFERROR(__xludf.DUMMYFUNCTION("IF(Y104 = """", """", GOOGLETRANSLATE(Y104, ""en"", ""hi""))
"),"लंबित कार्य आगे बढ़ेंगे")</f>
        <v>लंबित कार्य आगे बढ़ेंगे</v>
      </c>
      <c r="AD104" s="5" t="str">
        <f ca="1">IFERROR(__xludf.DUMMYFUNCTION("IF(Z104 = """", """", GOOGLETRANSLATE(Z104, ""en"", ""hi""))"),"अचानक खर्च की संभावना")</f>
        <v>अचानक खर्च की संभावना</v>
      </c>
      <c r="AE104" s="5" t="str">
        <f ca="1">IFERROR(__xludf.DUMMYFUNCTION("IF(AA104 = """", """", GOOGLETRANSLATE(AA104, ""en"", ""hi""))"),"कड़ी मेहनत से परिणाम मिलेंगे, भाग्य से नहीं")</f>
        <v>कड़ी मेहनत से परिणाम मिलेंगे, भाग्य से नहीं</v>
      </c>
      <c r="AF104" s="5" t="str">
        <f ca="1">IFERROR(__xludf.DUMMYFUNCTION("IF(AB104 = """", """", GOOGLETRANSLATE(AB104, ""en"", ""hi""))"),"")</f>
        <v/>
      </c>
      <c r="AG104" s="5" t="str">
        <f ca="1">IFERROR(__xludf.DUMMYFUNCTION("IF(Y104 = """", """", GOOGLETRANSLATE(Y104, ""en"", ""mr""))"),"प्रलंबित कामे पुढे सरकतील")</f>
        <v>प्रलंबित कामे पुढे सरकतील</v>
      </c>
      <c r="AH104" s="5" t="str">
        <f ca="1">IFERROR(__xludf.DUMMYFUNCTION("IF(Z104 = """", """", GOOGLETRANSLATE(Z104, ""en"", ""mr""))"),"अचानक खर्च होण्याची शक्यता")</f>
        <v>अचानक खर्च होण्याची शक्यता</v>
      </c>
      <c r="AI104" s="5" t="str">
        <f ca="1">IFERROR(__xludf.DUMMYFUNCTION("IF(AA104 = """", """", GOOGLETRANSLATE(AA104, ""en"", ""mr""))")," परिश्रम केल्याने फळ मिळेल, नशीब नाही")</f>
        <v xml:space="preserve"> परिश्रम केल्याने फळ मिळेल, नशीब नाही</v>
      </c>
      <c r="AJ104" s="5" t="str">
        <f ca="1">IFERROR(__xludf.DUMMYFUNCTION("IF(AB104 = """", """", GOOGLETRANSLATE(AB104, ""en"", ""mr""))"),"")</f>
        <v/>
      </c>
      <c r="AK104" s="5" t="str">
        <f ca="1">IFERROR(__xludf.DUMMYFUNCTION("IF(Y104 = """", """", GOOGLETRANSLATE(Y104, ""en"", ""gu""))"),"અટકેલા કાર્યો આગળ વધશે")</f>
        <v>અટકેલા કાર્યો આગળ વધશે</v>
      </c>
      <c r="AL104" s="5" t="str">
        <f ca="1">IFERROR(__xludf.DUMMYFUNCTION("IF(Z104 = """", """", GOOGLETRANSLATE(Z104, ""en"", ""gu""))"),"અચાનક ખર્ચ થવાની સંભાવના છે")</f>
        <v>અચાનક ખર્ચ થવાની સંભાવના છે</v>
      </c>
      <c r="AM104" s="5" t="str">
        <f ca="1">IFERROR(__xludf.DUMMYFUNCTION("IF(AA104 = """", """", GOOGLETRANSLATE(AA104, ""en"", ""gu""))")," મહેનત પરિણામ લાવશે, નસીબ નહીં")</f>
        <v xml:space="preserve"> મહેનત પરિણામ લાવશે, નસીબ નહીં</v>
      </c>
      <c r="AN104" s="5" t="str">
        <f ca="1">IFERROR(__xludf.DUMMYFUNCTION("IF(AB104 = """", """", GOOGLETRANSLATE(AB104, ""en"", ""gu""))"),"")</f>
        <v/>
      </c>
      <c r="AO104" s="5" t="str">
        <f ca="1">IFERROR(__xludf.DUMMYFUNCTION("IF(Y104 = """", """", GOOGLETRANSLATE(Y104, ""en"", ""bn""))"),"অমীমাংসিত কাজ এগিয়ে যাবে")</f>
        <v>অমীমাংসিত কাজ এগিয়ে যাবে</v>
      </c>
      <c r="AP104" s="5" t="str">
        <f ca="1">IFERROR(__xludf.DUMMYFUNCTION("IF(Z104 = """", """", GOOGLETRANSLATE(Z104, ""en"", ""bn""))"),"আকস্মিক খরচের সম্ভাবনা")</f>
        <v>আকস্মিক খরচের সম্ভাবনা</v>
      </c>
      <c r="AQ104" s="5" t="str">
        <f ca="1">IFERROR(__xludf.DUMMYFUNCTION("IF(AA104 = """", """", GOOGLETRANSLATE(AA104, ""en"", ""bn""))")," কঠোর পরিশ্রম ফলাফল আনবে, ভাগ্য নয়")</f>
        <v xml:space="preserve"> কঠোর পরিশ্রম ফলাফল আনবে, ভাগ্য নয়</v>
      </c>
      <c r="AR104" s="5" t="str">
        <f ca="1">IFERROR(__xludf.DUMMYFUNCTION("IF(AB104 = """", """", GOOGLETRANSLATE(AB104, ""en"", ""bn""))"),"")</f>
        <v/>
      </c>
      <c r="AU104" s="5" t="str">
        <f ca="1">IFERROR(__xludf.DUMMYFUNCTION("IF(Y104 = """", """", GOOGLETRANSLATE(Y104, ""en"", ""te""))"),"పెండింగ్‌లో ఉన్న పనులు ముందుకు సాగుతాయి")</f>
        <v>పెండింగ్‌లో ఉన్న పనులు ముందుకు సాగుతాయి</v>
      </c>
      <c r="AV104" s="5" t="str">
        <f ca="1">IFERROR(__xludf.DUMMYFUNCTION("IF(Z104 = """", """", GOOGLETRANSLATE(Z104, ""en"", ""te""))"),"ఆకస్మిక ఖర్చులకు అవకాశం")</f>
        <v>ఆకస్మిక ఖర్చులకు అవకాశం</v>
      </c>
      <c r="AW104" s="5" t="str">
        <f ca="1">IFERROR(__xludf.DUMMYFUNCTION("IF(AA104 = """", """", GOOGLETRANSLATE(AA104, ""en"", ""te""))")," కష్టపడి పని చేస్తే ఫలితం ఉంటుంది, అదృష్టం కాదు")</f>
        <v xml:space="preserve"> కష్టపడి పని చేస్తే ఫలితం ఉంటుంది, అదృష్టం కాదు</v>
      </c>
      <c r="AX104" s="5" t="str">
        <f ca="1">IFERROR(__xludf.DUMMYFUNCTION("IF(AB104 = """", """", GOOGLETRANSLATE(AB104, ""en"", ""te""))"),"")</f>
        <v/>
      </c>
    </row>
    <row r="105" spans="1:50" x14ac:dyDescent="0.25">
      <c r="A105" s="1">
        <v>118</v>
      </c>
      <c r="B105" s="1" t="s">
        <v>56</v>
      </c>
      <c r="C105" s="8">
        <v>45832</v>
      </c>
      <c r="D105" s="8">
        <v>45832</v>
      </c>
      <c r="E105" s="1">
        <v>6</v>
      </c>
      <c r="F105" s="1">
        <v>1</v>
      </c>
      <c r="G105" s="3" t="s">
        <v>389</v>
      </c>
      <c r="H105" s="4">
        <v>9.8958333333333329E-3</v>
      </c>
      <c r="I105" s="4">
        <v>3.472222222222222E-3</v>
      </c>
      <c r="J105" s="4">
        <v>3.7615740740740739E-3</v>
      </c>
      <c r="K105" s="1" t="s">
        <v>58</v>
      </c>
      <c r="L105" s="1" t="s">
        <v>113</v>
      </c>
      <c r="M105" s="1" t="s">
        <v>17</v>
      </c>
      <c r="O105" s="1" t="s">
        <v>61</v>
      </c>
      <c r="P105" s="1" t="s">
        <v>61</v>
      </c>
      <c r="Q105" s="1" t="s">
        <v>61</v>
      </c>
      <c r="R105" s="1" t="s">
        <v>61</v>
      </c>
      <c r="S105" s="1" t="s">
        <v>61</v>
      </c>
      <c r="T105" s="1" t="s">
        <v>61</v>
      </c>
      <c r="V105" s="1" t="s">
        <v>61</v>
      </c>
      <c r="W105" s="1" t="s">
        <v>61</v>
      </c>
      <c r="X105" s="1" t="s">
        <v>61</v>
      </c>
      <c r="Y105" s="1" t="s">
        <v>403</v>
      </c>
      <c r="Z105" s="1" t="s">
        <v>404</v>
      </c>
      <c r="AA105" s="1" t="s">
        <v>405</v>
      </c>
      <c r="AB105" s="1"/>
      <c r="AC105" s="5" t="str">
        <f ca="1">IFERROR(__xludf.DUMMYFUNCTION("IF(Y105 = """", """", GOOGLETRANSLATE(Y105, ""en"", ""hi""))
"),"अतिरिक्त जिम्मेदारियों के साथ व्यस्त दिन")</f>
        <v>अतिरिक्त जिम्मेदारियों के साथ व्यस्त दिन</v>
      </c>
      <c r="AD105" s="5" t="str">
        <f ca="1">IFERROR(__xludf.DUMMYFUNCTION("IF(Z105 = """", """", GOOGLETRANSLATE(Z105, ""en"", ""hi""))"),"अराजकता से बचने के लिए अच्छी योजना बनाएं")</f>
        <v>अराजकता से बचने के लिए अच्छी योजना बनाएं</v>
      </c>
      <c r="AE105" s="5" t="str">
        <f ca="1">IFERROR(__xludf.DUMMYFUNCTION("IF(AA105 = """", """", GOOGLETRANSLATE(AA105, ""en"", ""hi""))"),"आवेगपूर्ण शुरुआत से बचें")</f>
        <v>आवेगपूर्ण शुरुआत से बचें</v>
      </c>
      <c r="AF105" s="5" t="str">
        <f ca="1">IFERROR(__xludf.DUMMYFUNCTION("IF(AB105 = """", """", GOOGLETRANSLATE(AB105, ""en"", ""hi""))"),"")</f>
        <v/>
      </c>
      <c r="AG105" s="5" t="str">
        <f ca="1">IFERROR(__xludf.DUMMYFUNCTION("IF(Y105 = """", """", GOOGLETRANSLATE(Y105, ""en"", ""mr""))"),"अतिरिक्त जबाबदाऱ्यांसह व्यस्त दिवस")</f>
        <v>अतिरिक्त जबाबदाऱ्यांसह व्यस्त दिवस</v>
      </c>
      <c r="AH105" s="5" t="str">
        <f ca="1">IFERROR(__xludf.DUMMYFUNCTION("IF(Z105 = """", """", GOOGLETRANSLATE(Z105, ""en"", ""mr""))"),"गोंधळ टाळण्यासाठी चांगले नियोजन करा")</f>
        <v>गोंधळ टाळण्यासाठी चांगले नियोजन करा</v>
      </c>
      <c r="AI105" s="5" t="str">
        <f ca="1">IFERROR(__xludf.DUMMYFUNCTION("IF(AA105 = """", """", GOOGLETRANSLATE(AA105, ""en"", ""mr""))"),"आवेगपूर्ण सुरुवात टाळा")</f>
        <v>आवेगपूर्ण सुरुवात टाळा</v>
      </c>
      <c r="AJ105" s="5" t="str">
        <f ca="1">IFERROR(__xludf.DUMMYFUNCTION("IF(AB105 = """", """", GOOGLETRANSLATE(AB105, ""en"", ""mr""))"),"")</f>
        <v/>
      </c>
      <c r="AK105" s="5" t="str">
        <f ca="1">IFERROR(__xludf.DUMMYFUNCTION("IF(Y105 = """", """", GOOGLETRANSLATE(Y105, ""en"", ""gu""))"),"વધારાની જવાબદારીઓ સાથે વ્યસ્ત દિવસ")</f>
        <v>વધારાની જવાબદારીઓ સાથે વ્યસ્ત દિવસ</v>
      </c>
      <c r="AL105" s="5" t="str">
        <f ca="1">IFERROR(__xludf.DUMMYFUNCTION("IF(Z105 = """", """", GOOGLETRANSLATE(Z105, ""en"", ""gu""))"),"અરાજકતા ટાળવા માટે સારી યોજના બનાવો")</f>
        <v>અરાજકતા ટાળવા માટે સારી યોજના બનાવો</v>
      </c>
      <c r="AM105" s="5" t="str">
        <f ca="1">IFERROR(__xludf.DUMMYFUNCTION("IF(AA105 = """", """", GOOGLETRANSLATE(AA105, ""en"", ""gu""))"),"આવેગજન્ય શરૂઆત ટાળો")</f>
        <v>આવેગજન્ય શરૂઆત ટાળો</v>
      </c>
      <c r="AN105" s="5" t="str">
        <f ca="1">IFERROR(__xludf.DUMMYFUNCTION("IF(AB105 = """", """", GOOGLETRANSLATE(AB105, ""en"", ""gu""))"),"")</f>
        <v/>
      </c>
      <c r="AO105" s="5" t="str">
        <f ca="1">IFERROR(__xludf.DUMMYFUNCTION("IF(Y105 = """", """", GOOGLETRANSLATE(Y105, ""en"", ""bn""))"),"অতিরিক্ত দায়িত্ব নিয়ে ব্যস্ত দিন")</f>
        <v>অতিরিক্ত দায়িত্ব নিয়ে ব্যস্ত দিন</v>
      </c>
      <c r="AP105" s="5" t="str">
        <f ca="1">IFERROR(__xludf.DUMMYFUNCTION("IF(Z105 = """", """", GOOGLETRANSLATE(Z105, ""en"", ""bn""))"),"বিশৃঙ্খলা এড়াতে ভাল পরিকল্পনা করুন")</f>
        <v>বিশৃঙ্খলা এড়াতে ভাল পরিকল্পনা করুন</v>
      </c>
      <c r="AQ105" s="5" t="str">
        <f ca="1">IFERROR(__xludf.DUMMYFUNCTION("IF(AA105 = """", """", GOOGLETRANSLATE(AA105, ""en"", ""bn""))"),"আবেগপ্রবণ শুরু এড়িয়ে চলুন")</f>
        <v>আবেগপ্রবণ শুরু এড়িয়ে চলুন</v>
      </c>
      <c r="AR105" s="5" t="str">
        <f ca="1">IFERROR(__xludf.DUMMYFUNCTION("IF(AB105 = """", """", GOOGLETRANSLATE(AB105, ""en"", ""bn""))"),"")</f>
        <v/>
      </c>
      <c r="AU105" s="5" t="str">
        <f ca="1">IFERROR(__xludf.DUMMYFUNCTION("IF(Y105 = """", """", GOOGLETRANSLATE(Y105, ""en"", ""te""))"),"అదనపు బాధ్యతలతో తీరికలేని రోజు")</f>
        <v>అదనపు బాధ్యతలతో తీరికలేని రోజు</v>
      </c>
      <c r="AV105" s="5" t="str">
        <f ca="1">IFERROR(__xludf.DUMMYFUNCTION("IF(Z105 = """", """", GOOGLETRANSLATE(Z105, ""en"", ""te""))"),"గందరగోళాన్ని నివారించడానికి బాగా ప్లాన్ చేయండి")</f>
        <v>గందరగోళాన్ని నివారించడానికి బాగా ప్లాన్ చేయండి</v>
      </c>
      <c r="AW105" s="5" t="str">
        <f ca="1">IFERROR(__xludf.DUMMYFUNCTION("IF(AA105 = """", """", GOOGLETRANSLATE(AA105, ""en"", ""te""))"),"హఠాత్తుగా ప్రారంభాలను నివారించండి")</f>
        <v>హఠాత్తుగా ప్రారంభాలను నివారించండి</v>
      </c>
      <c r="AX105" s="5" t="str">
        <f ca="1">IFERROR(__xludf.DUMMYFUNCTION("IF(AB105 = """", """", GOOGLETRANSLATE(AB105, ""en"", ""te""))"),"")</f>
        <v/>
      </c>
    </row>
    <row r="106" spans="1:50" x14ac:dyDescent="0.25">
      <c r="A106" s="1">
        <v>119</v>
      </c>
      <c r="B106" s="1" t="s">
        <v>56</v>
      </c>
      <c r="C106" s="8">
        <v>45832</v>
      </c>
      <c r="D106" s="8">
        <v>45832</v>
      </c>
      <c r="E106" s="1">
        <v>7</v>
      </c>
      <c r="F106" s="1">
        <v>1</v>
      </c>
      <c r="G106" s="3" t="s">
        <v>389</v>
      </c>
      <c r="H106" s="4">
        <v>9.8958333333333329E-3</v>
      </c>
      <c r="I106" s="4">
        <v>3.7615740740740739E-3</v>
      </c>
      <c r="J106" s="4">
        <v>4.1319444444444442E-3</v>
      </c>
      <c r="K106" s="1" t="s">
        <v>58</v>
      </c>
      <c r="L106" s="1" t="s">
        <v>64</v>
      </c>
      <c r="M106" s="1" t="s">
        <v>19</v>
      </c>
      <c r="O106" s="1" t="s">
        <v>61</v>
      </c>
      <c r="P106" s="1" t="s">
        <v>61</v>
      </c>
      <c r="Q106" s="1" t="s">
        <v>61</v>
      </c>
      <c r="R106" s="1" t="s">
        <v>61</v>
      </c>
      <c r="S106" s="1" t="s">
        <v>61</v>
      </c>
      <c r="T106" s="1" t="s">
        <v>61</v>
      </c>
      <c r="V106" s="1" t="s">
        <v>61</v>
      </c>
      <c r="W106" s="1" t="s">
        <v>61</v>
      </c>
      <c r="X106" s="1" t="s">
        <v>61</v>
      </c>
      <c r="Y106" s="1" t="s">
        <v>406</v>
      </c>
      <c r="Z106" s="1" t="s">
        <v>407</v>
      </c>
      <c r="AA106" s="1" t="s">
        <v>408</v>
      </c>
      <c r="AB106" s="1"/>
      <c r="AC106" s="5" t="str">
        <f ca="1">IFERROR(__xludf.DUMMYFUNCTION("IF(Y106 = """", """", GOOGLETRANSLATE(Y106, ""en"", ""hi""))
"),"शारीरिक थकान और मानसिक बेचैनी")</f>
        <v>शारीरिक थकान और मानसिक बेचैनी</v>
      </c>
      <c r="AD106" s="5" t="str">
        <f ca="1">IFERROR(__xludf.DUMMYFUNCTION("IF(Z106 = """", """", GOOGLETRANSLATE(Z106, ""en"", ""hi""))"),"दूसरों के मुद्दों में अनावश्यक हस्तक्षेप से बचें")</f>
        <v>दूसरों के मुद्दों में अनावश्यक हस्तक्षेप से बचें</v>
      </c>
      <c r="AE106" s="5" t="str">
        <f ca="1">IFERROR(__xludf.DUMMYFUNCTION("IF(AA106 = """", """", GOOGLETRANSLATE(AA106, ""en"", ""hi""))"),"घर में शांति बनाए रखें")</f>
        <v>घर में शांति बनाए रखें</v>
      </c>
      <c r="AF106" s="5" t="str">
        <f ca="1">IFERROR(__xludf.DUMMYFUNCTION("IF(AB106 = """", """", GOOGLETRANSLATE(AB106, ""en"", ""hi""))"),"")</f>
        <v/>
      </c>
      <c r="AG106" s="5" t="str">
        <f ca="1">IFERROR(__xludf.DUMMYFUNCTION("IF(Y106 = """", """", GOOGLETRANSLATE(Y106, ""en"", ""mr""))"),"शारीरिक थकवा आणि मानसिक अस्वस्थता")</f>
        <v>शारीरिक थकवा आणि मानसिक अस्वस्थता</v>
      </c>
      <c r="AH106" s="5" t="str">
        <f ca="1">IFERROR(__xludf.DUMMYFUNCTION("IF(Z106 = """", """", GOOGLETRANSLATE(Z106, ""en"", ""mr""))"),"इतरांच्या समस्यांमध्ये अनावश्यक सहभाग टाळा")</f>
        <v>इतरांच्या समस्यांमध्ये अनावश्यक सहभाग टाळा</v>
      </c>
      <c r="AI106" s="5" t="str">
        <f ca="1">IFERROR(__xludf.DUMMYFUNCTION("IF(AA106 = """", """", GOOGLETRANSLATE(AA106, ""en"", ""mr""))"),"घरात शांतता राखा")</f>
        <v>घरात शांतता राखा</v>
      </c>
      <c r="AJ106" s="5" t="str">
        <f ca="1">IFERROR(__xludf.DUMMYFUNCTION("IF(AB106 = """", """", GOOGLETRANSLATE(AB106, ""en"", ""mr""))"),"")</f>
        <v/>
      </c>
      <c r="AK106" s="5" t="str">
        <f ca="1">IFERROR(__xludf.DUMMYFUNCTION("IF(Y106 = """", """", GOOGLETRANSLATE(Y106, ""en"", ""gu""))"),"શારીરિક થાક અને માનસિક બેચેની")</f>
        <v>શારીરિક થાક અને માનસિક બેચેની</v>
      </c>
      <c r="AL106" s="5" t="str">
        <f ca="1">IFERROR(__xludf.DUMMYFUNCTION("IF(Z106 = """", """", GOOGLETRANSLATE(Z106, ""en"", ""gu""))"),"અન્યના મુદ્દાઓમાં બિનજરૂરી સંડોવણી ટાળો")</f>
        <v>અન્યના મુદ્દાઓમાં બિનજરૂરી સંડોવણી ટાળો</v>
      </c>
      <c r="AM106" s="5" t="str">
        <f ca="1">IFERROR(__xludf.DUMMYFUNCTION("IF(AA106 = """", """", GOOGLETRANSLATE(AA106, ""en"", ""gu""))"),"ઘરમાં શાંતિ જાળવી રાખો")</f>
        <v>ઘરમાં શાંતિ જાળવી રાખો</v>
      </c>
      <c r="AN106" s="5" t="str">
        <f ca="1">IFERROR(__xludf.DUMMYFUNCTION("IF(AB106 = """", """", GOOGLETRANSLATE(AB106, ""en"", ""gu""))"),"")</f>
        <v/>
      </c>
      <c r="AO106" s="5" t="str">
        <f ca="1">IFERROR(__xludf.DUMMYFUNCTION("IF(Y106 = """", """", GOOGLETRANSLATE(Y106, ""en"", ""bn""))"),"শারীরিক ক্লান্তি ও মানসিক অস্থিরতা")</f>
        <v>শারীরিক ক্লান্তি ও মানসিক অস্থিরতা</v>
      </c>
      <c r="AP106" s="5" t="str">
        <f ca="1">IFERROR(__xludf.DUMMYFUNCTION("IF(Z106 = """", """", GOOGLETRANSLATE(Z106, ""en"", ""bn""))"),"অন্যের সমস্যায় অপ্রয়োজনীয় জড়িত হওয়া থেকে বিরত থাকুন")</f>
        <v>অন্যের সমস্যায় অপ্রয়োজনীয় জড়িত হওয়া থেকে বিরত থাকুন</v>
      </c>
      <c r="AQ106" s="5" t="str">
        <f ca="1">IFERROR(__xludf.DUMMYFUNCTION("IF(AA106 = """", """", GOOGLETRANSLATE(AA106, ""en"", ""bn""))"),"বাড়িতে শান্তি বজায় রাখুন")</f>
        <v>বাড়িতে শান্তি বজায় রাখুন</v>
      </c>
      <c r="AR106" s="5" t="str">
        <f ca="1">IFERROR(__xludf.DUMMYFUNCTION("IF(AB106 = """", """", GOOGLETRANSLATE(AB106, ""en"", ""bn""))"),"")</f>
        <v/>
      </c>
      <c r="AU106" s="5" t="str">
        <f ca="1">IFERROR(__xludf.DUMMYFUNCTION("IF(Y106 = """", """", GOOGLETRANSLATE(Y106, ""en"", ""te""))"),"శారీరక అలసట &amp; మానసిక అశాంతి")</f>
        <v>శారీరక అలసట &amp; మానసిక అశాంతి</v>
      </c>
      <c r="AV106" s="5" t="str">
        <f ca="1">IFERROR(__xludf.DUMMYFUNCTION("IF(Z106 = """", """", GOOGLETRANSLATE(Z106, ""en"", ""te""))"),"ఇతరుల సమస్యలలో అనవసర ప్రమేయం మానుకోండి")</f>
        <v>ఇతరుల సమస్యలలో అనవసర ప్రమేయం మానుకోండి</v>
      </c>
      <c r="AW106" s="5" t="str">
        <f ca="1">IFERROR(__xludf.DUMMYFUNCTION("IF(AA106 = """", """", GOOGLETRANSLATE(AA106, ""en"", ""te""))"),"ఇంట్లో శాంతిని కాపాడుకోండి")</f>
        <v>ఇంట్లో శాంతిని కాపాడుకోండి</v>
      </c>
      <c r="AX106" s="5" t="str">
        <f ca="1">IFERROR(__xludf.DUMMYFUNCTION("IF(AB106 = """", """", GOOGLETRANSLATE(AB106, ""en"", ""te""))"),"")</f>
        <v/>
      </c>
    </row>
    <row r="107" spans="1:50" x14ac:dyDescent="0.25">
      <c r="A107" s="1">
        <v>120</v>
      </c>
      <c r="B107" s="1" t="s">
        <v>56</v>
      </c>
      <c r="C107" s="8">
        <v>45832</v>
      </c>
      <c r="D107" s="8">
        <v>45832</v>
      </c>
      <c r="E107" s="1">
        <v>8</v>
      </c>
      <c r="F107" s="1">
        <v>1</v>
      </c>
      <c r="G107" s="3" t="s">
        <v>389</v>
      </c>
      <c r="H107" s="4">
        <v>9.8958333333333329E-3</v>
      </c>
      <c r="I107" s="4">
        <v>4.1319444444444442E-3</v>
      </c>
      <c r="J107" s="4">
        <v>4.6296296296296294E-3</v>
      </c>
      <c r="K107" s="1" t="s">
        <v>58</v>
      </c>
      <c r="L107" s="1" t="s">
        <v>68</v>
      </c>
      <c r="M107" s="1" t="s">
        <v>14</v>
      </c>
      <c r="O107" s="1" t="s">
        <v>61</v>
      </c>
      <c r="P107" s="1" t="s">
        <v>61</v>
      </c>
      <c r="Q107" s="1" t="s">
        <v>61</v>
      </c>
      <c r="R107" s="1" t="s">
        <v>61</v>
      </c>
      <c r="S107" s="1" t="s">
        <v>61</v>
      </c>
      <c r="T107" s="1" t="s">
        <v>61</v>
      </c>
      <c r="V107" s="1" t="s">
        <v>61</v>
      </c>
      <c r="W107" s="1" t="s">
        <v>61</v>
      </c>
      <c r="X107" s="1" t="s">
        <v>61</v>
      </c>
      <c r="Y107" s="1" t="s">
        <v>409</v>
      </c>
      <c r="Z107" s="1" t="s">
        <v>410</v>
      </c>
      <c r="AA107" s="1" t="s">
        <v>411</v>
      </c>
      <c r="AB107" s="1"/>
      <c r="AC107" s="5" t="str">
        <f ca="1">IFERROR(__xludf.DUMMYFUNCTION("IF(Y107 = """", """", GOOGLETRANSLATE(Y107, ""en"", ""hi""))
"),"लंबित सरकारी कार्य निपट सकते हैं")</f>
        <v>लंबित सरकारी कार्य निपट सकते हैं</v>
      </c>
      <c r="AD107" s="5" t="str">
        <f ca="1">IFERROR(__xludf.DUMMYFUNCTION("IF(Z107 = """", """", GOOGLETRANSLATE(Z107, ""en"", ""hi""))"),"स्वास्थ्य संबंधी सावधानियां बरतें")</f>
        <v>स्वास्थ्य संबंधी सावधानियां बरतें</v>
      </c>
      <c r="AE107" s="5" t="str">
        <f ca="1">IFERROR(__xludf.DUMMYFUNCTION("IF(AA107 = """", """", GOOGLETRANSLATE(AA107, ""en"", ""hi""))"),"वाहन चलाते समय सावधान रहें")</f>
        <v>वाहन चलाते समय सावधान रहें</v>
      </c>
      <c r="AF107" s="5" t="str">
        <f ca="1">IFERROR(__xludf.DUMMYFUNCTION("IF(AB107 = """", """", GOOGLETRANSLATE(AB107, ""en"", ""hi""))"),"")</f>
        <v/>
      </c>
      <c r="AG107" s="5" t="str">
        <f ca="1">IFERROR(__xludf.DUMMYFUNCTION("IF(Y107 = """", """", GOOGLETRANSLATE(Y107, ""en"", ""mr""))"),"प्रलंबित सरकारी कामे मार्गी लागतील")</f>
        <v>प्रलंबित सरकारी कामे मार्गी लागतील</v>
      </c>
      <c r="AH107" s="5" t="str">
        <f ca="1">IFERROR(__xludf.DUMMYFUNCTION("IF(Z107 = """", """", GOOGLETRANSLATE(Z107, ""en"", ""mr""))"),"आरोग्याची काळजी घ्या")</f>
        <v>आरोग्याची काळजी घ्या</v>
      </c>
      <c r="AI107" s="5" t="str">
        <f ca="1">IFERROR(__xludf.DUMMYFUNCTION("IF(AA107 = """", """", GOOGLETRANSLATE(AA107, ""en"", ""mr""))"),"वाहन चालवताना सावधगिरी बाळगा")</f>
        <v>वाहन चालवताना सावधगिरी बाळगा</v>
      </c>
      <c r="AJ107" s="5" t="str">
        <f ca="1">IFERROR(__xludf.DUMMYFUNCTION("IF(AB107 = """", """", GOOGLETRANSLATE(AB107, ""en"", ""mr""))"),"")</f>
        <v/>
      </c>
      <c r="AK107" s="5" t="str">
        <f ca="1">IFERROR(__xludf.DUMMYFUNCTION("IF(Y107 = """", """", GOOGLETRANSLATE(Y107, ""en"", ""gu""))"),"અટકેલા સરકારી કામો પાર પડી શકે છે")</f>
        <v>અટકેલા સરકારી કામો પાર પડી શકે છે</v>
      </c>
      <c r="AL107" s="5" t="str">
        <f ca="1">IFERROR(__xludf.DUMMYFUNCTION("IF(Z107 = """", """", GOOGLETRANSLATE(Z107, ""en"", ""gu""))"),"સ્વાસ્થ્ય અંગે સાવચેતી રાખો")</f>
        <v>સ્વાસ્થ્ય અંગે સાવચેતી રાખો</v>
      </c>
      <c r="AM107" s="5" t="str">
        <f ca="1">IFERROR(__xludf.DUMMYFUNCTION("IF(AA107 = """", """", GOOGLETRANSLATE(AA107, ""en"", ""gu""))"),"વાહન ચલાવતી વખતે સાવધાની રાખો")</f>
        <v>વાહન ચલાવતી વખતે સાવધાની રાખો</v>
      </c>
      <c r="AN107" s="5" t="str">
        <f ca="1">IFERROR(__xludf.DUMMYFUNCTION("IF(AB107 = """", """", GOOGLETRANSLATE(AB107, ""en"", ""gu""))"),"")</f>
        <v/>
      </c>
      <c r="AO107" s="5" t="str">
        <f ca="1">IFERROR(__xludf.DUMMYFUNCTION("IF(Y107 = """", """", GOOGLETRANSLATE(Y107, ""en"", ""bn""))"),"অমীমাংসিত সরকারী কাজ ক্লিয়ার হতে পারে")</f>
        <v>অমীমাংসিত সরকারী কাজ ক্লিয়ার হতে পারে</v>
      </c>
      <c r="AP107" s="5" t="str">
        <f ca="1">IFERROR(__xludf.DUMMYFUNCTION("IF(Z107 = """", """", GOOGLETRANSLATE(Z107, ""en"", ""bn""))"),"স্বাস্থ্য সতর্কতা অবলম্বন করুন")</f>
        <v>স্বাস্থ্য সতর্কতা অবলম্বন করুন</v>
      </c>
      <c r="AQ107" s="5" t="str">
        <f ca="1">IFERROR(__xludf.DUMMYFUNCTION("IF(AA107 = """", """", GOOGLETRANSLATE(AA107, ""en"", ""bn""))"),"গাড়ি চালানোর সময় সতর্ক থাকুন")</f>
        <v>গাড়ি চালানোর সময় সতর্ক থাকুন</v>
      </c>
      <c r="AR107" s="5" t="str">
        <f ca="1">IFERROR(__xludf.DUMMYFUNCTION("IF(AB107 = """", """", GOOGLETRANSLATE(AB107, ""en"", ""bn""))"),"")</f>
        <v/>
      </c>
      <c r="AU107" s="5" t="str">
        <f ca="1">IFERROR(__xludf.DUMMYFUNCTION("IF(Y107 = """", """", GOOGLETRANSLATE(Y107, ""en"", ""te""))"),"పెండింగ్‌లో ఉన్న ప్రభుత్వ పనులు క్లియర్ కావచ్చు")</f>
        <v>పెండింగ్‌లో ఉన్న ప్రభుత్వ పనులు క్లియర్ కావచ్చు</v>
      </c>
      <c r="AV107" s="5" t="str">
        <f ca="1">IFERROR(__xludf.DUMMYFUNCTION("IF(Z107 = """", """", GOOGLETRANSLATE(Z107, ""en"", ""te""))"),"ఆరోగ్య జాగ్రత్తలు తీసుకోండి")</f>
        <v>ఆరోగ్య జాగ్రత్తలు తీసుకోండి</v>
      </c>
      <c r="AW107" s="5" t="str">
        <f ca="1">IFERROR(__xludf.DUMMYFUNCTION("IF(AA107 = """", """", GOOGLETRANSLATE(AA107,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  <c r="AX107" s="5" t="str">
        <f ca="1">IFERROR(__xludf.DUMMYFUNCTION("IF(AB107 = """", """", GOOGLETRANSLATE(AB107, ""en"", ""te""))"),"")</f>
        <v/>
      </c>
    </row>
    <row r="108" spans="1:50" x14ac:dyDescent="0.25">
      <c r="A108" s="1">
        <v>121</v>
      </c>
      <c r="B108" s="1" t="s">
        <v>56</v>
      </c>
      <c r="C108" s="8">
        <v>45832</v>
      </c>
      <c r="D108" s="8">
        <v>45832</v>
      </c>
      <c r="E108" s="1">
        <v>9</v>
      </c>
      <c r="F108" s="1">
        <v>1</v>
      </c>
      <c r="G108" s="3" t="s">
        <v>389</v>
      </c>
      <c r="H108" s="4">
        <v>9.8958333333333329E-3</v>
      </c>
      <c r="I108" s="4">
        <v>4.6296296296296294E-3</v>
      </c>
      <c r="J108" s="4">
        <v>5.4166666666666669E-3</v>
      </c>
      <c r="K108" s="1" t="s">
        <v>58</v>
      </c>
      <c r="L108" s="1" t="s">
        <v>72</v>
      </c>
      <c r="M108" s="1" t="s">
        <v>19</v>
      </c>
      <c r="O108" s="1" t="s">
        <v>61</v>
      </c>
      <c r="P108" s="1" t="s">
        <v>61</v>
      </c>
      <c r="Q108" s="1" t="s">
        <v>61</v>
      </c>
      <c r="R108" s="1" t="s">
        <v>61</v>
      </c>
      <c r="S108" s="1" t="s">
        <v>61</v>
      </c>
      <c r="T108" s="1" t="s">
        <v>61</v>
      </c>
      <c r="V108" s="1" t="s">
        <v>61</v>
      </c>
      <c r="W108" s="1" t="s">
        <v>61</v>
      </c>
      <c r="X108" s="1" t="s">
        <v>61</v>
      </c>
      <c r="Y108" s="1" t="s">
        <v>412</v>
      </c>
      <c r="Z108" s="1" t="s">
        <v>413</v>
      </c>
      <c r="AA108" s="1" t="s">
        <v>414</v>
      </c>
      <c r="AB108" s="1"/>
      <c r="AC108" s="5" t="str">
        <f ca="1">IFERROR(__xludf.DUMMYFUNCTION("IF(Y108 = """", """", GOOGLETRANSLATE(Y108, ""en"", ""hi""))
"),"देरी के कारण चिड़चिड़ापन")</f>
        <v>देरी के कारण चिड़चिड़ापन</v>
      </c>
      <c r="AD108" s="5" t="str">
        <f ca="1">IFERROR(__xludf.DUMMYFUNCTION("IF(Z108 = """", """", GOOGLETRANSLATE(Z108, ""en"", ""hi""))"),"मानसिक तनाव जारी है")</f>
        <v>मानसिक तनाव जारी है</v>
      </c>
      <c r="AE108" s="5" t="str">
        <f ca="1">IFERROR(__xludf.DUMMYFUNCTION("IF(AA108 = """", """", GOOGLETRANSLATE(AA108, ""en"", ""hi""))"),"जोखिम भरी या थकाऊ गतिविधियों से बचें")</f>
        <v>जोखिम भरी या थकाऊ गतिविधियों से बचें</v>
      </c>
      <c r="AF108" s="5" t="str">
        <f ca="1">IFERROR(__xludf.DUMMYFUNCTION("IF(AB108 = """", """", GOOGLETRANSLATE(AB108, ""en"", ""hi""))"),"")</f>
        <v/>
      </c>
      <c r="AG108" s="5" t="str">
        <f ca="1">IFERROR(__xludf.DUMMYFUNCTION("IF(Y108 = """", """", GOOGLETRANSLATE(Y108, ""en"", ""mr""))"),"विलंबामुळे चिडचिड")</f>
        <v>विलंबामुळे चिडचिड</v>
      </c>
      <c r="AH108" s="5" t="str">
        <f ca="1">IFERROR(__xludf.DUMMYFUNCTION("IF(Z108 = """", """", GOOGLETRANSLATE(Z108, ""en"", ""mr""))"),"मानसिक तणाव कायम राहतो")</f>
        <v>मानसिक तणाव कायम राहतो</v>
      </c>
      <c r="AI108" s="5" t="str">
        <f ca="1">IFERROR(__xludf.DUMMYFUNCTION("IF(AA108 = """", """", GOOGLETRANSLATE(AA108, ""en"", ""mr""))"),"धोकादायक किंवा कंटाळवाणा क्रियाकलाप टाळा")</f>
        <v>धोकादायक किंवा कंटाळवाणा क्रियाकलाप टाळा</v>
      </c>
      <c r="AJ108" s="5" t="str">
        <f ca="1">IFERROR(__xludf.DUMMYFUNCTION("IF(AB108 = """", """", GOOGLETRANSLATE(AB108, ""en"", ""mr""))"),"")</f>
        <v/>
      </c>
      <c r="AK108" s="5" t="str">
        <f ca="1">IFERROR(__xludf.DUMMYFUNCTION("IF(Y108 = """", """", GOOGLETRANSLATE(Y108, ""en"", ""gu""))"),"વિલંબને કારણે ચીડિયાપણું")</f>
        <v>વિલંબને કારણે ચીડિયાપણું</v>
      </c>
      <c r="AL108" s="5" t="str">
        <f ca="1">IFERROR(__xludf.DUMMYFUNCTION("IF(Z108 = """", """", GOOGLETRANSLATE(Z108, ""en"", ""gu""))"),"માનસિક તણાવ ચાલુ રહે")</f>
        <v>માનસિક તણાવ ચાલુ રહે</v>
      </c>
      <c r="AM108" s="5" t="str">
        <f ca="1">IFERROR(__xludf.DUMMYFUNCTION("IF(AA108 = """", """", GOOGLETRANSLATE(AA108, ""en"", ""gu""))"),"જોખમી અથવા કંટાળાજનક પ્રવૃત્તિઓ ટાળો")</f>
        <v>જોખમી અથવા કંટાળાજનક પ્રવૃત્તિઓ ટાળો</v>
      </c>
      <c r="AN108" s="5" t="str">
        <f ca="1">IFERROR(__xludf.DUMMYFUNCTION("IF(AB108 = """", """", GOOGLETRANSLATE(AB108, ""en"", ""gu""))"),"")</f>
        <v/>
      </c>
      <c r="AO108" s="5" t="str">
        <f ca="1">IFERROR(__xludf.DUMMYFUNCTION("IF(Y108 = """", """", GOOGLETRANSLATE(Y108, ""en"", ""bn""))"),"বিলম্বের কারণে বিরক্তি")</f>
        <v>বিলম্বের কারণে বিরক্তি</v>
      </c>
      <c r="AP108" s="5" t="str">
        <f ca="1">IFERROR(__xludf.DUMMYFUNCTION("IF(Z108 = """", """", GOOGLETRANSLATE(Z108, ""en"", ""bn""))"),"মানসিক চাপ অব্যাহত থাকে")</f>
        <v>মানসিক চাপ অব্যাহত থাকে</v>
      </c>
      <c r="AQ108" s="5" t="str">
        <f ca="1">IFERROR(__xludf.DUMMYFUNCTION("IF(AA108 = """", """", GOOGLETRANSLATE(AA108, ""en"", ""bn""))"),"ঝুঁকিপূর্ণ বা ক্লান্তিকর কার্যকলাপ এড়িয়ে চলুন")</f>
        <v>ঝুঁকিপূর্ণ বা ক্লান্তিকর কার্যকলাপ এড়িয়ে চলুন</v>
      </c>
      <c r="AR108" s="5" t="str">
        <f ca="1">IFERROR(__xludf.DUMMYFUNCTION("IF(AB108 = """", """", GOOGLETRANSLATE(AB108, ""en"", ""bn""))"),"")</f>
        <v/>
      </c>
      <c r="AU108" s="5" t="str">
        <f ca="1">IFERROR(__xludf.DUMMYFUNCTION("IF(Y108 = """", """", GOOGLETRANSLATE(Y108, ""en"", ""te""))"),"జాప్యం వల్ల చికాకులు")</f>
        <v>జాప్యం వల్ల చికాకులు</v>
      </c>
      <c r="AV108" s="5" t="str">
        <f ca="1">IFERROR(__xludf.DUMMYFUNCTION("IF(Z108 = """", """", GOOGLETRANSLATE(Z108, ""en"", ""te""))"),"మానసిక ఒత్తిడి కొనసాగుతుంది")</f>
        <v>మానసిక ఒత్తిడి కొనసాగుతుంది</v>
      </c>
      <c r="AW108" s="5" t="str">
        <f ca="1">IFERROR(__xludf.DUMMYFUNCTION("IF(AA108 = """", """", GOOGLETRANSLATE(AA108, ""en"", ""te""))"),"ప్రమాదకర లేదా అలసిపోయే కార్యకలాపాలను నివారించండి")</f>
        <v>ప్రమాదకర లేదా అలసిపోయే కార్యకలాపాలను నివారించండి</v>
      </c>
      <c r="AX108" s="5" t="str">
        <f ca="1">IFERROR(__xludf.DUMMYFUNCTION("IF(AB108 = """", """", GOOGLETRANSLATE(AB108, ""en"", ""te""))"),"")</f>
        <v/>
      </c>
    </row>
    <row r="109" spans="1:50" x14ac:dyDescent="0.25">
      <c r="A109" s="1">
        <v>122</v>
      </c>
      <c r="B109" s="1" t="s">
        <v>56</v>
      </c>
      <c r="C109" s="8">
        <v>45832</v>
      </c>
      <c r="D109" s="8">
        <v>45832</v>
      </c>
      <c r="E109" s="1">
        <v>10</v>
      </c>
      <c r="F109" s="1">
        <v>1</v>
      </c>
      <c r="G109" s="3" t="s">
        <v>389</v>
      </c>
      <c r="H109" s="4">
        <v>9.8958333333333329E-3</v>
      </c>
      <c r="I109" s="4">
        <v>5.4166666666666669E-3</v>
      </c>
      <c r="J109" s="4">
        <v>5.7523148148148151E-3</v>
      </c>
      <c r="K109" s="1" t="s">
        <v>58</v>
      </c>
      <c r="L109" s="1" t="s">
        <v>76</v>
      </c>
      <c r="M109" s="1" t="s">
        <v>14</v>
      </c>
      <c r="O109" s="1" t="s">
        <v>61</v>
      </c>
      <c r="P109" s="1" t="s">
        <v>61</v>
      </c>
      <c r="Q109" s="1" t="s">
        <v>61</v>
      </c>
      <c r="R109" s="1" t="s">
        <v>61</v>
      </c>
      <c r="S109" s="1" t="s">
        <v>61</v>
      </c>
      <c r="T109" s="1" t="s">
        <v>61</v>
      </c>
      <c r="V109" s="1" t="s">
        <v>61</v>
      </c>
      <c r="W109" s="1" t="s">
        <v>61</v>
      </c>
      <c r="X109" s="1" t="s">
        <v>61</v>
      </c>
      <c r="Y109" s="1" t="s">
        <v>415</v>
      </c>
      <c r="Z109" s="1" t="s">
        <v>416</v>
      </c>
      <c r="AA109" s="1" t="s">
        <v>417</v>
      </c>
      <c r="AB109" s="1"/>
      <c r="AC109" s="5" t="str">
        <f ca="1">IFERROR(__xludf.DUMMYFUNCTION("IF(Y109 = """", """", GOOGLETRANSLATE(Y109, ""en"", ""hi""))
"),"हर्षित और उत्पादक दिन")</f>
        <v>हर्षित और उत्पादक दिन</v>
      </c>
      <c r="AD109" s="5" t="str">
        <f ca="1">IFERROR(__xludf.DUMMYFUNCTION("IF(Z109 = """", """", GOOGLETRANSLATE(Z109, ""en"", ""hi""))"),"चुटकुलों से सावधान रहें - गलत अर्थ निकाला जा सकता है")</f>
        <v>चुटकुलों से सावधान रहें - गलत अर्थ निकाला जा सकता है</v>
      </c>
      <c r="AE109" s="5" t="str">
        <f ca="1">IFERROR(__xludf.DUMMYFUNCTION("IF(AA109 = """", """", GOOGLETRANSLATE(AA109, ""en"", ""hi""))"),"प्रशंसा और भाग्य की अपेक्षा करें")</f>
        <v>प्रशंसा और भाग्य की अपेक्षा करें</v>
      </c>
      <c r="AF109" s="5" t="str">
        <f ca="1">IFERROR(__xludf.DUMMYFUNCTION("IF(AB109 = """", """", GOOGLETRANSLATE(AB109, ""en"", ""hi""))"),"")</f>
        <v/>
      </c>
      <c r="AG109" s="5" t="str">
        <f ca="1">IFERROR(__xludf.DUMMYFUNCTION("IF(Y109 = """", """", GOOGLETRANSLATE(Y109, ""en"", ""mr""))"),"आनंदी आणि फलदायी दिवस")</f>
        <v>आनंदी आणि फलदायी दिवस</v>
      </c>
      <c r="AH109" s="5" t="str">
        <f ca="1">IFERROR(__xludf.DUMMYFUNCTION("IF(Z109 = """", """", GOOGLETRANSLATE(Z109, ""en"", ""mr""))"),"विनोद करताना सावधगिरी बाळगा - चुकीचा अर्थ लावला जाऊ शकतो")</f>
        <v>विनोद करताना सावधगिरी बाळगा - चुकीचा अर्थ लावला जाऊ शकतो</v>
      </c>
      <c r="AI109" s="5" t="str">
        <f ca="1">IFERROR(__xludf.DUMMYFUNCTION("IF(AA109 = """", """", GOOGLETRANSLATE(AA109, ""en"", ""mr""))"),"प्रशंसा आणि नशिबाची अपेक्षा करा")</f>
        <v>प्रशंसा आणि नशिबाची अपेक्षा करा</v>
      </c>
      <c r="AJ109" s="5" t="str">
        <f ca="1">IFERROR(__xludf.DUMMYFUNCTION("IF(AB109 = """", """", GOOGLETRANSLATE(AB109, ""en"", ""mr""))"),"")</f>
        <v/>
      </c>
      <c r="AK109" s="5" t="str">
        <f ca="1">IFERROR(__xludf.DUMMYFUNCTION("IF(Y109 = """", """", GOOGLETRANSLATE(Y109, ""en"", ""gu""))"),"ખુશખુશાલ અને ફળદાયી દિવસ")</f>
        <v>ખુશખુશાલ અને ફળદાયી દિવસ</v>
      </c>
      <c r="AL109" s="5" t="str">
        <f ca="1">IFERROR(__xludf.DUMMYFUNCTION("IF(Z109 = """", """", GOOGLETRANSLATE(Z109, ""en"", ""gu""))"),"મજાકમાં સાવધાની રાખો - ખોટું અર્થઘટન થઈ શકે છે")</f>
        <v>મજાકમાં સાવધાની રાખો - ખોટું અર્થઘટન થઈ શકે છે</v>
      </c>
      <c r="AM109" s="5" t="str">
        <f ca="1">IFERROR(__xludf.DUMMYFUNCTION("IF(AA109 = """", """", GOOGLETRANSLATE(AA109, ""en"", ""gu""))"),"પ્રશંસા અને નસીબની અપેક્ષા રાખો")</f>
        <v>પ્રશંસા અને નસીબની અપેક્ષા રાખો</v>
      </c>
      <c r="AN109" s="5" t="str">
        <f ca="1">IFERROR(__xludf.DUMMYFUNCTION("IF(AB109 = """", """", GOOGLETRANSLATE(AB109, ""en"", ""gu""))"),"")</f>
        <v/>
      </c>
      <c r="AO109" s="5" t="str">
        <f ca="1">IFERROR(__xludf.DUMMYFUNCTION("IF(Y109 = """", """", GOOGLETRANSLATE(Y109, ""en"", ""bn""))"),"প্রফুল্ল এবং উত্পাদনশীল দিন")</f>
        <v>প্রফুল্ল এবং উত্পাদনশীল দিন</v>
      </c>
      <c r="AP109" s="5" t="str">
        <f ca="1">IFERROR(__xludf.DUMMYFUNCTION("IF(Z109 = """", """", GOOGLETRANSLATE(Z109, ""en"", ""bn""))"),"কৌতুক সম্পর্কে সতর্ক থাকুন - ভুল ব্যাখ্যা হতে পারে")</f>
        <v>কৌতুক সম্পর্কে সতর্ক থাকুন - ভুল ব্যাখ্যা হতে পারে</v>
      </c>
      <c r="AQ109" s="5" t="str">
        <f ca="1">IFERROR(__xludf.DUMMYFUNCTION("IF(AA109 = """", """", GOOGLETRANSLATE(AA109, ""en"", ""bn""))"),"প্রশংসা এবং ভাগ্য আশা")</f>
        <v>প্রশংসা এবং ভাগ্য আশা</v>
      </c>
      <c r="AR109" s="5" t="str">
        <f ca="1">IFERROR(__xludf.DUMMYFUNCTION("IF(AB109 = """", """", GOOGLETRANSLATE(AB109, ""en"", ""bn""))"),"")</f>
        <v/>
      </c>
      <c r="AU109" s="5" t="str">
        <f ca="1">IFERROR(__xludf.DUMMYFUNCTION("IF(Y109 = """", """", GOOGLETRANSLATE(Y109, ""en"", ""te""))"),"సంతోషకరమైన మరియు ఉత్పాదక రోజు")</f>
        <v>సంతోషకరమైన మరియు ఉత్పాదక రోజు</v>
      </c>
      <c r="AV109" s="5" t="str">
        <f ca="1">IFERROR(__xludf.DUMMYFUNCTION("IF(Z109 = """", """", GOOGLETRANSLATE(Z109, ""en"", ""te""))"),"జోకులతో జాగ్రత్తగా ఉండండి - తప్పుగా అర్థం చేసుకోవచ్చు")</f>
        <v>జోకులతో జాగ్రత్తగా ఉండండి - తప్పుగా అర్థం చేసుకోవచ్చు</v>
      </c>
      <c r="AW109" s="5" t="str">
        <f ca="1">IFERROR(__xludf.DUMMYFUNCTION("IF(AA109 = """", """", GOOGLETRANSLATE(AA109, ""en"", ""te""))"),"ప్రశంసలు మరియు అదృష్టాన్ని ఆశించండి")</f>
        <v>ప్రశంసలు మరియు అదృష్టాన్ని ఆశించండి</v>
      </c>
      <c r="AX109" s="5" t="str">
        <f ca="1">IFERROR(__xludf.DUMMYFUNCTION("IF(AB109 = """", """", GOOGLETRANSLATE(AB109, ""en"", ""te""))"),"")</f>
        <v/>
      </c>
    </row>
    <row r="110" spans="1:50" x14ac:dyDescent="0.25">
      <c r="A110" s="1">
        <v>123</v>
      </c>
      <c r="B110" s="1" t="s">
        <v>56</v>
      </c>
      <c r="C110" s="8">
        <v>45832</v>
      </c>
      <c r="D110" s="8">
        <v>45832</v>
      </c>
      <c r="E110" s="1">
        <v>11</v>
      </c>
      <c r="F110" s="1">
        <v>1</v>
      </c>
      <c r="G110" s="3" t="s">
        <v>389</v>
      </c>
      <c r="H110" s="4">
        <v>9.8958333333333329E-3</v>
      </c>
      <c r="I110" s="4">
        <v>5.7523148148148151E-3</v>
      </c>
      <c r="J110" s="4">
        <v>6.2268518518518515E-3</v>
      </c>
      <c r="K110" s="1" t="s">
        <v>58</v>
      </c>
      <c r="L110" s="1" t="s">
        <v>79</v>
      </c>
      <c r="M110" s="1" t="s">
        <v>19</v>
      </c>
      <c r="O110" s="1" t="s">
        <v>61</v>
      </c>
      <c r="P110" s="1" t="s">
        <v>61</v>
      </c>
      <c r="Q110" s="1" t="s">
        <v>61</v>
      </c>
      <c r="R110" s="1" t="s">
        <v>61</v>
      </c>
      <c r="S110" s="1" t="s">
        <v>61</v>
      </c>
      <c r="T110" s="1" t="s">
        <v>61</v>
      </c>
      <c r="V110" s="1" t="s">
        <v>61</v>
      </c>
      <c r="W110" s="1" t="s">
        <v>61</v>
      </c>
      <c r="X110" s="1" t="s">
        <v>61</v>
      </c>
      <c r="Y110" s="1" t="s">
        <v>418</v>
      </c>
      <c r="Z110" s="1" t="s">
        <v>419</v>
      </c>
      <c r="AA110" s="1" t="s">
        <v>420</v>
      </c>
      <c r="AB110" s="1"/>
      <c r="AC110" s="5" t="str">
        <f ca="1">IFERROR(__xludf.DUMMYFUNCTION("IF(Y110 = """", """", GOOGLETRANSLATE(Y110, ""en"", ""hi""))
"),"अत्यधिक सोचना और काल्पनिक तनाव")</f>
        <v>अत्यधिक सोचना और काल्पनिक तनाव</v>
      </c>
      <c r="AD110" s="5" t="str">
        <f ca="1">IFERROR(__xludf.DUMMYFUNCTION("IF(Z110 = """", """", GOOGLETRANSLATE(Z110, ""en"", ""hi""))"),"पूर्वाग्रही विचारों को हावी न होने दें")</f>
        <v>पूर्वाग्रही विचारों को हावी न होने दें</v>
      </c>
      <c r="AE110" s="5" t="str">
        <f ca="1">IFERROR(__xludf.DUMMYFUNCTION("IF(AA110 = """", """", GOOGLETRANSLATE(AA110, ""en"", ""hi""))"),"जमीन से जुड़े रहें और वर्तमान पर ध्यान केंद्रित करें")</f>
        <v>जमीन से जुड़े रहें और वर्तमान पर ध्यान केंद्रित करें</v>
      </c>
      <c r="AF110" s="5" t="str">
        <f ca="1">IFERROR(__xludf.DUMMYFUNCTION("IF(AB110 = """", """", GOOGLETRANSLATE(AB110, ""en"", ""hi""))"),"")</f>
        <v/>
      </c>
      <c r="AG110" s="5" t="str">
        <f ca="1">IFERROR(__xludf.DUMMYFUNCTION("IF(Y110 = """", """", GOOGLETRANSLATE(Y110, ""en"", ""mr""))"),"अतिविचार आणि काल्पनिक ताण")</f>
        <v>अतिविचार आणि काल्पनिक ताण</v>
      </c>
      <c r="AH110" s="5" t="str">
        <f ca="1">IFERROR(__xludf.DUMMYFUNCTION("IF(Z110 = """", """", GOOGLETRANSLATE(Z110, ""en"", ""mr""))"),"पूर्वग्रहदूषित विचारांवर वर्चस्व गाजवू देऊ नका")</f>
        <v>पूर्वग्रहदूषित विचारांवर वर्चस्व गाजवू देऊ नका</v>
      </c>
      <c r="AI110" s="5" t="str">
        <f ca="1">IFERROR(__xludf.DUMMYFUNCTION("IF(AA110 = """", """", GOOGLETRANSLATE(AA110, ""en"", ""mr""))"),"स्थिर रहा आणि वर्तमानावर लक्ष केंद्रित करा")</f>
        <v>स्थिर रहा आणि वर्तमानावर लक्ष केंद्रित करा</v>
      </c>
      <c r="AJ110" s="5" t="str">
        <f ca="1">IFERROR(__xludf.DUMMYFUNCTION("IF(AB110 = """", """", GOOGLETRANSLATE(AB110, ""en"", ""mr""))"),"")</f>
        <v/>
      </c>
      <c r="AK110" s="5" t="str">
        <f ca="1">IFERROR(__xludf.DUMMYFUNCTION("IF(Y110 = """", """", GOOGLETRANSLATE(Y110, ""en"", ""gu""))"),"અતિશય વિચાર અને કાલ્પનિક તણાવ")</f>
        <v>અતિશય વિચાર અને કાલ્પનિક તણાવ</v>
      </c>
      <c r="AL110" s="5" t="str">
        <f ca="1">IFERROR(__xludf.DUMMYFUNCTION("IF(Z110 = """", """", GOOGLETRANSLATE(Z110, ""en"", ""gu""))"),"પૂર્વગ્રહયુક્ત વિચારોને વર્ચસ્વ ન થવા દો")</f>
        <v>પૂર્વગ્રહયુક્ત વિચારોને વર્ચસ્વ ન થવા દો</v>
      </c>
      <c r="AM110" s="5" t="str">
        <f ca="1">IFERROR(__xludf.DUMMYFUNCTION("IF(AA110 = """", """", GOOGLETRANSLATE(AA110, ""en"", ""gu""))"),"ગ્રાઉન્ડેડ રહો અને વર્તમાન પર ધ્યાન કેન્દ્રિત કરો")</f>
        <v>ગ્રાઉન્ડેડ રહો અને વર્તમાન પર ધ્યાન કેન્દ્રિત કરો</v>
      </c>
      <c r="AN110" s="5" t="str">
        <f ca="1">IFERROR(__xludf.DUMMYFUNCTION("IF(AB110 = """", """", GOOGLETRANSLATE(AB110, ""en"", ""gu""))"),"")</f>
        <v/>
      </c>
      <c r="AO110" s="5" t="str">
        <f ca="1">IFERROR(__xludf.DUMMYFUNCTION("IF(Y110 = """", """", GOOGLETRANSLATE(Y110, ""en"", ""bn""))"),"অতিরিক্ত চিন্তা ও কাল্পনিক চাপ")</f>
        <v>অতিরিক্ত চিন্তা ও কাল্পনিক চাপ</v>
      </c>
      <c r="AP110" s="5" t="str">
        <f ca="1">IFERROR(__xludf.DUMMYFUNCTION("IF(Z110 = """", """", GOOGLETRANSLATE(Z110, ""en"", ""bn""))"),"কুসংস্কারপূর্ণ চিন্তাকে প্রাধান্য দিতে দেবেন না")</f>
        <v>কুসংস্কারপূর্ণ চিন্তাকে প্রাধান্য দিতে দেবেন না</v>
      </c>
      <c r="AQ110" s="5" t="str">
        <f ca="1">IFERROR(__xludf.DUMMYFUNCTION("IF(AA110 = """", """", GOOGLETRANSLATE(AA110, ""en"", ""bn""))"),"গ্রাউন্ডেড থাকুন এবং বর্তমানের উপর ফোকাস করুন")</f>
        <v>গ্রাউন্ডেড থাকুন এবং বর্তমানের উপর ফোকাস করুন</v>
      </c>
      <c r="AR110" s="5" t="str">
        <f ca="1">IFERROR(__xludf.DUMMYFUNCTION("IF(AB110 = """", """", GOOGLETRANSLATE(AB110, ""en"", ""bn""))"),"")</f>
        <v/>
      </c>
      <c r="AU110" s="5" t="str">
        <f ca="1">IFERROR(__xludf.DUMMYFUNCTION("IF(Y110 = """", """", GOOGLETRANSLATE(Y110, ""en"", ""te""))"),"అతిగా ఆలోచించడం &amp; ఊహాత్మక ఒత్తిడి")</f>
        <v>అతిగా ఆలోచించడం &amp; ఊహాత్మక ఒత్తిడి</v>
      </c>
      <c r="AV110" s="5" t="str">
        <f ca="1">IFERROR(__xludf.DUMMYFUNCTION("IF(Z110 = """", """", GOOGLETRANSLATE(Z110, ""en"", ""te""))"),"పక్షపాత ఆలోచనలు ఆధిపత్యం వహించనివ్వవద్దు")</f>
        <v>పక్షపాత ఆలోచనలు ఆధిపత్యం వహించనివ్వవద్దు</v>
      </c>
      <c r="AW110" s="5" t="str">
        <f ca="1">IFERROR(__xludf.DUMMYFUNCTION("IF(AA110 = """", """", GOOGLETRANSLATE(AA110, ""en"", ""te""))"),"స్థిరంగా ఉండండి మరియు వర్తమానంపై దృష్టి పెట్టండి")</f>
        <v>స్థిరంగా ఉండండి మరియు వర్తమానంపై దృష్టి పెట్టండి</v>
      </c>
      <c r="AX110" s="5" t="str">
        <f ca="1">IFERROR(__xludf.DUMMYFUNCTION("IF(AB110 = """", """", GOOGLETRANSLATE(AB110, ""en"", ""te""))"),"")</f>
        <v/>
      </c>
    </row>
    <row r="111" spans="1:50" x14ac:dyDescent="0.25">
      <c r="A111" s="1">
        <v>124</v>
      </c>
      <c r="B111" s="1" t="s">
        <v>56</v>
      </c>
      <c r="C111" s="8">
        <v>45832</v>
      </c>
      <c r="D111" s="8">
        <v>45832</v>
      </c>
      <c r="E111" s="1">
        <v>12</v>
      </c>
      <c r="F111" s="1">
        <v>1</v>
      </c>
      <c r="G111" s="3" t="s">
        <v>389</v>
      </c>
      <c r="H111" s="4">
        <v>9.8958333333333329E-3</v>
      </c>
      <c r="I111" s="4">
        <v>6.2268518518518515E-3</v>
      </c>
      <c r="J111" s="4">
        <v>6.6550925925925927E-3</v>
      </c>
      <c r="K111" s="1" t="s">
        <v>58</v>
      </c>
      <c r="L111" s="1" t="s">
        <v>81</v>
      </c>
      <c r="M111" s="1" t="s">
        <v>14</v>
      </c>
      <c r="O111" s="1" t="s">
        <v>61</v>
      </c>
      <c r="P111" s="1" t="s">
        <v>61</v>
      </c>
      <c r="Q111" s="1" t="s">
        <v>61</v>
      </c>
      <c r="R111" s="1" t="s">
        <v>61</v>
      </c>
      <c r="S111" s="1" t="s">
        <v>61</v>
      </c>
      <c r="T111" s="1" t="s">
        <v>61</v>
      </c>
      <c r="V111" s="1" t="s">
        <v>61</v>
      </c>
      <c r="W111" s="1" t="s">
        <v>61</v>
      </c>
      <c r="X111" s="1" t="s">
        <v>61</v>
      </c>
      <c r="Y111" s="1" t="s">
        <v>386</v>
      </c>
      <c r="Z111" s="1" t="s">
        <v>387</v>
      </c>
      <c r="AA111" s="1" t="s">
        <v>388</v>
      </c>
      <c r="AB111" s="1"/>
      <c r="AC111" s="5" t="str">
        <f ca="1">IFERROR(__xludf.DUMMYFUNCTION("IF(Y111 = """", """", GOOGLETRANSLATE(Y111, ""en"", ""hi""))
"),"सामाजिक समय और पारिवारिक बंधन का आनंद लें")</f>
        <v>सामाजिक समय और पारिवारिक बंधन का आनंद लें</v>
      </c>
      <c r="AD111" s="5" t="str">
        <f ca="1">IFERROR(__xludf.DUMMYFUNCTION("IF(Z111 = """", """", GOOGLETRANSLATE(Z111, ""en"", ""hi""))"),"खरीदारी या सैर संभव")</f>
        <v>खरीदारी या सैर संभव</v>
      </c>
      <c r="AE111" s="5" t="str">
        <f ca="1">IFERROR(__xludf.DUMMYFUNCTION("IF(AA111 = """", """", GOOGLETRANSLATE(AA111, ""en"", ""hi""))"),"प्रतिष्ठा और सम्मान बढ़ सकता है")</f>
        <v>प्रतिष्ठा और सम्मान बढ़ सकता है</v>
      </c>
      <c r="AF111" s="5" t="str">
        <f ca="1">IFERROR(__xludf.DUMMYFUNCTION("IF(AB111 = """", """", GOOGLETRANSLATE(AB111, ""en"", ""hi""))"),"")</f>
        <v/>
      </c>
      <c r="AG111" s="5" t="str">
        <f ca="1">IFERROR(__xludf.DUMMYFUNCTION("IF(Y111 = """", """", GOOGLETRANSLATE(Y111, ""en"", ""mr""))"),"सामाजिक वेळ आणि कौटुंबिक संबंधांचा आनंद घ्या")</f>
        <v>सामाजिक वेळ आणि कौटुंबिक संबंधांचा आनंद घ्या</v>
      </c>
      <c r="AH111" s="5" t="str">
        <f ca="1">IFERROR(__xludf.DUMMYFUNCTION("IF(Z111 = """", """", GOOGLETRANSLATE(Z111, ""en"", ""mr""))"),"खरेदी किंवा बाहेर जाण्याची शक्यता आहे")</f>
        <v>खरेदी किंवा बाहेर जाण्याची शक्यता आहे</v>
      </c>
      <c r="AI111" s="5" t="str">
        <f ca="1">IFERROR(__xludf.DUMMYFUNCTION("IF(AA111 = """", """", GOOGLETRANSLATE(AA111, ""en"", ""mr""))"),"प्रतिष्ठा आणि आदर वाढू शकतो")</f>
        <v>प्रतिष्ठा आणि आदर वाढू शकतो</v>
      </c>
      <c r="AJ111" s="5" t="str">
        <f ca="1">IFERROR(__xludf.DUMMYFUNCTION("IF(AB111 = """", """", GOOGLETRANSLATE(AB111, ""en"", ""mr""))"),"")</f>
        <v/>
      </c>
      <c r="AK111" s="5" t="str">
        <f ca="1">IFERROR(__xludf.DUMMYFUNCTION("IF(Y111 = """", """", GOOGLETRANSLATE(Y111, ""en"", ""gu""))"),"સામાજિક સમય અને કૌટુંબિક બંધનનો આનંદ માણો")</f>
        <v>સામાજિક સમય અને કૌટુંબિક બંધનનો આનંદ માણો</v>
      </c>
      <c r="AL111" s="5" t="str">
        <f ca="1">IFERROR(__xludf.DUMMYFUNCTION("IF(Z111 = """", """", GOOGLETRANSLATE(Z111, ""en"", ""gu""))"),"ખરીદી અથવા બહાર ફરવાનું શક્ય છે")</f>
        <v>ખરીદી અથવા બહાર ફરવાનું શક્ય છે</v>
      </c>
      <c r="AM111" s="5" t="str">
        <f ca="1">IFERROR(__xludf.DUMMYFUNCTION("IF(AA111 = """", """", GOOGLETRANSLATE(AA111, ""en"", ""gu""))"),"પદ અને સન્માન વધી શકે છે")</f>
        <v>પદ અને સન્માન વધી શકે છે</v>
      </c>
      <c r="AN111" s="5" t="str">
        <f ca="1">IFERROR(__xludf.DUMMYFUNCTION("IF(AB111 = """", """", GOOGLETRANSLATE(AB111, ""en"", ""gu""))"),"")</f>
        <v/>
      </c>
      <c r="AO111" s="5" t="str">
        <f ca="1">IFERROR(__xludf.DUMMYFUNCTION("IF(Y111 = """", """", GOOGLETRANSLATE(Y111, ""en"", ""bn""))"),"সামাজিক সময় এবং পারিবারিক বন্ধন উপভোগ করুন")</f>
        <v>সামাজিক সময় এবং পারিবারিক বন্ধন উপভোগ করুন</v>
      </c>
      <c r="AP111" s="5" t="str">
        <f ca="1">IFERROR(__xludf.DUMMYFUNCTION("IF(Z111 = """", """", GOOGLETRANSLATE(Z111, ""en"", ""bn""))"),"কেনাকাটা বা আউটিং সম্ভব")</f>
        <v>কেনাকাটা বা আউটিং সম্ভব</v>
      </c>
      <c r="AQ111" s="5" t="str">
        <f ca="1">IFERROR(__xludf.DUMMYFUNCTION("IF(AA111 = """", """", GOOGLETRANSLATE(AA111, ""en"", ""bn""))"),"মর্যাদা ও সম্মান বৃদ্ধি পেতে পারে")</f>
        <v>মর্যাদা ও সম্মান বৃদ্ধি পেতে পারে</v>
      </c>
      <c r="AR111" s="5" t="str">
        <f ca="1">IFERROR(__xludf.DUMMYFUNCTION("IF(AB111 = """", """", GOOGLETRANSLATE(AB111, ""en"", ""bn""))"),"")</f>
        <v/>
      </c>
      <c r="AU111" s="5" t="str">
        <f ca="1">IFERROR(__xludf.DUMMYFUNCTION("IF(Y111 = """", """", GOOGLETRANSLATE(Y111, ""en"", ""te""))"),"సామాజిక సమయం మరియు కుటుంబ బంధాన్ని ఆస్వాదించండి")</f>
        <v>సామాజిక సమయం మరియు కుటుంబ బంధాన్ని ఆస్వాదించండి</v>
      </c>
      <c r="AV111" s="5" t="str">
        <f ca="1">IFERROR(__xludf.DUMMYFUNCTION("IF(Z111 = """", """", GOOGLETRANSLATE(Z111, ""en"", ""te""))"),"షాపింగ్ లేదా విహారయాత్రలు సాధ్యమే")</f>
        <v>షాపింగ్ లేదా విహారయాత్రలు సాధ్యమే</v>
      </c>
      <c r="AW111" s="5" t="str">
        <f ca="1">IFERROR(__xludf.DUMMYFUNCTION("IF(AA111 = """", """", GOOGLETRANSLATE(AA111, ""en"", ""te""))"),"హోదా, గౌరవం పెరగవచ్చు")</f>
        <v>హోదా, గౌరవం పెరగవచ్చు</v>
      </c>
      <c r="AX111" s="5" t="str">
        <f ca="1">IFERROR(__xludf.DUMMYFUNCTION("IF(AB111 = """", """", GOOGLETRANSLATE(AB111, ""en"", ""te""))"),"")</f>
        <v/>
      </c>
    </row>
    <row r="112" spans="1:50" x14ac:dyDescent="0.25">
      <c r="A112" s="1">
        <v>125</v>
      </c>
      <c r="B112" s="1" t="s">
        <v>56</v>
      </c>
      <c r="C112" s="8">
        <v>45832</v>
      </c>
      <c r="D112" s="8">
        <v>45832</v>
      </c>
      <c r="E112" s="1">
        <v>13</v>
      </c>
      <c r="F112" s="1">
        <v>1</v>
      </c>
      <c r="G112" s="3" t="s">
        <v>389</v>
      </c>
      <c r="H112" s="4">
        <v>9.8958333333333329E-3</v>
      </c>
      <c r="I112" s="4">
        <v>6.6550925925925927E-3</v>
      </c>
      <c r="J112" s="7" t="s">
        <v>421</v>
      </c>
      <c r="L112" s="1" t="s">
        <v>137</v>
      </c>
      <c r="O112" s="1" t="s">
        <v>61</v>
      </c>
      <c r="P112" s="1" t="s">
        <v>61</v>
      </c>
      <c r="Q112" s="1" t="s">
        <v>61</v>
      </c>
      <c r="R112" s="1" t="s">
        <v>61</v>
      </c>
      <c r="S112" s="1" t="s">
        <v>61</v>
      </c>
      <c r="T112" s="1" t="s">
        <v>61</v>
      </c>
      <c r="V112" s="1" t="s">
        <v>61</v>
      </c>
      <c r="W112" s="1" t="s">
        <v>61</v>
      </c>
      <c r="X112" s="1" t="s">
        <v>61</v>
      </c>
      <c r="AB112" s="1"/>
      <c r="AC112" s="5" t="str">
        <f ca="1">IFERROR(__xludf.DUMMYFUNCTION("IF(Y112 = """", """", GOOGLETRANSLATE(Y112, ""en"", ""hi""))
"),"")</f>
        <v/>
      </c>
      <c r="AD112" s="5" t="str">
        <f ca="1">IFERROR(__xludf.DUMMYFUNCTION("IF(Z112 = """", """", GOOGLETRANSLATE(Z112, ""en"", ""hi""))"),"")</f>
        <v/>
      </c>
      <c r="AE112" s="5" t="str">
        <f ca="1">IFERROR(__xludf.DUMMYFUNCTION("IF(AA112 = """", """", GOOGLETRANSLATE(AA112, ""en"", ""hi""))"),"")</f>
        <v/>
      </c>
      <c r="AF112" s="5" t="str">
        <f ca="1">IFERROR(__xludf.DUMMYFUNCTION("IF(AB112 = """", """", GOOGLETRANSLATE(AB112, ""en"", ""hi""))"),"")</f>
        <v/>
      </c>
      <c r="AG112" s="5" t="str">
        <f ca="1">IFERROR(__xludf.DUMMYFUNCTION("IF(Y112 = """", """", GOOGLETRANSLATE(Y112, ""en"", ""mr""))"),"")</f>
        <v/>
      </c>
      <c r="AH112" s="5" t="str">
        <f ca="1">IFERROR(__xludf.DUMMYFUNCTION("IF(Z112 = """", """", GOOGLETRANSLATE(Z112, ""en"", ""mr""))"),"")</f>
        <v/>
      </c>
      <c r="AI112" s="5" t="str">
        <f ca="1">IFERROR(__xludf.DUMMYFUNCTION("IF(AA112 = """", """", GOOGLETRANSLATE(AA112, ""en"", ""mr""))"),"")</f>
        <v/>
      </c>
      <c r="AJ112" s="5" t="str">
        <f ca="1">IFERROR(__xludf.DUMMYFUNCTION("IF(AB112 = """", """", GOOGLETRANSLATE(AB112, ""en"", ""mr""))"),"")</f>
        <v/>
      </c>
      <c r="AK112" s="5" t="str">
        <f ca="1">IFERROR(__xludf.DUMMYFUNCTION("IF(Y112 = """", """", GOOGLETRANSLATE(Y112, ""en"", ""gu""))"),"")</f>
        <v/>
      </c>
      <c r="AL112" s="5" t="str">
        <f ca="1">IFERROR(__xludf.DUMMYFUNCTION("IF(Z112 = """", """", GOOGLETRANSLATE(Z112, ""en"", ""gu""))"),"")</f>
        <v/>
      </c>
      <c r="AM112" s="5" t="str">
        <f ca="1">IFERROR(__xludf.DUMMYFUNCTION("IF(AA112 = """", """", GOOGLETRANSLATE(AA112, ""en"", ""gu""))"),"")</f>
        <v/>
      </c>
      <c r="AN112" s="5" t="str">
        <f ca="1">IFERROR(__xludf.DUMMYFUNCTION("IF(AB112 = """", """", GOOGLETRANSLATE(AB112, ""en"", ""gu""))"),"")</f>
        <v/>
      </c>
      <c r="AO112" s="5" t="str">
        <f ca="1">IFERROR(__xludf.DUMMYFUNCTION("IF(Y112 = """", """", GOOGLETRANSLATE(Y112, ""en"", ""bn""))"),"")</f>
        <v/>
      </c>
      <c r="AP112" s="5" t="str">
        <f ca="1">IFERROR(__xludf.DUMMYFUNCTION("IF(Z112 = """", """", GOOGLETRANSLATE(Z112, ""en"", ""bn""))"),"")</f>
        <v/>
      </c>
      <c r="AQ112" s="5" t="str">
        <f ca="1">IFERROR(__xludf.DUMMYFUNCTION("IF(AA112 = """", """", GOOGLETRANSLATE(AA112, ""en"", ""bn""))"),"")</f>
        <v/>
      </c>
      <c r="AR112" s="5" t="str">
        <f ca="1">IFERROR(__xludf.DUMMYFUNCTION("IF(AB112 = """", """", GOOGLETRANSLATE(AB112, ""en"", ""bn""))"),"")</f>
        <v/>
      </c>
      <c r="AU112" s="5" t="str">
        <f ca="1">IFERROR(__xludf.DUMMYFUNCTION("IF(Y112 = """", """", GOOGLETRANSLATE(Y112, ""en"", ""te""))"),"")</f>
        <v/>
      </c>
      <c r="AV112" s="5" t="str">
        <f ca="1">IFERROR(__xludf.DUMMYFUNCTION("IF(Z112 = """", """", GOOGLETRANSLATE(Z112, ""en"", ""te""))"),"")</f>
        <v/>
      </c>
      <c r="AW112" s="5" t="str">
        <f ca="1">IFERROR(__xludf.DUMMYFUNCTION("IF(AA112 = """", """", GOOGLETRANSLATE(AA112, ""en"", ""te""))"),"")</f>
        <v/>
      </c>
      <c r="AX112" s="5" t="str">
        <f ca="1">IFERROR(__xludf.DUMMYFUNCTION("IF(AB112 = """", """", GOOGLETRANSLATE(AB112, ""en"", ""te""))"),"")</f>
        <v/>
      </c>
    </row>
    <row r="113" spans="1:50" x14ac:dyDescent="0.25">
      <c r="A113" s="1">
        <v>126</v>
      </c>
      <c r="B113" s="1" t="s">
        <v>56</v>
      </c>
      <c r="C113" s="8">
        <v>45833</v>
      </c>
      <c r="D113" s="8">
        <v>45833</v>
      </c>
      <c r="E113" s="1">
        <v>0</v>
      </c>
      <c r="F113" s="1">
        <v>1</v>
      </c>
      <c r="G113" s="3" t="s">
        <v>422</v>
      </c>
      <c r="H113" s="4">
        <v>7.9861111111111105E-3</v>
      </c>
      <c r="I113" s="4">
        <v>0</v>
      </c>
      <c r="J113" s="4">
        <v>1.0185185185185184E-3</v>
      </c>
      <c r="K113" s="1" t="s">
        <v>58</v>
      </c>
      <c r="L113" s="1" t="s">
        <v>59</v>
      </c>
      <c r="O113" s="1" t="s">
        <v>61</v>
      </c>
      <c r="P113" s="1" t="s">
        <v>61</v>
      </c>
      <c r="Q113" s="1" t="s">
        <v>61</v>
      </c>
      <c r="R113" s="1" t="s">
        <v>61</v>
      </c>
      <c r="S113" s="1" t="s">
        <v>61</v>
      </c>
      <c r="T113" s="1" t="s">
        <v>61</v>
      </c>
      <c r="V113" s="1" t="s">
        <v>61</v>
      </c>
      <c r="W113" s="1" t="s">
        <v>61</v>
      </c>
      <c r="X113" s="1" t="s">
        <v>61</v>
      </c>
      <c r="AB113" s="1"/>
      <c r="AC113" s="5" t="str">
        <f ca="1">IFERROR(__xludf.DUMMYFUNCTION("IF(Y113 = """", """", GOOGLETRANSLATE(Y113, ""en"", ""hi""))
"),"")</f>
        <v/>
      </c>
      <c r="AD113" s="5" t="str">
        <f ca="1">IFERROR(__xludf.DUMMYFUNCTION("IF(Z113 = """", """", GOOGLETRANSLATE(Z113, ""en"", ""hi""))"),"")</f>
        <v/>
      </c>
      <c r="AE113" s="5" t="str">
        <f ca="1">IFERROR(__xludf.DUMMYFUNCTION("IF(AA113 = """", """", GOOGLETRANSLATE(AA113, ""en"", ""hi""))"),"")</f>
        <v/>
      </c>
      <c r="AF113" s="5" t="str">
        <f ca="1">IFERROR(__xludf.DUMMYFUNCTION("IF(AB113 = """", """", GOOGLETRANSLATE(AB113, ""en"", ""hi""))"),"")</f>
        <v/>
      </c>
      <c r="AG113" s="5" t="str">
        <f ca="1">IFERROR(__xludf.DUMMYFUNCTION("IF(Y113 = """", """", GOOGLETRANSLATE(Y113, ""en"", ""mr""))"),"")</f>
        <v/>
      </c>
      <c r="AH113" s="5" t="str">
        <f ca="1">IFERROR(__xludf.DUMMYFUNCTION("IF(Z113 = """", """", GOOGLETRANSLATE(Z113, ""en"", ""mr""))"),"")</f>
        <v/>
      </c>
      <c r="AI113" s="5" t="str">
        <f ca="1">IFERROR(__xludf.DUMMYFUNCTION("IF(AA113 = """", """", GOOGLETRANSLATE(AA113, ""en"", ""mr""))"),"")</f>
        <v/>
      </c>
      <c r="AJ113" s="5" t="str">
        <f ca="1">IFERROR(__xludf.DUMMYFUNCTION("IF(AB113 = """", """", GOOGLETRANSLATE(AB113, ""en"", ""mr""))"),"")</f>
        <v/>
      </c>
      <c r="AK113" s="5" t="str">
        <f ca="1">IFERROR(__xludf.DUMMYFUNCTION("IF(Y113 = """", """", GOOGLETRANSLATE(Y113, ""en"", ""gu""))"),"")</f>
        <v/>
      </c>
      <c r="AL113" s="5" t="str">
        <f ca="1">IFERROR(__xludf.DUMMYFUNCTION("IF(Z113 = """", """", GOOGLETRANSLATE(Z113, ""en"", ""gu""))"),"")</f>
        <v/>
      </c>
      <c r="AM113" s="5" t="str">
        <f ca="1">IFERROR(__xludf.DUMMYFUNCTION("IF(AA113 = """", """", GOOGLETRANSLATE(AA113, ""en"", ""gu""))"),"")</f>
        <v/>
      </c>
      <c r="AN113" s="5" t="str">
        <f ca="1">IFERROR(__xludf.DUMMYFUNCTION("IF(AB113 = """", """", GOOGLETRANSLATE(AB113, ""en"", ""gu""))"),"")</f>
        <v/>
      </c>
      <c r="AO113" s="5" t="str">
        <f ca="1">IFERROR(__xludf.DUMMYFUNCTION("IF(Y113 = """", """", GOOGLETRANSLATE(Y113, ""en"", ""bn""))"),"")</f>
        <v/>
      </c>
      <c r="AP113" s="5" t="str">
        <f ca="1">IFERROR(__xludf.DUMMYFUNCTION("IF(Z113 = """", """", GOOGLETRANSLATE(Z113, ""en"", ""bn""))"),"")</f>
        <v/>
      </c>
      <c r="AQ113" s="5" t="str">
        <f ca="1">IFERROR(__xludf.DUMMYFUNCTION("IF(AA113 = """", """", GOOGLETRANSLATE(AA113, ""en"", ""bn""))"),"")</f>
        <v/>
      </c>
      <c r="AR113" s="5" t="str">
        <f ca="1">IFERROR(__xludf.DUMMYFUNCTION("IF(AB113 = """", """", GOOGLETRANSLATE(AB113, ""en"", ""bn""))"),"")</f>
        <v/>
      </c>
      <c r="AU113" s="5" t="str">
        <f ca="1">IFERROR(__xludf.DUMMYFUNCTION("IF(Y113 = """", """", GOOGLETRANSLATE(Y113, ""en"", ""te""))"),"")</f>
        <v/>
      </c>
      <c r="AV113" s="5" t="str">
        <f ca="1">IFERROR(__xludf.DUMMYFUNCTION("IF(Z113 = """", """", GOOGLETRANSLATE(Z113, ""en"", ""te""))"),"")</f>
        <v/>
      </c>
      <c r="AW113" s="5" t="str">
        <f ca="1">IFERROR(__xludf.DUMMYFUNCTION("IF(AA113 = """", """", GOOGLETRANSLATE(AA113, ""en"", ""te""))"),"")</f>
        <v/>
      </c>
      <c r="AX113" s="5" t="str">
        <f ca="1">IFERROR(__xludf.DUMMYFUNCTION("IF(AB113 = """", """", GOOGLETRANSLATE(AB113, ""en"", ""te""))"),"")</f>
        <v/>
      </c>
    </row>
    <row r="114" spans="1:50" x14ac:dyDescent="0.25">
      <c r="A114" s="1">
        <v>127</v>
      </c>
      <c r="B114" s="1" t="s">
        <v>56</v>
      </c>
      <c r="C114" s="8">
        <v>45833</v>
      </c>
      <c r="D114" s="8">
        <v>45833</v>
      </c>
      <c r="E114" s="1">
        <v>1</v>
      </c>
      <c r="F114" s="1">
        <v>1</v>
      </c>
      <c r="G114" s="3" t="s">
        <v>422</v>
      </c>
      <c r="H114" s="4">
        <v>7.9861111111111105E-3</v>
      </c>
      <c r="I114" s="4">
        <v>1.0185185185185184E-3</v>
      </c>
      <c r="J114" s="4">
        <v>1.6319444444444445E-3</v>
      </c>
      <c r="K114" s="1" t="s">
        <v>58</v>
      </c>
      <c r="L114" s="1" t="s">
        <v>142</v>
      </c>
      <c r="M114" s="1" t="s">
        <v>14</v>
      </c>
      <c r="O114" s="1" t="s">
        <v>61</v>
      </c>
      <c r="P114" s="1" t="s">
        <v>61</v>
      </c>
      <c r="Q114" s="1" t="s">
        <v>61</v>
      </c>
      <c r="R114" s="1" t="s">
        <v>61</v>
      </c>
      <c r="S114" s="1" t="s">
        <v>61</v>
      </c>
      <c r="T114" s="1" t="s">
        <v>61</v>
      </c>
      <c r="V114" s="1" t="s">
        <v>61</v>
      </c>
      <c r="W114" s="1" t="s">
        <v>61</v>
      </c>
      <c r="X114" s="1" t="s">
        <v>61</v>
      </c>
      <c r="Y114" s="1" t="s">
        <v>423</v>
      </c>
      <c r="Z114" s="1" t="s">
        <v>424</v>
      </c>
      <c r="AA114" s="1" t="s">
        <v>425</v>
      </c>
      <c r="AB114" s="1"/>
      <c r="AC114" s="5" t="str">
        <f ca="1">IFERROR(__xludf.DUMMYFUNCTION("IF(Y114 = """", """", GOOGLETRANSLATE(Y114, ""en"", ""hi""))
"),"तनाव में कमी")</f>
        <v>तनाव में कमी</v>
      </c>
      <c r="AD114" s="5" t="str">
        <f ca="1">IFERROR(__xludf.DUMMYFUNCTION("IF(Z114 = """", """", GOOGLETRANSLATE(Z114, ""en"", ""hi""))"),"लंबित कार्य में प्रगति")</f>
        <v>लंबित कार्य में प्रगति</v>
      </c>
      <c r="AE114" s="5" t="str">
        <f ca="1">IFERROR(__xludf.DUMMYFUNCTION("IF(AA114 = """", """", GOOGLETRANSLATE(AA114, ""en"", ""hi""))"),"मंगल-केतु के कारण स्वास्थ्य पर नजर")</f>
        <v>मंगल-केतु के कारण स्वास्थ्य पर नजर</v>
      </c>
      <c r="AF114" s="5" t="str">
        <f ca="1">IFERROR(__xludf.DUMMYFUNCTION("IF(AB114 = """", """", GOOGLETRANSLATE(AB114, ""en"", ""hi""))"),"")</f>
        <v/>
      </c>
      <c r="AG114" s="5" t="str">
        <f ca="1">IFERROR(__xludf.DUMMYFUNCTION("IF(Y114 = """", """", GOOGLETRANSLATE(Y114, ""en"", ""mr""))"),"तणाव कमी होतो")</f>
        <v>तणाव कमी होतो</v>
      </c>
      <c r="AH114" s="5" t="str">
        <f ca="1">IFERROR(__xludf.DUMMYFUNCTION("IF(Z114 = """", """", GOOGLETRANSLATE(Z114, ""en"", ""mr""))"),"प्रलंबित कामात प्रगती")</f>
        <v>प्रलंबित कामात प्रगती</v>
      </c>
      <c r="AI114" s="5" t="str">
        <f ca="1">IFERROR(__xludf.DUMMYFUNCTION("IF(AA114 = """", """", GOOGLETRANSLATE(AA114, ""en"", ""mr""))"),"मंगळ-केतूमुळे आरोग्य पहा")</f>
        <v>मंगळ-केतूमुळे आरोग्य पहा</v>
      </c>
      <c r="AJ114" s="5" t="str">
        <f ca="1">IFERROR(__xludf.DUMMYFUNCTION("IF(AB114 = """", """", GOOGLETRANSLATE(AB114, ""en"", ""mr""))"),"")</f>
        <v/>
      </c>
      <c r="AK114" s="5" t="str">
        <f ca="1">IFERROR(__xludf.DUMMYFUNCTION("IF(Y114 = """", """", GOOGLETRANSLATE(Y114, ""en"", ""gu""))"),"તણાવ ઓછો થયો")</f>
        <v>તણાવ ઓછો થયો</v>
      </c>
      <c r="AL114" s="5" t="str">
        <f ca="1">IFERROR(__xludf.DUMMYFUNCTION("IF(Z114 = """", """", GOOGLETRANSLATE(Z114, ""en"", ""gu""))"),"બાકી કામમાં પ્રગતિ")</f>
        <v>બાકી કામમાં પ્રગતિ</v>
      </c>
      <c r="AM114" s="5" t="str">
        <f ca="1">IFERROR(__xludf.DUMMYFUNCTION("IF(AA114 = """", """", GOOGLETRANSLATE(AA114, ""en"", ""gu""))"),"મંગળ-કેતુના કારણે સ્વાસ્થ્યનું ધ્યાન રાખો")</f>
        <v>મંગળ-કેતુના કારણે સ્વાસ્થ્યનું ધ્યાન રાખો</v>
      </c>
      <c r="AN114" s="5" t="str">
        <f ca="1">IFERROR(__xludf.DUMMYFUNCTION("IF(AB114 = """", """", GOOGLETRANSLATE(AB114, ""en"", ""gu""))"),"")</f>
        <v/>
      </c>
      <c r="AO114" s="5" t="str">
        <f ca="1">IFERROR(__xludf.DUMMYFUNCTION("IF(Y114 = """", """", GOOGLETRANSLATE(Y114, ""en"", ""bn""))"),"চাপ কমানো")</f>
        <v>চাপ কমানো</v>
      </c>
      <c r="AP114" s="5" t="str">
        <f ca="1">IFERROR(__xludf.DUMMYFUNCTION("IF(Z114 = """", """", GOOGLETRANSLATE(Z114, ""en"", ""bn""))"),"মুলতুবি কাজের অগ্রগতি")</f>
        <v>মুলতুবি কাজের অগ্রগতি</v>
      </c>
      <c r="AQ114" s="5" t="str">
        <f ca="1">IFERROR(__xludf.DUMMYFUNCTION("IF(AA114 = """", """", GOOGLETRANSLATE(AA114, ""en"", ""bn""))"),"মঙ্গল-কেতুর কারণে স্বাস্থ্য দেখুন")</f>
        <v>মঙ্গল-কেতুর কারণে স্বাস্থ্য দেখুন</v>
      </c>
      <c r="AR114" s="5" t="str">
        <f ca="1">IFERROR(__xludf.DUMMYFUNCTION("IF(AB114 = """", """", GOOGLETRANSLATE(AB114, ""en"", ""bn""))"),"")</f>
        <v/>
      </c>
      <c r="AU114" s="5" t="str">
        <f ca="1">IFERROR(__xludf.DUMMYFUNCTION("IF(Y114 = """", """", GOOGLETRANSLATE(Y114, ""en"", ""te""))"),"తగ్గిన ఒత్తిడి")</f>
        <v>తగ్గిన ఒత్తిడి</v>
      </c>
      <c r="AV114" s="5" t="str">
        <f ca="1">IFERROR(__xludf.DUMMYFUNCTION("IF(Z114 = """", """", GOOGLETRANSLATE(Z114, ""en"", ""te""))"),"పెండింగ్ పనుల్లో పురోగతి")</f>
        <v>పెండింగ్ పనుల్లో పురోగతి</v>
      </c>
      <c r="AW114" s="5" t="str">
        <f ca="1">IFERROR(__xludf.DUMMYFUNCTION("IF(AA114 = """", """", GOOGLETRANSLATE(AA114, ""en"", ""te""))"),"Watch కుజుడు-కేతువు వల్ల ఆరోగ్యం")</f>
        <v>Watch కుజుడు-కేతువు వల్ల ఆరోగ్యం</v>
      </c>
      <c r="AX114" s="5" t="str">
        <f ca="1">IFERROR(__xludf.DUMMYFUNCTION("IF(AB114 = """", """", GOOGLETRANSLATE(AB114, ""en"", ""te""))"),"")</f>
        <v/>
      </c>
    </row>
    <row r="115" spans="1:50" x14ac:dyDescent="0.25">
      <c r="A115" s="1">
        <v>128</v>
      </c>
      <c r="B115" s="1" t="s">
        <v>56</v>
      </c>
      <c r="C115" s="8">
        <v>45833</v>
      </c>
      <c r="D115" s="8">
        <v>45833</v>
      </c>
      <c r="E115" s="1">
        <v>2</v>
      </c>
      <c r="F115" s="1">
        <v>1</v>
      </c>
      <c r="G115" s="3" t="s">
        <v>422</v>
      </c>
      <c r="H115" s="4">
        <v>7.9861111111111105E-3</v>
      </c>
      <c r="I115" s="4">
        <v>1.6319444444444445E-3</v>
      </c>
      <c r="J115" s="4">
        <v>2.0833333333333333E-3</v>
      </c>
      <c r="K115" s="1" t="s">
        <v>58</v>
      </c>
      <c r="L115" s="1" t="s">
        <v>90</v>
      </c>
      <c r="M115" s="1" t="s">
        <v>14</v>
      </c>
      <c r="O115" s="1" t="s">
        <v>61</v>
      </c>
      <c r="P115" s="1" t="s">
        <v>61</v>
      </c>
      <c r="Q115" s="1" t="s">
        <v>61</v>
      </c>
      <c r="R115" s="1" t="s">
        <v>61</v>
      </c>
      <c r="S115" s="1" t="s">
        <v>61</v>
      </c>
      <c r="T115" s="1" t="s">
        <v>61</v>
      </c>
      <c r="V115" s="1" t="s">
        <v>61</v>
      </c>
      <c r="W115" s="1" t="s">
        <v>61</v>
      </c>
      <c r="X115" s="1" t="s">
        <v>61</v>
      </c>
      <c r="Y115" s="1" t="s">
        <v>426</v>
      </c>
      <c r="Z115" s="1" t="s">
        <v>427</v>
      </c>
      <c r="AA115" s="1" t="s">
        <v>428</v>
      </c>
      <c r="AB115" s="1"/>
      <c r="AC115" s="5" t="str">
        <f ca="1">IFERROR(__xludf.DUMMYFUNCTION("IF(Y115 = """", """", GOOGLETRANSLATE(Y115, ""en"", ""hi""))
"),"लंबित कार्यों को पूरा करें")</f>
        <v>लंबित कार्यों को पूरा करें</v>
      </c>
      <c r="AD115" s="5" t="str">
        <f ca="1">IFERROR(__xludf.DUMMYFUNCTION("IF(Z115 = """", """", GOOGLETRANSLATE(Z115, ""en"", ""hi""))"),"प्रशंसा की संभावना")</f>
        <v>प्रशंसा की संभावना</v>
      </c>
      <c r="AE115" s="5" t="str">
        <f ca="1">IFERROR(__xludf.DUMMYFUNCTION("IF(AA115 = """", """", GOOGLETRANSLATE(AA115, ""en"", ""hi""))"),"विदेश से संबंधित कार्यों के लिए अच्छा")</f>
        <v>विदेश से संबंधित कार्यों के लिए अच्छा</v>
      </c>
      <c r="AF115" s="5" t="str">
        <f ca="1">IFERROR(__xludf.DUMMYFUNCTION("IF(AB115 = """", """", GOOGLETRANSLATE(AB115, ""en"", ""hi""))"),"")</f>
        <v/>
      </c>
      <c r="AG115" s="5" t="str">
        <f ca="1">IFERROR(__xludf.DUMMYFUNCTION("IF(Y115 = """", """", GOOGLETRANSLATE(Y115, ""en"", ""mr""))"),"प्रलंबित कामे पूर्ण करा")</f>
        <v>प्रलंबित कामे पूर्ण करा</v>
      </c>
      <c r="AH115" s="5" t="str">
        <f ca="1">IFERROR(__xludf.DUMMYFUNCTION("IF(Z115 = """", """", GOOGLETRANSLATE(Z115, ""en"", ""mr""))"),"कौतुक होण्याची शक्यता आहे")</f>
        <v>कौतुक होण्याची शक्यता आहे</v>
      </c>
      <c r="AI115" s="5" t="str">
        <f ca="1">IFERROR(__xludf.DUMMYFUNCTION("IF(AA115 = """", """", GOOGLETRANSLATE(AA115, ""en"", ""mr""))"),"परदेशाशी संबंधित कामासाठी चांगले")</f>
        <v>परदेशाशी संबंधित कामासाठी चांगले</v>
      </c>
      <c r="AJ115" s="5" t="str">
        <f ca="1">IFERROR(__xludf.DUMMYFUNCTION("IF(AB115 = """", """", GOOGLETRANSLATE(AB115, ""en"", ""mr""))"),"")</f>
        <v/>
      </c>
      <c r="AK115" s="5" t="str">
        <f ca="1">IFERROR(__xludf.DUMMYFUNCTION("IF(Y115 = """", """", GOOGLETRANSLATE(Y115, ""en"", ""gu""))"),"અટકેલા કાર્યો પૂરા કરો")</f>
        <v>અટકેલા કાર્યો પૂરા કરો</v>
      </c>
      <c r="AL115" s="5" t="str">
        <f ca="1">IFERROR(__xludf.DUMMYFUNCTION("IF(Z115 = """", """", GOOGLETRANSLATE(Z115, ""en"", ""gu""))"),"પ્રશંસા થવાની સંભાવના છે")</f>
        <v>પ્રશંસા થવાની સંભાવના છે</v>
      </c>
      <c r="AM115" s="5" t="str">
        <f ca="1">IFERROR(__xludf.DUMMYFUNCTION("IF(AA115 = """", """", GOOGLETRANSLATE(AA115, ""en"", ""gu""))"),"વિદેશ સંબંધિત કામ માટે સારું")</f>
        <v>વિદેશ સંબંધિત કામ માટે સારું</v>
      </c>
      <c r="AN115" s="5" t="str">
        <f ca="1">IFERROR(__xludf.DUMMYFUNCTION("IF(AB115 = """", """", GOOGLETRANSLATE(AB115, ""en"", ""gu""))"),"")</f>
        <v/>
      </c>
      <c r="AO115" s="5" t="str">
        <f ca="1">IFERROR(__xludf.DUMMYFUNCTION("IF(Y115 = """", """", GOOGLETRANSLATE(Y115, ""en"", ""bn""))"),"মুলতুবি কাজগুলি শেষ করুন")</f>
        <v>মুলতুবি কাজগুলি শেষ করুন</v>
      </c>
      <c r="AP115" s="5" t="str">
        <f ca="1">IFERROR(__xludf.DUMMYFUNCTION("IF(Z115 = """", """", GOOGLETRANSLATE(Z115, ""en"", ""bn""))"),"প্রশংসা সম্ভবত")</f>
        <v>প্রশংসা সম্ভবত</v>
      </c>
      <c r="AQ115" s="5" t="str">
        <f ca="1">IFERROR(__xludf.DUMMYFUNCTION("IF(AA115 = """", """", GOOGLETRANSLATE(AA115, ""en"", ""bn""))"),"বিদেশী কাজের জন্য শুভ")</f>
        <v>বিদেশী কাজের জন্য শুভ</v>
      </c>
      <c r="AR115" s="5" t="str">
        <f ca="1">IFERROR(__xludf.DUMMYFUNCTION("IF(AB115 = """", """", GOOGLETRANSLATE(AB115, ""en"", ""bn""))"),"")</f>
        <v/>
      </c>
      <c r="AU115" s="5" t="str">
        <f ca="1">IFERROR(__xludf.DUMMYFUNCTION("IF(Y115 = """", """", GOOGLETRANSLATE(Y115, ""en"", ""te""))"),"పెండింగ్‌లో ఉన్న పనులను పూర్తి చేయండి")</f>
        <v>పెండింగ్‌లో ఉన్న పనులను పూర్తి చేయండి</v>
      </c>
      <c r="AV115" s="5" t="str">
        <f ca="1">IFERROR(__xludf.DUMMYFUNCTION("IF(Z115 = """", """", GOOGLETRANSLATE(Z115, ""en"", ""te""))"),"ప్రశంసలు వచ్చే అవకాశం ఉంది")</f>
        <v>ప్రశంసలు వచ్చే అవకాశం ఉంది</v>
      </c>
      <c r="AW115" s="5" t="str">
        <f ca="1">IFERROR(__xludf.DUMMYFUNCTION("IF(AA115 = """", """", GOOGLETRANSLATE(AA115, ""en"", ""te""))"),"విదేశీ వ్యవహారాలకు అనుకూలం")</f>
        <v>విదేశీ వ్యవహారాలకు అనుకూలం</v>
      </c>
      <c r="AX115" s="5" t="str">
        <f ca="1">IFERROR(__xludf.DUMMYFUNCTION("IF(AB115 = """", """", GOOGLETRANSLATE(AB115, ""en"", ""te""))"),"")</f>
        <v/>
      </c>
    </row>
    <row r="116" spans="1:50" x14ac:dyDescent="0.25">
      <c r="A116" s="1">
        <v>129</v>
      </c>
      <c r="B116" s="1" t="s">
        <v>56</v>
      </c>
      <c r="C116" s="8">
        <v>45833</v>
      </c>
      <c r="D116" s="8">
        <v>45833</v>
      </c>
      <c r="E116" s="1">
        <v>3</v>
      </c>
      <c r="F116" s="1">
        <v>1</v>
      </c>
      <c r="G116" s="3" t="s">
        <v>422</v>
      </c>
      <c r="H116" s="4">
        <v>7.9861111111111105E-3</v>
      </c>
      <c r="I116" s="4">
        <v>2.0833333333333333E-3</v>
      </c>
      <c r="J116" s="4">
        <v>2.638888888888889E-3</v>
      </c>
      <c r="K116" s="1" t="s">
        <v>58</v>
      </c>
      <c r="L116" s="1" t="s">
        <v>97</v>
      </c>
      <c r="M116" s="1" t="s">
        <v>19</v>
      </c>
      <c r="O116" s="1" t="s">
        <v>61</v>
      </c>
      <c r="P116" s="1" t="s">
        <v>61</v>
      </c>
      <c r="Q116" s="1" t="s">
        <v>61</v>
      </c>
      <c r="R116" s="1" t="s">
        <v>61</v>
      </c>
      <c r="S116" s="1" t="s">
        <v>61</v>
      </c>
      <c r="T116" s="1" t="s">
        <v>61</v>
      </c>
      <c r="V116" s="1" t="s">
        <v>61</v>
      </c>
      <c r="W116" s="1" t="s">
        <v>61</v>
      </c>
      <c r="X116" s="1" t="s">
        <v>61</v>
      </c>
      <c r="Y116" s="1" t="s">
        <v>429</v>
      </c>
      <c r="Z116" s="1" t="s">
        <v>430</v>
      </c>
      <c r="AA116" s="1" t="s">
        <v>431</v>
      </c>
      <c r="AB116" s="1"/>
      <c r="AC116" s="5" t="str">
        <f ca="1">IFERROR(__xludf.DUMMYFUNCTION("IF(Y116 = """", """", GOOGLETRANSLATE(Y116, ""en"", ""hi""))
"),"तनावपूर्ण भावनाएँ")</f>
        <v>तनावपूर्ण भावनाएँ</v>
      </c>
      <c r="AD116" s="5" t="str">
        <f ca="1">IFERROR(__xludf.DUMMYFUNCTION("IF(Z116 = """", """", GOOGLETRANSLATE(Z116, ""en"", ""hi""))"),"कम ऊर्जा")</f>
        <v>कम ऊर्जा</v>
      </c>
      <c r="AE116" s="5" t="str">
        <f ca="1">IFERROR(__xludf.DUMMYFUNCTION("IF(AA116 = """", """", GOOGLETRANSLATE(AA116, ""en"", ""hi""))"),"कार्यों को शांतिपूर्वक पूरा करने पर ध्यान केंद्रित करें")</f>
        <v>कार्यों को शांतिपूर्वक पूरा करने पर ध्यान केंद्रित करें</v>
      </c>
      <c r="AF116" s="5" t="str">
        <f ca="1">IFERROR(__xludf.DUMMYFUNCTION("IF(AB116 = """", """", GOOGLETRANSLATE(AB116, ""en"", ""hi""))"),"")</f>
        <v/>
      </c>
      <c r="AG116" s="5" t="str">
        <f ca="1">IFERROR(__xludf.DUMMYFUNCTION("IF(Y116 = """", """", GOOGLETRANSLATE(Y116, ""en"", ""mr""))"),"तणावपूर्ण भावना")</f>
        <v>तणावपूर्ण भावना</v>
      </c>
      <c r="AH116" s="5" t="str">
        <f ca="1">IFERROR(__xludf.DUMMYFUNCTION("IF(Z116 = """", """", GOOGLETRANSLATE(Z116, ""en"", ""mr""))"),"कमी ऊर्जा")</f>
        <v>कमी ऊर्जा</v>
      </c>
      <c r="AI116" s="5" t="str">
        <f ca="1">IFERROR(__xludf.DUMMYFUNCTION("IF(AA116 = """", """", GOOGLETRANSLATE(AA116, ""en"", ""mr""))"),"शांतपणे कामे पूर्ण करण्यावर भर द्या")</f>
        <v>शांतपणे कामे पूर्ण करण्यावर भर द्या</v>
      </c>
      <c r="AJ116" s="5" t="str">
        <f ca="1">IFERROR(__xludf.DUMMYFUNCTION("IF(AB116 = """", """", GOOGLETRANSLATE(AB116, ""en"", ""mr""))"),"")</f>
        <v/>
      </c>
      <c r="AK116" s="5" t="str">
        <f ca="1">IFERROR(__xludf.DUMMYFUNCTION("IF(Y116 = """", """", GOOGLETRANSLATE(Y116, ""en"", ""gu""))"),"તણાવપૂર્ણ લાગણીઓ")</f>
        <v>તણાવપૂર્ણ લાગણીઓ</v>
      </c>
      <c r="AL116" s="5" t="str">
        <f ca="1">IFERROR(__xludf.DUMMYFUNCTION("IF(Z116 = """", """", GOOGLETRANSLATE(Z116, ""en"", ""gu""))"),"ઓછી ઉર્જા")</f>
        <v>ઓછી ઉર્જા</v>
      </c>
      <c r="AM116" s="5" t="str">
        <f ca="1">IFERROR(__xludf.DUMMYFUNCTION("IF(AA116 = """", """", GOOGLETRANSLATE(AA116, ""en"", ""gu""))"),"શાંતિથી કાર્યો પૂર્ણ કરવા પર ધ્યાન આપો")</f>
        <v>શાંતિથી કાર્યો પૂર્ણ કરવા પર ધ્યાન આપો</v>
      </c>
      <c r="AN116" s="5" t="str">
        <f ca="1">IFERROR(__xludf.DUMMYFUNCTION("IF(AB116 = """", """", GOOGLETRANSLATE(AB116, ""en"", ""gu""))"),"")</f>
        <v/>
      </c>
      <c r="AO116" s="5" t="str">
        <f ca="1">IFERROR(__xludf.DUMMYFUNCTION("IF(Y116 = """", """", GOOGLETRANSLATE(Y116, ""en"", ""bn""))"),"চাপযুক্ত আবেগ")</f>
        <v>চাপযুক্ত আবেগ</v>
      </c>
      <c r="AP116" s="5" t="str">
        <f ca="1">IFERROR(__xludf.DUMMYFUNCTION("IF(Z116 = """", """", GOOGLETRANSLATE(Z116, ""en"", ""bn""))"),"কম শক্তি")</f>
        <v>কম শক্তি</v>
      </c>
      <c r="AQ116" s="5" t="str">
        <f ca="1">IFERROR(__xludf.DUMMYFUNCTION("IF(AA116 = """", """", GOOGLETRANSLATE(AA116, ""en"", ""bn""))"),"চুপচাপ কাজ শেষ করার দিকে মনোযোগ দিন")</f>
        <v>চুপচাপ কাজ শেষ করার দিকে মনোযোগ দিন</v>
      </c>
      <c r="AR116" s="5" t="str">
        <f ca="1">IFERROR(__xludf.DUMMYFUNCTION("IF(AB116 = """", """", GOOGLETRANSLATE(AB116, ""en"", ""bn""))"),"")</f>
        <v/>
      </c>
      <c r="AU116" s="5" t="str">
        <f ca="1">IFERROR(__xludf.DUMMYFUNCTION("IF(Y116 = """", """", GOOGLETRANSLATE(Y116, ""en"", ""te""))"),"ఒత్తిడితో కూడిన భావోద్వేగాలు")</f>
        <v>ఒత్తిడితో కూడిన భావోద్వేగాలు</v>
      </c>
      <c r="AV116" s="5" t="str">
        <f ca="1">IFERROR(__xludf.DUMMYFUNCTION("IF(Z116 = """", """", GOOGLETRANSLATE(Z116, ""en"", ""te""))"),"తక్కువ శక్తి")</f>
        <v>తక్కువ శక్తి</v>
      </c>
      <c r="AW116" s="5" t="str">
        <f ca="1">IFERROR(__xludf.DUMMYFUNCTION("IF(AA116 = """", """", GOOGLETRANSLATE(AA116, ""en"", ""te""))"),"ప్రశాంతంగా పనులు పూర్తి చేయడంపై దృష్టి పెట్టండి")</f>
        <v>ప్రశాంతంగా పనులు పూర్తి చేయడంపై దృష్టి పెట్టండి</v>
      </c>
      <c r="AX116" s="5" t="str">
        <f ca="1">IFERROR(__xludf.DUMMYFUNCTION("IF(AB116 = """", """", GOOGLETRANSLATE(AB116, ""en"", ""te""))"),"")</f>
        <v/>
      </c>
    </row>
    <row r="117" spans="1:50" x14ac:dyDescent="0.25">
      <c r="A117" s="1">
        <v>130</v>
      </c>
      <c r="B117" s="1" t="s">
        <v>56</v>
      </c>
      <c r="C117" s="8">
        <v>45833</v>
      </c>
      <c r="D117" s="8">
        <v>45833</v>
      </c>
      <c r="E117" s="1">
        <v>4</v>
      </c>
      <c r="F117" s="1">
        <v>1</v>
      </c>
      <c r="G117" s="3" t="s">
        <v>422</v>
      </c>
      <c r="H117" s="4">
        <v>7.9861111111111105E-3</v>
      </c>
      <c r="I117" s="4">
        <v>2.638888888888889E-3</v>
      </c>
      <c r="J117" s="4">
        <v>3.0902777777777777E-3</v>
      </c>
      <c r="K117" s="1" t="s">
        <v>58</v>
      </c>
      <c r="L117" s="1" t="s">
        <v>102</v>
      </c>
      <c r="M117" s="1" t="s">
        <v>19</v>
      </c>
      <c r="O117" s="1" t="s">
        <v>61</v>
      </c>
      <c r="P117" s="1" t="s">
        <v>61</v>
      </c>
      <c r="Q117" s="1" t="s">
        <v>61</v>
      </c>
      <c r="R117" s="1" t="s">
        <v>61</v>
      </c>
      <c r="S117" s="1" t="s">
        <v>61</v>
      </c>
      <c r="T117" s="1" t="s">
        <v>61</v>
      </c>
      <c r="V117" s="1" t="s">
        <v>61</v>
      </c>
      <c r="W117" s="1" t="s">
        <v>61</v>
      </c>
      <c r="X117" s="1" t="s">
        <v>61</v>
      </c>
      <c r="Y117" s="1" t="s">
        <v>432</v>
      </c>
      <c r="Z117" s="1" t="s">
        <v>433</v>
      </c>
      <c r="AA117" s="1" t="s">
        <v>434</v>
      </c>
      <c r="AB117" s="1"/>
      <c r="AC117" s="5" t="str">
        <f ca="1">IFERROR(__xludf.DUMMYFUNCTION("IF(Y117 = """", """", GOOGLETRANSLATE(Y117, ""en"", ""hi""))
"),"अनचाही सलाह से बचें")</f>
        <v>अनचाही सलाह से बचें</v>
      </c>
      <c r="AD117" s="5" t="str">
        <f ca="1">IFERROR(__xludf.DUMMYFUNCTION("IF(Z117 = """", """", GOOGLETRANSLATE(Z117, ""en"", ""hi""))"),"बहस से दूर रहें")</f>
        <v>बहस से दूर रहें</v>
      </c>
      <c r="AE117" s="5" t="str">
        <f ca="1">IFERROR(__xludf.DUMMYFUNCTION("IF(AA117 = """", """", GOOGLETRANSLATE(AA117, ""en"", ""hi""))"),"शांत रहें")</f>
        <v>शांत रहें</v>
      </c>
      <c r="AF117" s="5" t="str">
        <f ca="1">IFERROR(__xludf.DUMMYFUNCTION("IF(AB117 = """", """", GOOGLETRANSLATE(AB117, ""en"", ""hi""))"),"")</f>
        <v/>
      </c>
      <c r="AG117" s="5" t="str">
        <f ca="1">IFERROR(__xludf.DUMMYFUNCTION("IF(Y117 = """", """", GOOGLETRANSLATE(Y117, ""en"", ""mr""))"),"अनपेक्षित सल्ला टाळा")</f>
        <v>अनपेक्षित सल्ला टाळा</v>
      </c>
      <c r="AH117" s="5" t="str">
        <f ca="1">IFERROR(__xludf.DUMMYFUNCTION("IF(Z117 = """", """", GOOGLETRANSLATE(Z117, ""en"", ""mr""))"),"वादापासून दूर राहा")</f>
        <v>वादापासून दूर राहा</v>
      </c>
      <c r="AI117" s="5" t="str">
        <f ca="1">IFERROR(__xludf.DUMMYFUNCTION("IF(AA117 = """", """", GOOGLETRANSLATE(AA117, ""en"", ""mr""))"),"शांत राहा")</f>
        <v>शांत राहा</v>
      </c>
      <c r="AJ117" s="5" t="str">
        <f ca="1">IFERROR(__xludf.DUMMYFUNCTION("IF(AB117 = """", """", GOOGLETRANSLATE(AB117, ""en"", ""mr""))"),"")</f>
        <v/>
      </c>
      <c r="AK117" s="5" t="str">
        <f ca="1">IFERROR(__xludf.DUMMYFUNCTION("IF(Y117 = """", """", GOOGLETRANSLATE(Y117, ""en"", ""gu""))"),"અનિચ્છનીય સલાહ ટાળો")</f>
        <v>અનિચ્છનીય સલાહ ટાળો</v>
      </c>
      <c r="AL117" s="5" t="str">
        <f ca="1">IFERROR(__xludf.DUMMYFUNCTION("IF(Z117 = """", """", GOOGLETRANSLATE(Z117, ""en"", ""gu""))"),"વાદ-વિવાદથી દૂર રહો")</f>
        <v>વાદ-વિવાદથી દૂર રહો</v>
      </c>
      <c r="AM117" s="5" t="str">
        <f ca="1">IFERROR(__xludf.DUMMYFUNCTION("IF(AA117 = """", """", GOOGLETRANSLATE(AA117, ""en"", ""gu""))"),"શાંત રહો")</f>
        <v>શાંત રહો</v>
      </c>
      <c r="AN117" s="5" t="str">
        <f ca="1">IFERROR(__xludf.DUMMYFUNCTION("IF(AB117 = """", """", GOOGLETRANSLATE(AB117, ""en"", ""gu""))"),"")</f>
        <v/>
      </c>
      <c r="AO117" s="5" t="str">
        <f ca="1">IFERROR(__xludf.DUMMYFUNCTION("IF(Y117 = """", """", GOOGLETRANSLATE(Y117, ""en"", ""bn""))"),"অযাচিত উপদেশ এড়িয়ে চলুন")</f>
        <v>অযাচিত উপদেশ এড়িয়ে চলুন</v>
      </c>
      <c r="AP117" s="5" t="str">
        <f ca="1">IFERROR(__xludf.DUMMYFUNCTION("IF(Z117 = """", """", GOOGLETRANSLATE(Z117, ""en"", ""bn""))"),"তর্ক থেকে দূরে থাকুন")</f>
        <v>তর্ক থেকে দূরে থাকুন</v>
      </c>
      <c r="AQ117" s="5" t="str">
        <f ca="1">IFERROR(__xludf.DUMMYFUNCTION("IF(AA117 = """", """", GOOGLETRANSLATE(AA117, ""en"", ""bn""))"),"শান্ত থাকুন")</f>
        <v>শান্ত থাকুন</v>
      </c>
      <c r="AR117" s="5" t="str">
        <f ca="1">IFERROR(__xludf.DUMMYFUNCTION("IF(AB117 = """", """", GOOGLETRANSLATE(AB117, ""en"", ""bn""))"),"")</f>
        <v/>
      </c>
      <c r="AU117" s="5" t="str">
        <f ca="1">IFERROR(__xludf.DUMMYFUNCTION("IF(Y117 = """", """", GOOGLETRANSLATE(Y117, ""en"", ""te""))"),"అయాచిత సలహాలను నివారించండి")</f>
        <v>అయాచిత సలహాలను నివారించండి</v>
      </c>
      <c r="AV117" s="5" t="str">
        <f ca="1">IFERROR(__xludf.DUMMYFUNCTION("IF(Z117 = """", """", GOOGLETRANSLATE(Z117, ""en"", ""te""))"),"వాదనలకు దూరంగా ఉండండి")</f>
        <v>వాదనలకు దూరంగా ఉండండి</v>
      </c>
      <c r="AW117" s="5" t="str">
        <f ca="1">IFERROR(__xludf.DUMMYFUNCTION("IF(AA117 = """", """", GOOGLETRANSLATE(AA117, ""en"", ""te""))"),"ప్రశాంతంగా ఉండు")</f>
        <v>ప్రశాంతంగా ఉండు</v>
      </c>
      <c r="AX117" s="5" t="str">
        <f ca="1">IFERROR(__xludf.DUMMYFUNCTION("IF(AB117 = """", """", GOOGLETRANSLATE(AB117, ""en"", ""te""))"),"")</f>
        <v/>
      </c>
    </row>
    <row r="118" spans="1:50" x14ac:dyDescent="0.25">
      <c r="A118" s="1">
        <v>131</v>
      </c>
      <c r="B118" s="1" t="s">
        <v>56</v>
      </c>
      <c r="C118" s="8">
        <v>45833</v>
      </c>
      <c r="D118" s="8">
        <v>45833</v>
      </c>
      <c r="E118" s="1">
        <v>5</v>
      </c>
      <c r="F118" s="1">
        <v>1</v>
      </c>
      <c r="G118" s="3" t="s">
        <v>422</v>
      </c>
      <c r="H118" s="4">
        <v>7.9861111111111105E-3</v>
      </c>
      <c r="I118" s="4">
        <v>3.0902777777777777E-3</v>
      </c>
      <c r="J118" s="4">
        <v>3.414351851851852E-3</v>
      </c>
      <c r="K118" s="1" t="s">
        <v>58</v>
      </c>
      <c r="L118" s="1" t="s">
        <v>108</v>
      </c>
      <c r="M118" s="1" t="s">
        <v>14</v>
      </c>
      <c r="O118" s="1" t="s">
        <v>61</v>
      </c>
      <c r="P118" s="1" t="s">
        <v>61</v>
      </c>
      <c r="Q118" s="1" t="s">
        <v>61</v>
      </c>
      <c r="R118" s="1" t="s">
        <v>61</v>
      </c>
      <c r="S118" s="1" t="s">
        <v>61</v>
      </c>
      <c r="T118" s="1" t="s">
        <v>61</v>
      </c>
      <c r="V118" s="1" t="s">
        <v>61</v>
      </c>
      <c r="W118" s="1" t="s">
        <v>61</v>
      </c>
      <c r="X118" s="1" t="s">
        <v>61</v>
      </c>
      <c r="Y118" s="1" t="s">
        <v>435</v>
      </c>
      <c r="Z118" s="1" t="s">
        <v>436</v>
      </c>
      <c r="AA118" s="1" t="s">
        <v>437</v>
      </c>
      <c r="AB118" s="1"/>
      <c r="AC118" s="5" t="str">
        <f ca="1">IFERROR(__xludf.DUMMYFUNCTION("IF(Y118 = """", """", GOOGLETRANSLATE(Y118, ""en"", ""hi""))
"),"अनुकूल परिस्थितियाँ लौटती हैं")</f>
        <v>अनुकूल परिस्थितियाँ लौटती हैं</v>
      </c>
      <c r="AD118" s="5" t="str">
        <f ca="1">IFERROR(__xludf.DUMMYFUNCTION("IF(Z118 = """", """", GOOGLETRANSLATE(Z118, ""en"", ""hi""))"),"जुलाई के अंत तक सतर्क रहें")</f>
        <v>जुलाई के अंत तक सतर्क रहें</v>
      </c>
      <c r="AE118" s="5" t="str">
        <f ca="1">IFERROR(__xludf.DUMMYFUNCTION("IF(AA118 = """", """", GOOGLETRANSLATE(AA118, ""en"", ""hi""))"),"बच्चों से संबंधित खर्चों पर नज़र रखें")</f>
        <v>बच्चों से संबंधित खर्चों पर नज़र रखें</v>
      </c>
      <c r="AF118" s="5" t="str">
        <f ca="1">IFERROR(__xludf.DUMMYFUNCTION("IF(AB118 = """", """", GOOGLETRANSLATE(AB118, ""en"", ""hi""))"),"")</f>
        <v/>
      </c>
      <c r="AG118" s="5" t="str">
        <f ca="1">IFERROR(__xludf.DUMMYFUNCTION("IF(Y118 = """", """", GOOGLETRANSLATE(Y118, ""en"", ""mr""))"),"अनुकूल परिस्थिती परत येईल")</f>
        <v>अनुकूल परिस्थिती परत येईल</v>
      </c>
      <c r="AH118" s="5" t="str">
        <f ca="1">IFERROR(__xludf.DUMMYFUNCTION("IF(Z118 = """", """", GOOGLETRANSLATE(Z118, ""en"", ""mr""))"),"जुलै अखेरपर्यंत सतर्क राहा")</f>
        <v>जुलै अखेरपर्यंत सतर्क राहा</v>
      </c>
      <c r="AI118" s="5" t="str">
        <f ca="1">IFERROR(__xludf.DUMMYFUNCTION("IF(AA118 = """", """", GOOGLETRANSLATE(AA118, ""en"", ""mr""))"),"मुलांशी संबंधित खर्च पहा")</f>
        <v>मुलांशी संबंधित खर्च पहा</v>
      </c>
      <c r="AJ118" s="5" t="str">
        <f ca="1">IFERROR(__xludf.DUMMYFUNCTION("IF(AB118 = """", """", GOOGLETRANSLATE(AB118, ""en"", ""mr""))"),"")</f>
        <v/>
      </c>
      <c r="AK118" s="5" t="str">
        <f ca="1">IFERROR(__xludf.DUMMYFUNCTION("IF(Y118 = """", """", GOOGLETRANSLATE(Y118, ""en"", ""gu""))"),"અનુકૂળ પરિસ્થિતિઓ પરત")</f>
        <v>અનુકૂળ પરિસ્થિતિઓ પરત</v>
      </c>
      <c r="AL118" s="5" t="str">
        <f ca="1">IFERROR(__xludf.DUMMYFUNCTION("IF(Z118 = """", """", GOOGLETRANSLATE(Z118, ""en"", ""gu""))"),"જુલાઈના અંત સુધી સાવધાન રહો")</f>
        <v>જુલાઈના અંત સુધી સાવધાન રહો</v>
      </c>
      <c r="AM118" s="5" t="str">
        <f ca="1">IFERROR(__xludf.DUMMYFUNCTION("IF(AA118 = """", """", GOOGLETRANSLATE(AA118, ""en"", ""gu""))"),"સંતાન સંબંધિત ખર્ચાઓ જુઓ")</f>
        <v>સંતાન સંબંધિત ખર્ચાઓ જુઓ</v>
      </c>
      <c r="AN118" s="5" t="str">
        <f ca="1">IFERROR(__xludf.DUMMYFUNCTION("IF(AB118 = """", """", GOOGLETRANSLATE(AB118, ""en"", ""gu""))"),"")</f>
        <v/>
      </c>
      <c r="AO118" s="5" t="str">
        <f ca="1">IFERROR(__xludf.DUMMYFUNCTION("IF(Y118 = """", """", GOOGLETRANSLATE(Y118, ""en"", ""bn""))"),"অনুকূল পরিস্থিতি ফিরে আসে")</f>
        <v>অনুকূল পরিস্থিতি ফিরে আসে</v>
      </c>
      <c r="AP118" s="5" t="str">
        <f ca="1">IFERROR(__xludf.DUMMYFUNCTION("IF(Z118 = """", """", GOOGLETRANSLATE(Z118, ""en"", ""bn""))"),"জুলাই শেষ পর্যন্ত সতর্ক থাকুন")</f>
        <v>জুলাই শেষ পর্যন্ত সতর্ক থাকুন</v>
      </c>
      <c r="AQ118" s="5" t="str">
        <f ca="1">IFERROR(__xludf.DUMMYFUNCTION("IF(AA118 = """", """", GOOGLETRANSLATE(AA118, ""en"", ""bn""))"),"সন্তান-সম্পর্কিত খরচ দেখুন")</f>
        <v>সন্তান-সম্পর্কিত খরচ দেখুন</v>
      </c>
      <c r="AR118" s="5" t="str">
        <f ca="1">IFERROR(__xludf.DUMMYFUNCTION("IF(AB118 = """", """", GOOGLETRANSLATE(AB118, ""en"", ""bn""))"),"")</f>
        <v/>
      </c>
      <c r="AU118" s="5" t="str">
        <f ca="1">IFERROR(__xludf.DUMMYFUNCTION("IF(Y118 = """", """", GOOGLETRANSLATE(Y118, ""en"", ""te""))"),"అనుకూల పరిస్థితులు తిరిగి వస్తాయి")</f>
        <v>అనుకూల పరిస్థితులు తిరిగి వస్తాయి</v>
      </c>
      <c r="AV118" s="5" t="str">
        <f ca="1">IFERROR(__xludf.DUMMYFUNCTION("IF(Z118 = """", """", GOOGLETRANSLATE(Z118, ""en"", ""te""))"),"జూలై చివరి వరకు అప్రమత్తంగా ఉండండి")</f>
        <v>జూలై చివరి వరకు అప్రమత్తంగా ఉండండి</v>
      </c>
      <c r="AW118" s="5" t="str">
        <f ca="1">IFERROR(__xludf.DUMMYFUNCTION("IF(AA118 = """", """", GOOGLETRANSLATE(AA118, ""en"", ""te""))"),"పిల్లల సంబంధిత ఖర్చులను చూడండి")</f>
        <v>పిల్లల సంబంధిత ఖర్చులను చూడండి</v>
      </c>
      <c r="AX118" s="5" t="str">
        <f ca="1">IFERROR(__xludf.DUMMYFUNCTION("IF(AB118 = """", """", GOOGLETRANSLATE(AB118, ""en"", ""te""))"),"")</f>
        <v/>
      </c>
    </row>
    <row r="119" spans="1:50" x14ac:dyDescent="0.25">
      <c r="A119" s="1">
        <v>132</v>
      </c>
      <c r="B119" s="1" t="s">
        <v>56</v>
      </c>
      <c r="C119" s="8">
        <v>45833</v>
      </c>
      <c r="D119" s="8">
        <v>45833</v>
      </c>
      <c r="E119" s="1">
        <v>6</v>
      </c>
      <c r="F119" s="1">
        <v>1</v>
      </c>
      <c r="G119" s="3" t="s">
        <v>422</v>
      </c>
      <c r="H119" s="4">
        <v>7.9861111111111105E-3</v>
      </c>
      <c r="I119" s="4">
        <v>3.414351851851852E-3</v>
      </c>
      <c r="J119" s="4">
        <v>3.6805555555555554E-3</v>
      </c>
      <c r="K119" s="1" t="s">
        <v>58</v>
      </c>
      <c r="L119" s="1" t="s">
        <v>113</v>
      </c>
      <c r="M119" s="1" t="s">
        <v>17</v>
      </c>
      <c r="O119" s="1" t="s">
        <v>61</v>
      </c>
      <c r="P119" s="1" t="s">
        <v>61</v>
      </c>
      <c r="Q119" s="1" t="s">
        <v>61</v>
      </c>
      <c r="R119" s="1" t="s">
        <v>61</v>
      </c>
      <c r="S119" s="1" t="s">
        <v>61</v>
      </c>
      <c r="T119" s="1" t="s">
        <v>61</v>
      </c>
      <c r="V119" s="1" t="s">
        <v>61</v>
      </c>
      <c r="W119" s="1" t="s">
        <v>61</v>
      </c>
      <c r="X119" s="1" t="s">
        <v>61</v>
      </c>
      <c r="Y119" s="1" t="s">
        <v>438</v>
      </c>
      <c r="Z119" s="1" t="s">
        <v>439</v>
      </c>
      <c r="AA119" s="1" t="s">
        <v>440</v>
      </c>
      <c r="AB119" s="1"/>
      <c r="AC119" s="5" t="str">
        <f ca="1">IFERROR(__xludf.DUMMYFUNCTION("IF(Y119 = """", """", GOOGLETRANSLATE(Y119, ""en"", ""hi""))
"),"उच्च कार्यभार")</f>
        <v>उच्च कार्यभार</v>
      </c>
      <c r="AD119" s="5" t="str">
        <f ca="1">IFERROR(__xludf.DUMMYFUNCTION("IF(Z119 = """", """", GOOGLETRANSLATE(Z119, ""en"", ""hi""))"),"यांत्रिक रूप से कार्य पूरा करें")</f>
        <v>यांत्रिक रूप से कार्य पूरा करें</v>
      </c>
      <c r="AE119" s="5" t="str">
        <f ca="1">IFERROR(__xludf.DUMMYFUNCTION("IF(AA119 = """", """", GOOGLETRANSLATE(AA119, ""en"", ""hi""))"),"शाम को थकान संभव")</f>
        <v>शाम को थकान संभव</v>
      </c>
      <c r="AF119" s="5" t="str">
        <f ca="1">IFERROR(__xludf.DUMMYFUNCTION("IF(AB119 = """", """", GOOGLETRANSLATE(AB119, ""en"", ""hi""))"),"")</f>
        <v/>
      </c>
      <c r="AG119" s="5" t="str">
        <f ca="1">IFERROR(__xludf.DUMMYFUNCTION("IF(Y119 = """", """", GOOGLETRANSLATE(Y119, ""en"", ""mr""))"),"जास्त कामाचा ताण")</f>
        <v>जास्त कामाचा ताण</v>
      </c>
      <c r="AH119" s="5" t="str">
        <f ca="1">IFERROR(__xludf.DUMMYFUNCTION("IF(Z119 = """", """", GOOGLETRANSLATE(Z119, ""en"", ""mr""))"),"यांत्रिकरित्या कामे पूर्ण करा")</f>
        <v>यांत्रिकरित्या कामे पूर्ण करा</v>
      </c>
      <c r="AI119" s="5" t="str">
        <f ca="1">IFERROR(__xludf.DUMMYFUNCTION("IF(AA119 = """", """", GOOGLETRANSLATE(AA119, ""en"", ""mr""))"),"संध्याकाळचा थकवा जाणवेल")</f>
        <v>संध्याकाळचा थकवा जाणवेल</v>
      </c>
      <c r="AJ119" s="5" t="str">
        <f ca="1">IFERROR(__xludf.DUMMYFUNCTION("IF(AB119 = """", """", GOOGLETRANSLATE(AB119, ""en"", ""mr""))"),"")</f>
        <v/>
      </c>
      <c r="AK119" s="5" t="str">
        <f ca="1">IFERROR(__xludf.DUMMYFUNCTION("IF(Y119 = """", """", GOOGLETRANSLATE(Y119, ""en"", ""gu""))"),"ઉચ્ચ કાર્યભાર")</f>
        <v>ઉચ્ચ કાર્યભાર</v>
      </c>
      <c r="AL119" s="5" t="str">
        <f ca="1">IFERROR(__xludf.DUMMYFUNCTION("IF(Z119 = """", """", GOOGLETRANSLATE(Z119, ""en"", ""gu""))"),"યાંત્રિક રીતે કાર્યો પૂર્ણ કરો")</f>
        <v>યાંત્રિક રીતે કાર્યો પૂર્ણ કરો</v>
      </c>
      <c r="AM119" s="5" t="str">
        <f ca="1">IFERROR(__xludf.DUMMYFUNCTION("IF(AA119 = """", """", GOOGLETRANSLATE(AA119, ""en"", ""gu""))"),"સંભવિત સાંજનો થાક")</f>
        <v>સંભવિત સાંજનો થાક</v>
      </c>
      <c r="AN119" s="5" t="str">
        <f ca="1">IFERROR(__xludf.DUMMYFUNCTION("IF(AB119 = """", """", GOOGLETRANSLATE(AB119, ""en"", ""gu""))"),"")</f>
        <v/>
      </c>
      <c r="AO119" s="5" t="str">
        <f ca="1">IFERROR(__xludf.DUMMYFUNCTION("IF(Y119 = """", """", GOOGLETRANSLATE(Y119, ""en"", ""bn""))"),"উচ্চ কাজের চাপ")</f>
        <v>উচ্চ কাজের চাপ</v>
      </c>
      <c r="AP119" s="5" t="str">
        <f ca="1">IFERROR(__xludf.DUMMYFUNCTION("IF(Z119 = """", """", GOOGLETRANSLATE(Z119, ""en"", ""bn""))"),"যান্ত্রিকভাবে কাজ শেষ করুন")</f>
        <v>যান্ত্রিকভাবে কাজ শেষ করুন</v>
      </c>
      <c r="AQ119" s="5" t="str">
        <f ca="1">IFERROR(__xludf.DUMMYFUNCTION("IF(AA119 = """", """", GOOGLETRANSLATE(AA119, ""en"", ""bn""))"),"সন্ধ্যার সম্ভাব্য ক্লান্তি")</f>
        <v>সন্ধ্যার সম্ভাব্য ক্লান্তি</v>
      </c>
      <c r="AR119" s="5" t="str">
        <f ca="1">IFERROR(__xludf.DUMMYFUNCTION("IF(AB119 = """", """", GOOGLETRANSLATE(AB119, ""en"", ""bn""))"),"")</f>
        <v/>
      </c>
      <c r="AU119" s="5" t="str">
        <f ca="1">IFERROR(__xludf.DUMMYFUNCTION("IF(Y119 = """", """", GOOGLETRANSLATE(Y119, ""en"", ""te""))"),"అధిక పనిభారం")</f>
        <v>అధిక పనిభారం</v>
      </c>
      <c r="AV119" s="5" t="str">
        <f ca="1">IFERROR(__xludf.DUMMYFUNCTION("IF(Z119 = """", """", GOOGLETRANSLATE(Z119, ""en"", ""te""))"),"పనులను యాంత్రికంగా పూర్తి చేస్తారు")</f>
        <v>పనులను యాంత్రికంగా పూర్తి చేస్తారు</v>
      </c>
      <c r="AW119" s="5" t="str">
        <f ca="1">IFERROR(__xludf.DUMMYFUNCTION("IF(AA119 = """", """", GOOGLETRANSLATE(AA119, ""en"", ""te""))"),"సాధ్యమైన సాయంత్రం అలసట")</f>
        <v>సాధ్యమైన సాయంత్రం అలసట</v>
      </c>
      <c r="AX119" s="5" t="str">
        <f ca="1">IFERROR(__xludf.DUMMYFUNCTION("IF(AB119 = """", """", GOOGLETRANSLATE(AB119, ""en"", ""te""))"),"")</f>
        <v/>
      </c>
    </row>
    <row r="120" spans="1:50" x14ac:dyDescent="0.25">
      <c r="A120" s="1">
        <v>133</v>
      </c>
      <c r="B120" s="1" t="s">
        <v>56</v>
      </c>
      <c r="C120" s="8">
        <v>45833</v>
      </c>
      <c r="D120" s="8">
        <v>45833</v>
      </c>
      <c r="E120" s="1">
        <v>7</v>
      </c>
      <c r="F120" s="1">
        <v>1</v>
      </c>
      <c r="G120" s="3" t="s">
        <v>422</v>
      </c>
      <c r="H120" s="4">
        <v>7.9861111111111105E-3</v>
      </c>
      <c r="I120" s="4">
        <v>3.6805555555555554E-3</v>
      </c>
      <c r="J120" s="4">
        <v>3.9814814814814817E-3</v>
      </c>
      <c r="K120" s="1" t="s">
        <v>58</v>
      </c>
      <c r="L120" s="1" t="s">
        <v>64</v>
      </c>
      <c r="M120" s="1" t="s">
        <v>14</v>
      </c>
      <c r="O120" s="1" t="s">
        <v>61</v>
      </c>
      <c r="P120" s="1" t="s">
        <v>61</v>
      </c>
      <c r="Q120" s="1" t="s">
        <v>61</v>
      </c>
      <c r="R120" s="1" t="s">
        <v>61</v>
      </c>
      <c r="S120" s="1" t="s">
        <v>61</v>
      </c>
      <c r="T120" s="1" t="s">
        <v>61</v>
      </c>
      <c r="V120" s="1" t="s">
        <v>61</v>
      </c>
      <c r="W120" s="1" t="s">
        <v>61</v>
      </c>
      <c r="X120" s="1" t="s">
        <v>61</v>
      </c>
      <c r="Y120" s="1" t="s">
        <v>441</v>
      </c>
      <c r="Z120" s="1" t="s">
        <v>442</v>
      </c>
      <c r="AA120" s="1" t="s">
        <v>443</v>
      </c>
      <c r="AB120" s="1"/>
      <c r="AC120" s="5" t="str">
        <f ca="1">IFERROR(__xludf.DUMMYFUNCTION("IF(Y120 = """", """", GOOGLETRANSLATE(Y120, ""en"", ""hi""))
"),"समस्याएँ हल होती हैं")</f>
        <v>समस्याएँ हल होती हैं</v>
      </c>
      <c r="AD120" s="5" t="str">
        <f ca="1">IFERROR(__xludf.DUMMYFUNCTION("IF(Z120 = """", """", GOOGLETRANSLATE(Z120, ""en"", ""hi""))"),"महत्वपूर्ण निर्णयों के लिए अच्छा")</f>
        <v>महत्वपूर्ण निर्णयों के लिए अच्छा</v>
      </c>
      <c r="AE120" s="5" t="str">
        <f ca="1">IFERROR(__xludf.DUMMYFUNCTION("IF(AA120 = """", """", GOOGLETRANSLATE(AA120, ""en"", ""hi""))"),"स्थिर कार्रवाई करें")</f>
        <v>स्थिर कार्रवाई करें</v>
      </c>
      <c r="AF120" s="5" t="str">
        <f ca="1">IFERROR(__xludf.DUMMYFUNCTION("IF(AB120 = """", """", GOOGLETRANSLATE(AB120, ""en"", ""hi""))"),"")</f>
        <v/>
      </c>
      <c r="AG120" s="5" t="str">
        <f ca="1">IFERROR(__xludf.DUMMYFUNCTION("IF(Y120 = """", """", GOOGLETRANSLATE(Y120, ""en"", ""mr""))"),"समस्या सुटतात")</f>
        <v>समस्या सुटतात</v>
      </c>
      <c r="AH120" s="5" t="str">
        <f ca="1">IFERROR(__xludf.DUMMYFUNCTION("IF(Z120 = """", """", GOOGLETRANSLATE(Z120, ""en"", ""mr""))"),"महत्त्वाच्या निर्णयांसाठी चांगले")</f>
        <v>महत्त्वाच्या निर्णयांसाठी चांगले</v>
      </c>
      <c r="AI120" s="5" t="str">
        <f ca="1">IFERROR(__xludf.DUMMYFUNCTION("IF(AA120 = """", """", GOOGLETRANSLATE(AA120, ""en"", ""mr""))"),"स्थिर कृती करा")</f>
        <v>स्थिर कृती करा</v>
      </c>
      <c r="AJ120" s="5" t="str">
        <f ca="1">IFERROR(__xludf.DUMMYFUNCTION("IF(AB120 = """", """", GOOGLETRANSLATE(AB120, ""en"", ""mr""))"),"")</f>
        <v/>
      </c>
      <c r="AK120" s="5" t="str">
        <f ca="1">IFERROR(__xludf.DUMMYFUNCTION("IF(Y120 = """", """", GOOGLETRANSLATE(Y120, ""en"", ""gu""))"),"સમસ્યાઓ ઉકેલાય")</f>
        <v>સમસ્યાઓ ઉકેલાય</v>
      </c>
      <c r="AL120" s="5" t="str">
        <f ca="1">IFERROR(__xludf.DUMMYFUNCTION("IF(Z120 = """", """", GOOGLETRANSLATE(Z120, ""en"", ""gu""))"),"મહત્વપૂર્ણ નિર્ણયો માટે સારું")</f>
        <v>મહત્વપૂર્ણ નિર્ણયો માટે સારું</v>
      </c>
      <c r="AM120" s="5" t="str">
        <f ca="1">IFERROR(__xludf.DUMMYFUNCTION("IF(AA120 = """", """", GOOGLETRANSLATE(AA120, ""en"", ""gu""))"),"સ્થિર પગલાં લો")</f>
        <v>સ્થિર પગલાં લો</v>
      </c>
      <c r="AN120" s="5" t="str">
        <f ca="1">IFERROR(__xludf.DUMMYFUNCTION("IF(AB120 = """", """", GOOGLETRANSLATE(AB120, ""en"", ""gu""))"),"")</f>
        <v/>
      </c>
      <c r="AO120" s="5" t="str">
        <f ca="1">IFERROR(__xludf.DUMMYFUNCTION("IF(Y120 = """", """", GOOGLETRANSLATE(Y120, ""en"", ""bn""))"),"সমস্যা সমাধান")</f>
        <v>সমস্যা সমাধান</v>
      </c>
      <c r="AP120" s="5" t="str">
        <f ca="1">IFERROR(__xludf.DUMMYFUNCTION("IF(Z120 = """", """", GOOGLETRANSLATE(Z120, ""en"", ""bn""))"),"গুরুত্বপূর্ণ সিদ্ধান্তের জন্য ভাল")</f>
        <v>গুরুত্বপূর্ণ সিদ্ধান্তের জন্য ভাল</v>
      </c>
      <c r="AQ120" s="5" t="str">
        <f ca="1">IFERROR(__xludf.DUMMYFUNCTION("IF(AA120 = """", """", GOOGLETRANSLATE(AA120, ""en"", ""bn""))"),"অবিচলিত পদক্ষেপ নিন")</f>
        <v>অবিচলিত পদক্ষেপ নিন</v>
      </c>
      <c r="AR120" s="5" t="str">
        <f ca="1">IFERROR(__xludf.DUMMYFUNCTION("IF(AB120 = """", """", GOOGLETRANSLATE(AB120, ""en"", ""bn""))"),"")</f>
        <v/>
      </c>
      <c r="AU120" s="5" t="str">
        <f ca="1">IFERROR(__xludf.DUMMYFUNCTION("IF(Y120 = """", """", GOOGLETRANSLATE(Y120, ""en"", ""te""))"),"సమస్యలు పరిష్కారమవుతాయి")</f>
        <v>సమస్యలు పరిష్కారమవుతాయి</v>
      </c>
      <c r="AV120" s="5" t="str">
        <f ca="1">IFERROR(__xludf.DUMMYFUNCTION("IF(Z120 = """", """", GOOGLETRANSLATE(Z120, ""en"", ""te""))"),"ముఖ్యమైన నిర్ణయాలకు అనుకూలం")</f>
        <v>ముఖ్యమైన నిర్ణయాలకు అనుకూలం</v>
      </c>
      <c r="AW120" s="5" t="str">
        <f ca="1">IFERROR(__xludf.DUMMYFUNCTION("IF(AA120 = """", """", GOOGLETRANSLATE(AA120, ""en"", ""te""))"),"స్థిరమైన చర్య తీసుకోండి")</f>
        <v>స్థిరమైన చర్య తీసుకోండి</v>
      </c>
      <c r="AX120" s="5" t="str">
        <f ca="1">IFERROR(__xludf.DUMMYFUNCTION("IF(AB120 = """", """", GOOGLETRANSLATE(AB120, ""en"", ""te""))"),"")</f>
        <v/>
      </c>
    </row>
    <row r="121" spans="1:50" x14ac:dyDescent="0.25">
      <c r="A121" s="1">
        <v>134</v>
      </c>
      <c r="B121" s="1" t="s">
        <v>56</v>
      </c>
      <c r="C121" s="8">
        <v>45833</v>
      </c>
      <c r="D121" s="8">
        <v>45833</v>
      </c>
      <c r="E121" s="1">
        <v>8</v>
      </c>
      <c r="F121" s="1">
        <v>1</v>
      </c>
      <c r="G121" s="3" t="s">
        <v>422</v>
      </c>
      <c r="H121" s="4">
        <v>7.9861111111111105E-3</v>
      </c>
      <c r="I121" s="4">
        <v>3.9814814814814817E-3</v>
      </c>
      <c r="J121" s="4">
        <v>4.43287037037037E-3</v>
      </c>
      <c r="K121" s="1" t="s">
        <v>58</v>
      </c>
      <c r="L121" s="1" t="s">
        <v>68</v>
      </c>
      <c r="M121" s="1" t="s">
        <v>19</v>
      </c>
      <c r="O121" s="1" t="s">
        <v>61</v>
      </c>
      <c r="P121" s="1" t="s">
        <v>61</v>
      </c>
      <c r="Q121" s="1" t="s">
        <v>61</v>
      </c>
      <c r="R121" s="1" t="s">
        <v>61</v>
      </c>
      <c r="S121" s="1" t="s">
        <v>61</v>
      </c>
      <c r="T121" s="1" t="s">
        <v>61</v>
      </c>
      <c r="V121" s="1" t="s">
        <v>61</v>
      </c>
      <c r="W121" s="1" t="s">
        <v>61</v>
      </c>
      <c r="X121" s="1" t="s">
        <v>61</v>
      </c>
      <c r="Y121" s="1" t="s">
        <v>444</v>
      </c>
      <c r="Z121" s="1" t="s">
        <v>445</v>
      </c>
      <c r="AA121" s="1" t="s">
        <v>446</v>
      </c>
      <c r="AB121" s="1"/>
      <c r="AC121" s="5" t="str">
        <f ca="1">IFERROR(__xludf.DUMMYFUNCTION("IF(Y121 = """", """", GOOGLETRANSLATE(Y121, ""en"", ""hi""))
"),"स्वास्थ्य संबंधी चिंताएँ")</f>
        <v>स्वास्थ्य संबंधी चिंताएँ</v>
      </c>
      <c r="AD121" s="5" t="str">
        <f ca="1">IFERROR(__xludf.DUMMYFUNCTION("IF(Z121 = """", """", GOOGLETRANSLATE(Z121, ""en"", ""hi""))"),"क्रोध से बचें")</f>
        <v>क्रोध से बचें</v>
      </c>
      <c r="AE121" s="5" t="str">
        <f ca="1">IFERROR(__xludf.DUMMYFUNCTION("IF(AA121 = """", """", GOOGLETRANSLATE(AA121, ""en"", ""hi""))"),"सावधानी से वाहन चलाएँ")</f>
        <v>सावधानी से वाहन चलाएँ</v>
      </c>
      <c r="AF121" s="5" t="str">
        <f ca="1">IFERROR(__xludf.DUMMYFUNCTION("IF(AB121 = """", """", GOOGLETRANSLATE(AB121, ""en"", ""hi""))"),"")</f>
        <v/>
      </c>
      <c r="AG121" s="5" t="str">
        <f ca="1">IFERROR(__xludf.DUMMYFUNCTION("IF(Y121 = """", """", GOOGLETRANSLATE(Y121, ""en"", ""mr""))"),"आरोग्याची चिंता")</f>
        <v>आरोग्याची चिंता</v>
      </c>
      <c r="AH121" s="5" t="str">
        <f ca="1">IFERROR(__xludf.DUMMYFUNCTION("IF(Z121 = """", """", GOOGLETRANSLATE(Z121, ""en"", ""mr""))"),"राग टाळा")</f>
        <v>राग टाळा</v>
      </c>
      <c r="AI121" s="5" t="str">
        <f ca="1">IFERROR(__xludf.DUMMYFUNCTION("IF(AA121 = """", """", GOOGLETRANSLATE(AA121, ""en"", ""mr""))"),"सावधगिरीने वाहन चालवा")</f>
        <v>सावधगिरीने वाहन चालवा</v>
      </c>
      <c r="AJ121" s="5" t="str">
        <f ca="1">IFERROR(__xludf.DUMMYFUNCTION("IF(AB121 = """", """", GOOGLETRANSLATE(AB121, ""en"", ""mr""))"),"")</f>
        <v/>
      </c>
      <c r="AK121" s="5" t="str">
        <f ca="1">IFERROR(__xludf.DUMMYFUNCTION("IF(Y121 = """", """", GOOGLETRANSLATE(Y121, ""en"", ""gu""))"),"સ્વાસ્થ્યની ચિંતા")</f>
        <v>સ્વાસ્થ્યની ચિંતા</v>
      </c>
      <c r="AL121" s="5" t="str">
        <f ca="1">IFERROR(__xludf.DUMMYFUNCTION("IF(Z121 = """", """", GOOGLETRANSLATE(Z121, ""en"", ""gu""))"),"ગુસ્સાથી બચો")</f>
        <v>ગુસ્સાથી બચો</v>
      </c>
      <c r="AM121" s="5" t="str">
        <f ca="1">IFERROR(__xludf.DUMMYFUNCTION("IF(AA121 = """", """", GOOGLETRANSLATE(AA121, ""en"", ""gu""))"),"સાવધાની સાથે વાહન ચલાવો")</f>
        <v>સાવધાની સાથે વાહન ચલાવો</v>
      </c>
      <c r="AN121" s="5" t="str">
        <f ca="1">IFERROR(__xludf.DUMMYFUNCTION("IF(AB121 = """", """", GOOGLETRANSLATE(AB121, ""en"", ""gu""))"),"")</f>
        <v/>
      </c>
      <c r="AO121" s="5" t="str">
        <f ca="1">IFERROR(__xludf.DUMMYFUNCTION("IF(Y121 = """", """", GOOGLETRANSLATE(Y121, ""en"", ""bn""))"),"স্বাস্থ্য উদ্বেগ")</f>
        <v>স্বাস্থ্য উদ্বেগ</v>
      </c>
      <c r="AP121" s="5" t="str">
        <f ca="1">IFERROR(__xludf.DUMMYFUNCTION("IF(Z121 = """", """", GOOGLETRANSLATE(Z121, ""en"", ""bn""))"),"রাগ এড়িয়ে চলুন")</f>
        <v>রাগ এড়িয়ে চলুন</v>
      </c>
      <c r="AQ121" s="5" t="str">
        <f ca="1">IFERROR(__xludf.DUMMYFUNCTION("IF(AA121 = """", """", GOOGLETRANSLATE(AA121, ""en"", ""bn""))"),"সাবধানে চালান")</f>
        <v>সাবধানে চালান</v>
      </c>
      <c r="AR121" s="5" t="str">
        <f ca="1">IFERROR(__xludf.DUMMYFUNCTION("IF(AB121 = """", """", GOOGLETRANSLATE(AB121, ""en"", ""bn""))"),"")</f>
        <v/>
      </c>
      <c r="AU121" s="5" t="str">
        <f ca="1">IFERROR(__xludf.DUMMYFUNCTION("IF(Y121 = """", """", GOOGLETRANSLATE(Y121, ""en"", ""te""))"),"ఆరోగ్య ఆందోళనలు")</f>
        <v>ఆరోగ్య ఆందోళనలు</v>
      </c>
      <c r="AV121" s="5" t="str">
        <f ca="1">IFERROR(__xludf.DUMMYFUNCTION("IF(Z121 = """", """", GOOGLETRANSLATE(Z121, ""en"", ""te""))"),"కోపం మానుకోండి")</f>
        <v>కోపం మానుకోండి</v>
      </c>
      <c r="AW121" s="5" t="str">
        <f ca="1">IFERROR(__xludf.DUMMYFUNCTION("IF(AA121 = """", """", GOOGLETRANSLATE(AA121, ""en"", ""te""))"),"జాగ్రత్తగా డ్రైవ్ చేయండి")</f>
        <v>జాగ్రత్తగా డ్రైవ్ చేయండి</v>
      </c>
      <c r="AX121" s="5" t="str">
        <f ca="1">IFERROR(__xludf.DUMMYFUNCTION("IF(AB121 = """", """", GOOGLETRANSLATE(AB121, ""en"", ""te""))"),"")</f>
        <v/>
      </c>
    </row>
    <row r="122" spans="1:50" x14ac:dyDescent="0.25">
      <c r="A122" s="1">
        <v>135</v>
      </c>
      <c r="B122" s="1" t="s">
        <v>56</v>
      </c>
      <c r="C122" s="8">
        <v>45833</v>
      </c>
      <c r="D122" s="8">
        <v>45833</v>
      </c>
      <c r="E122" s="1">
        <v>9</v>
      </c>
      <c r="F122" s="1">
        <v>1</v>
      </c>
      <c r="G122" s="3" t="s">
        <v>422</v>
      </c>
      <c r="H122" s="4">
        <v>7.9861111111111105E-3</v>
      </c>
      <c r="I122" s="4">
        <v>4.43287037037037E-3</v>
      </c>
      <c r="J122" s="4">
        <v>5.1967592592592595E-3</v>
      </c>
      <c r="K122" s="1" t="s">
        <v>58</v>
      </c>
      <c r="L122" s="1" t="s">
        <v>72</v>
      </c>
      <c r="M122" s="1" t="s">
        <v>19</v>
      </c>
      <c r="O122" s="1" t="s">
        <v>61</v>
      </c>
      <c r="P122" s="1" t="s">
        <v>61</v>
      </c>
      <c r="Q122" s="1" t="s">
        <v>61</v>
      </c>
      <c r="R122" s="1" t="s">
        <v>61</v>
      </c>
      <c r="S122" s="1" t="s">
        <v>61</v>
      </c>
      <c r="T122" s="1" t="s">
        <v>61</v>
      </c>
      <c r="V122" s="1" t="s">
        <v>61</v>
      </c>
      <c r="W122" s="1" t="s">
        <v>61</v>
      </c>
      <c r="X122" s="1" t="s">
        <v>61</v>
      </c>
      <c r="Y122" s="1" t="s">
        <v>292</v>
      </c>
      <c r="Z122" s="1" t="s">
        <v>447</v>
      </c>
      <c r="AA122" s="1" t="s">
        <v>448</v>
      </c>
      <c r="AB122" s="1"/>
      <c r="AC122" s="5" t="str">
        <f ca="1">IFERROR(__xludf.DUMMYFUNCTION("IF(Y122 = """", """", GOOGLETRANSLATE(Y122, ""en"", ""hi""))
"),"तनावपूर्ण सप्ताह जारी")</f>
        <v>तनावपूर्ण सप्ताह जारी</v>
      </c>
      <c r="AD122" s="5" t="str">
        <f ca="1">IFERROR(__xludf.DUMMYFUNCTION("IF(Z122 = """", """", GOOGLETRANSLATE(Z122, ""en"", ""hi""))"),"सीमाएँ स्वीकार करें")</f>
        <v>सीमाएँ स्वीकार करें</v>
      </c>
      <c r="AE122" s="5" t="str">
        <f ca="1">IFERROR(__xludf.DUMMYFUNCTION("IF(AA122 = """", """", GOOGLETRANSLATE(AA122, ""en"", ""hi""))"),"अधिक सोचने से बचें")</f>
        <v>अधिक सोचने से बचें</v>
      </c>
      <c r="AF122" s="5" t="str">
        <f ca="1">IFERROR(__xludf.DUMMYFUNCTION("IF(AB122 = """", """", GOOGLETRANSLATE(AB122, ""en"", ""hi""))"),"")</f>
        <v/>
      </c>
      <c r="AG122" s="5" t="str">
        <f ca="1">IFERROR(__xludf.DUMMYFUNCTION("IF(Y122 = """", """", GOOGLETRANSLATE(Y122, ""en"", ""mr""))"),"तणावपूर्ण आठवडा सुरू आहे")</f>
        <v>तणावपूर्ण आठवडा सुरू आहे</v>
      </c>
      <c r="AH122" s="5" t="str">
        <f ca="1">IFERROR(__xludf.DUMMYFUNCTION("IF(Z122 = """", """", GOOGLETRANSLATE(Z122, ""en"", ""mr""))"),"मर्यादा स्वीकारा")</f>
        <v>मर्यादा स्वीकारा</v>
      </c>
      <c r="AI122" s="5" t="str">
        <f ca="1">IFERROR(__xludf.DUMMYFUNCTION("IF(AA122 = """", """", GOOGLETRANSLATE(AA122, ""en"", ""mr""))"),"अतिविचार टाळा")</f>
        <v>अतिविचार टाळा</v>
      </c>
      <c r="AJ122" s="5" t="str">
        <f ca="1">IFERROR(__xludf.DUMMYFUNCTION("IF(AB122 = """", """", GOOGLETRANSLATE(AB122, ""en"", ""mr""))"),"")</f>
        <v/>
      </c>
      <c r="AK122" s="5" t="str">
        <f ca="1">IFERROR(__xludf.DUMMYFUNCTION("IF(Y122 = """", """", GOOGLETRANSLATE(Y122, ""en"", ""gu""))"),"તણાવપૂર્ણ સપ્તાહ ચાલુ રહેશે")</f>
        <v>તણાવપૂર્ણ સપ્તાહ ચાલુ રહેશે</v>
      </c>
      <c r="AL122" s="5" t="str">
        <f ca="1">IFERROR(__xludf.DUMMYFUNCTION("IF(Z122 = """", """", GOOGLETRANSLATE(Z122, ""en"", ""gu""))"),"મર્યાદાઓ સ્વીકારો")</f>
        <v>મર્યાદાઓ સ્વીકારો</v>
      </c>
      <c r="AM122" s="5" t="str">
        <f ca="1">IFERROR(__xludf.DUMMYFUNCTION("IF(AA122 = """", """", GOOGLETRANSLATE(AA122, ""en"", ""gu""))"),"વધારે વિચારવાનું ટાળો")</f>
        <v>વધારે વિચારવાનું ટાળો</v>
      </c>
      <c r="AN122" s="5" t="str">
        <f ca="1">IFERROR(__xludf.DUMMYFUNCTION("IF(AB122 = """", """", GOOGLETRANSLATE(AB122, ""en"", ""gu""))"),"")</f>
        <v/>
      </c>
      <c r="AO122" s="5" t="str">
        <f ca="1">IFERROR(__xludf.DUMMYFUNCTION("IF(Y122 = """", """", GOOGLETRANSLATE(Y122, ""en"", ""bn""))"),"স্ট্রেসফুল সপ্তাহ চলছে")</f>
        <v>স্ট্রেসফুল সপ্তাহ চলছে</v>
      </c>
      <c r="AP122" s="5" t="str">
        <f ca="1">IFERROR(__xludf.DUMMYFUNCTION("IF(Z122 = """", """", GOOGLETRANSLATE(Z122, ""en"", ""bn""))"),"সীমাবদ্ধতা স্বীকার করুন")</f>
        <v>সীমাবদ্ধতা স্বীকার করুন</v>
      </c>
      <c r="AQ122" s="5" t="str">
        <f ca="1">IFERROR(__xludf.DUMMYFUNCTION("IF(AA122 = """", """", GOOGLETRANSLATE(AA122, ""en"", ""bn""))"),"অতিরিক্ত চিন্তা করা এড়িয়ে চলুন")</f>
        <v>অতিরিক্ত চিন্তা করা এড়িয়ে চলুন</v>
      </c>
      <c r="AR122" s="5" t="str">
        <f ca="1">IFERROR(__xludf.DUMMYFUNCTION("IF(AB122 = """", """", GOOGLETRANSLATE(AB122, ""en"", ""bn""))"),"")</f>
        <v/>
      </c>
      <c r="AU122" s="5" t="str">
        <f ca="1">IFERROR(__xludf.DUMMYFUNCTION("IF(Y122 = """", """", GOOGLETRANSLATE(Y122, ""en"", ""te""))"),"ఒత్తిడితో కూడిన వారం కొనసాగుతుంది")</f>
        <v>ఒత్తిడితో కూడిన వారం కొనసాగుతుంది</v>
      </c>
      <c r="AV122" s="5" t="str">
        <f ca="1">IFERROR(__xludf.DUMMYFUNCTION("IF(Z122 = """", """", GOOGLETRANSLATE(Z122, ""en"", ""te""))"),"పరిమితులను అంగీకరించండి")</f>
        <v>పరిమితులను అంగీకరించండి</v>
      </c>
      <c r="AW122" s="5" t="str">
        <f ca="1">IFERROR(__xludf.DUMMYFUNCTION("IF(AA122 = """", """", GOOGLETRANSLATE(AA122, ""en"", ""te""))"),"అతిగా ఆలోచించడం మానుకోండి")</f>
        <v>అతిగా ఆలోచించడం మానుకోండి</v>
      </c>
      <c r="AX122" s="5" t="str">
        <f ca="1">IFERROR(__xludf.DUMMYFUNCTION("IF(AB122 = """", """", GOOGLETRANSLATE(AB122, ""en"", ""te""))"),"")</f>
        <v/>
      </c>
    </row>
    <row r="123" spans="1:50" x14ac:dyDescent="0.25">
      <c r="A123" s="1">
        <v>136</v>
      </c>
      <c r="B123" s="1" t="s">
        <v>56</v>
      </c>
      <c r="C123" s="8">
        <v>45833</v>
      </c>
      <c r="D123" s="8">
        <v>45833</v>
      </c>
      <c r="E123" s="1">
        <v>10</v>
      </c>
      <c r="F123" s="1">
        <v>1</v>
      </c>
      <c r="G123" s="3" t="s">
        <v>422</v>
      </c>
      <c r="H123" s="4">
        <v>7.9861111111111105E-3</v>
      </c>
      <c r="I123" s="4">
        <v>5.1967592592592595E-3</v>
      </c>
      <c r="J123" s="4">
        <v>5.3935185185185188E-3</v>
      </c>
      <c r="K123" s="1" t="s">
        <v>58</v>
      </c>
      <c r="L123" s="1" t="s">
        <v>76</v>
      </c>
      <c r="M123" s="1" t="s">
        <v>17</v>
      </c>
      <c r="O123" s="1" t="s">
        <v>61</v>
      </c>
      <c r="P123" s="1" t="s">
        <v>61</v>
      </c>
      <c r="Q123" s="1" t="s">
        <v>61</v>
      </c>
      <c r="R123" s="1" t="s">
        <v>61</v>
      </c>
      <c r="S123" s="1" t="s">
        <v>61</v>
      </c>
      <c r="T123" s="1" t="s">
        <v>61</v>
      </c>
      <c r="V123" s="1" t="s">
        <v>61</v>
      </c>
      <c r="W123" s="1" t="s">
        <v>61</v>
      </c>
      <c r="X123" s="1" t="s">
        <v>61</v>
      </c>
      <c r="Y123" s="1" t="s">
        <v>449</v>
      </c>
      <c r="Z123" s="1" t="s">
        <v>450</v>
      </c>
      <c r="AA123" s="1" t="s">
        <v>451</v>
      </c>
      <c r="AB123" s="1"/>
      <c r="AC123" s="5" t="str">
        <f ca="1">IFERROR(__xludf.DUMMYFUNCTION("IF(Y123 = """", """", GOOGLETRANSLATE(Y123, ""en"", ""hi""))
"),"व्यस्त कार्यक्रम")</f>
        <v>व्यस्त कार्यक्रम</v>
      </c>
      <c r="AD123" s="5" t="str">
        <f ca="1">IFERROR(__xludf.DUMMYFUNCTION("IF(Z123 = """", """", GOOGLETRANSLATE(Z123, ""en"", ""hi""))"),"उच्च ऊर्जा की आवश्यकता")</f>
        <v>उच्च ऊर्जा की आवश्यकता</v>
      </c>
      <c r="AE123" s="5" t="str">
        <f ca="1">IFERROR(__xludf.DUMMYFUNCTION("IF(AA123 = """", """", GOOGLETRANSLATE(AA123, ""en"", ""hi""))"),"बाद में थकान महसूस होने की संभावना")</f>
        <v>बाद में थकान महसूस होने की संभावना</v>
      </c>
      <c r="AF123" s="5" t="str">
        <f ca="1">IFERROR(__xludf.DUMMYFUNCTION("IF(AB123 = """", """", GOOGLETRANSLATE(AB123, ""en"", ""hi""))"),"")</f>
        <v/>
      </c>
      <c r="AG123" s="5" t="str">
        <f ca="1">IFERROR(__xludf.DUMMYFUNCTION("IF(Y123 = """", """", GOOGLETRANSLATE(Y123, ""en"", ""mr""))"),"व्यस्त वेळापत्रक")</f>
        <v>व्यस्त वेळापत्रक</v>
      </c>
      <c r="AH123" s="5" t="str">
        <f ca="1">IFERROR(__xludf.DUMMYFUNCTION("IF(Z123 = """", """", GOOGLETRANSLATE(Z123, ""en"", ""mr""))"),"उच्च ऊर्जा आवश्यक आहे")</f>
        <v>उच्च ऊर्जा आवश्यक आहे</v>
      </c>
      <c r="AI123" s="5" t="str">
        <f ca="1">IFERROR(__xludf.DUMMYFUNCTION("IF(AA123 = """", """", GOOGLETRANSLATE(AA123, ""en"", ""mr""))"),"नंतर थकवा जाणवण्याची शक्यता आहे")</f>
        <v>नंतर थकवा जाणवण्याची शक्यता आहे</v>
      </c>
      <c r="AJ123" s="5" t="str">
        <f ca="1">IFERROR(__xludf.DUMMYFUNCTION("IF(AB123 = """", """", GOOGLETRANSLATE(AB123, ""en"", ""mr""))"),"")</f>
        <v/>
      </c>
      <c r="AK123" s="5" t="str">
        <f ca="1">IFERROR(__xludf.DUMMYFUNCTION("IF(Y123 = """", """", GOOGLETRANSLATE(Y123, ""en"", ""gu""))"),"વ્યસ્ત શેડ્યૂલ")</f>
        <v>વ્યસ્ત શેડ્યૂલ</v>
      </c>
      <c r="AL123" s="5" t="str">
        <f ca="1">IFERROR(__xludf.DUMMYFUNCTION("IF(Z123 = """", """", GOOGLETRANSLATE(Z123, ""en"", ""gu""))"),"ઉચ્ચ ઊર્જા જરૂરી છે")</f>
        <v>ઉચ્ચ ઊર્જા જરૂરી છે</v>
      </c>
      <c r="AM123" s="5" t="str">
        <f ca="1">IFERROR(__xludf.DUMMYFUNCTION("IF(AA123 = """", """", GOOGLETRANSLATE(AA123, ""en"", ""gu""))"),"પછીથી થાક લાગે તેવી શક્યતા છે")</f>
        <v>પછીથી થાક લાગે તેવી શક્યતા છે</v>
      </c>
      <c r="AN123" s="5" t="str">
        <f ca="1">IFERROR(__xludf.DUMMYFUNCTION("IF(AB123 = """", """", GOOGLETRANSLATE(AB123, ""en"", ""gu""))"),"")</f>
        <v/>
      </c>
      <c r="AO123" s="5" t="str">
        <f ca="1">IFERROR(__xludf.DUMMYFUNCTION("IF(Y123 = """", """", GOOGLETRANSLATE(Y123, ""en"", ""bn""))"),"ব্যস্ত সময়সূচী")</f>
        <v>ব্যস্ত সময়সূচী</v>
      </c>
      <c r="AP123" s="5" t="str">
        <f ca="1">IFERROR(__xludf.DUMMYFUNCTION("IF(Z123 = """", """", GOOGLETRANSLATE(Z123, ""en"", ""bn""))"),"উচ্চ শক্তি প্রয়োজন")</f>
        <v>উচ্চ শক্তি প্রয়োজন</v>
      </c>
      <c r="AQ123" s="5" t="str">
        <f ca="1">IFERROR(__xludf.DUMMYFUNCTION("IF(AA123 = """", """", GOOGLETRANSLATE(AA123, ""en"", ""bn""))"),"পরে ক্লান্ত বোধ করার সম্ভাবনা থাকে")</f>
        <v>পরে ক্লান্ত বোধ করার সম্ভাবনা থাকে</v>
      </c>
      <c r="AR123" s="5" t="str">
        <f ca="1">IFERROR(__xludf.DUMMYFUNCTION("IF(AB123 = """", """", GOOGLETRANSLATE(AB123, ""en"", ""bn""))"),"")</f>
        <v/>
      </c>
      <c r="AU123" s="5" t="str">
        <f ca="1">IFERROR(__xludf.DUMMYFUNCTION("IF(Y123 = """", """", GOOGLETRANSLATE(Y123, ""en"", ""te""))"),"బిజీ షెడ్యూల్")</f>
        <v>బిజీ షెడ్యూల్</v>
      </c>
      <c r="AV123" s="5" t="str">
        <f ca="1">IFERROR(__xludf.DUMMYFUNCTION("IF(Z123 = """", """", GOOGLETRANSLATE(Z123, ""en"", ""te""))"),"అధిక శక్తి అవసరం")</f>
        <v>అధిక శక్తి అవసరం</v>
      </c>
      <c r="AW123" s="5" t="str">
        <f ca="1">IFERROR(__xludf.DUMMYFUNCTION("IF(AA123 = """", """", GOOGLETRANSLATE(AA123, ""en"", ""te""))"),"తర్వాత అలసిపోయే అవకాశం ఉంది")</f>
        <v>తర్వాత అలసిపోయే అవకాశం ఉంది</v>
      </c>
      <c r="AX123" s="5" t="str">
        <f ca="1">IFERROR(__xludf.DUMMYFUNCTION("IF(AB123 = """", """", GOOGLETRANSLATE(AB123, ""en"", ""te""))"),"")</f>
        <v/>
      </c>
    </row>
    <row r="124" spans="1:50" x14ac:dyDescent="0.25">
      <c r="A124" s="1">
        <v>137</v>
      </c>
      <c r="B124" s="1" t="s">
        <v>56</v>
      </c>
      <c r="C124" s="8">
        <v>45833</v>
      </c>
      <c r="D124" s="8">
        <v>45833</v>
      </c>
      <c r="E124" s="1">
        <v>11</v>
      </c>
      <c r="F124" s="1">
        <v>1</v>
      </c>
      <c r="G124" s="3" t="s">
        <v>422</v>
      </c>
      <c r="H124" s="4">
        <v>7.9861111111111105E-3</v>
      </c>
      <c r="I124" s="4">
        <v>5.3935185185185188E-3</v>
      </c>
      <c r="J124" s="4">
        <v>5.9143518518518521E-3</v>
      </c>
      <c r="K124" s="1" t="s">
        <v>58</v>
      </c>
      <c r="L124" s="1" t="s">
        <v>79</v>
      </c>
      <c r="M124" s="1" t="s">
        <v>19</v>
      </c>
      <c r="O124" s="1" t="s">
        <v>61</v>
      </c>
      <c r="P124" s="1" t="s">
        <v>61</v>
      </c>
      <c r="Q124" s="1" t="s">
        <v>61</v>
      </c>
      <c r="R124" s="1" t="s">
        <v>61</v>
      </c>
      <c r="S124" s="1" t="s">
        <v>61</v>
      </c>
      <c r="T124" s="1" t="s">
        <v>61</v>
      </c>
      <c r="V124" s="1" t="s">
        <v>61</v>
      </c>
      <c r="W124" s="1" t="s">
        <v>61</v>
      </c>
      <c r="X124" s="1" t="s">
        <v>61</v>
      </c>
      <c r="Y124" s="1" t="s">
        <v>178</v>
      </c>
      <c r="Z124" s="1" t="s">
        <v>452</v>
      </c>
      <c r="AA124" s="1" t="s">
        <v>453</v>
      </c>
      <c r="AB124" s="1"/>
      <c r="AC124" s="5" t="str">
        <f ca="1">IFERROR(__xludf.DUMMYFUNCTION("IF(Y124 = """", """", GOOGLETRANSLATE(Y124, ""en"", ""hi""))
"),"वाणी पर नियंत्रण रखें")</f>
        <v>वाणी पर नियंत्रण रखें</v>
      </c>
      <c r="AD124" s="5" t="str">
        <f ca="1">IFERROR(__xludf.DUMMYFUNCTION("IF(Z124 = """", """", GOOGLETRANSLATE(Z124, ""en"", ""hi""))"),"भावनात्मक प्रतिक्रियाओं से बचें")</f>
        <v>भावनात्मक प्रतिक्रियाओं से बचें</v>
      </c>
      <c r="AE124" s="5" t="str">
        <f ca="1">IFERROR(__xludf.DUMMYFUNCTION("IF(AA124 = """", """", GOOGLETRANSLATE(AA124, ""en"", ""hi""))"),"आलोचना के बीच शांत रहें")</f>
        <v>आलोचना के बीच शांत रहें</v>
      </c>
      <c r="AF124" s="5" t="str">
        <f ca="1">IFERROR(__xludf.DUMMYFUNCTION("IF(AB124 = """", """", GOOGLETRANSLATE(AB124, ""en"", ""hi""))"),"")</f>
        <v/>
      </c>
      <c r="AG124" s="5" t="str">
        <f ca="1">IFERROR(__xludf.DUMMYFUNCTION("IF(Y124 = """", """", GOOGLETRANSLATE(Y124, ""en"", ""mr""))"),"वाणीवर नियंत्रण ठेवा")</f>
        <v>वाणीवर नियंत्रण ठेवा</v>
      </c>
      <c r="AH124" s="5" t="str">
        <f ca="1">IFERROR(__xludf.DUMMYFUNCTION("IF(Z124 = """", """", GOOGLETRANSLATE(Z124, ""en"", ""mr""))"),"भावनिक प्रतिक्रिया टाळा")</f>
        <v>भावनिक प्रतिक्रिया टाळा</v>
      </c>
      <c r="AI124" s="5" t="str">
        <f ca="1">IFERROR(__xludf.DUMMYFUNCTION("IF(AA124 = """", """", GOOGLETRANSLATE(AA124, ""en"", ""mr""))"),"टीका करताना शांत राहा")</f>
        <v>टीका करताना शांत राहा</v>
      </c>
      <c r="AJ124" s="5" t="str">
        <f ca="1">IFERROR(__xludf.DUMMYFUNCTION("IF(AB124 = """", """", GOOGLETRANSLATE(AB124, ""en"", ""mr""))"),"")</f>
        <v/>
      </c>
      <c r="AK124" s="5" t="str">
        <f ca="1">IFERROR(__xludf.DUMMYFUNCTION("IF(Y124 = """", """", GOOGLETRANSLATE(Y124, ""en"", ""gu""))"),"વાણી પર નિયંત્રણ રાખો")</f>
        <v>વાણી પર નિયંત્રણ રાખો</v>
      </c>
      <c r="AL124" s="5" t="str">
        <f ca="1">IFERROR(__xludf.DUMMYFUNCTION("IF(Z124 = """", """", GOOGLETRANSLATE(Z124, ""en"", ""gu""))"),"ભાવનાત્મક પ્રતિક્રિયાઓ ટાળો")</f>
        <v>ભાવનાત્મક પ્રતિક્રિયાઓ ટાળો</v>
      </c>
      <c r="AM124" s="5" t="str">
        <f ca="1">IFERROR(__xludf.DUMMYFUNCTION("IF(AA124 = """", """", GOOGLETRANSLATE(AA124, ""en"", ""gu""))"),"ટીકાઓ વચ્ચે શાંત રહો")</f>
        <v>ટીકાઓ વચ્ચે શાંત રહો</v>
      </c>
      <c r="AN124" s="5" t="str">
        <f ca="1">IFERROR(__xludf.DUMMYFUNCTION("IF(AB124 = """", """", GOOGLETRANSLATE(AB124, ""en"", ""gu""))"),"")</f>
        <v/>
      </c>
      <c r="AO124" s="5" t="str">
        <f ca="1">IFERROR(__xludf.DUMMYFUNCTION("IF(Y124 = """", """", GOOGLETRANSLATE(Y124, ""en"", ""bn""))"),"বক্তৃতা নিয়ন্ত্রণ করুন")</f>
        <v>বক্তৃতা নিয়ন্ত্রণ করুন</v>
      </c>
      <c r="AP124" s="5" t="str">
        <f ca="1">IFERROR(__xludf.DUMMYFUNCTION("IF(Z124 = """", """", GOOGLETRANSLATE(Z124, ""en"", ""bn""))"),"মানসিক প্রতিক্রিয়া এড়িয়ে চলুন")</f>
        <v>মানসিক প্রতিক্রিয়া এড়িয়ে চলুন</v>
      </c>
      <c r="AQ124" s="5" t="str">
        <f ca="1">IFERROR(__xludf.DUMMYFUNCTION("IF(AA124 = """", """", GOOGLETRANSLATE(AA124, ""en"", ""bn""))"),"সমালোচনার মধ্যে শান্ত থাকুন")</f>
        <v>সমালোচনার মধ্যে শান্ত থাকুন</v>
      </c>
      <c r="AR124" s="5" t="str">
        <f ca="1">IFERROR(__xludf.DUMMYFUNCTION("IF(AB124 = """", """", GOOGLETRANSLATE(AB124, ""en"", ""bn""))"),"")</f>
        <v/>
      </c>
      <c r="AU124" s="5" t="str">
        <f ca="1">IFERROR(__xludf.DUMMYFUNCTION("IF(Y124 = """", """", GOOGLETRANSLATE(Y124, ""en"", ""te""))"),"ప్రసంగాన్ని నియంత్రించండి")</f>
        <v>ప్రసంగాన్ని నియంత్రించండి</v>
      </c>
      <c r="AV124" s="5" t="str">
        <f ca="1">IFERROR(__xludf.DUMMYFUNCTION("IF(Z124 = """", """", GOOGLETRANSLATE(Z124, ""en"", ""te""))"),"భావోద్వేగ ప్రతిచర్యలను నివారించండి")</f>
        <v>భావోద్వేగ ప్రతిచర్యలను నివారించండి</v>
      </c>
      <c r="AW124" s="5" t="str">
        <f ca="1">IFERROR(__xludf.DUMMYFUNCTION("IF(AA124 = """", """", GOOGLETRANSLATE(AA124, ""en"", ""te""))"),"విమర్శల మధ్య ప్రశాంతంగా ఉండండి")</f>
        <v>విమర్శల మధ్య ప్రశాంతంగా ఉండండి</v>
      </c>
      <c r="AX124" s="5" t="str">
        <f ca="1">IFERROR(__xludf.DUMMYFUNCTION("IF(AB124 = """", """", GOOGLETRANSLATE(AB124, ""en"", ""te""))"),"")</f>
        <v/>
      </c>
    </row>
    <row r="125" spans="1:50" x14ac:dyDescent="0.25">
      <c r="A125" s="1">
        <v>138</v>
      </c>
      <c r="B125" s="1" t="s">
        <v>56</v>
      </c>
      <c r="C125" s="8">
        <v>45833</v>
      </c>
      <c r="D125" s="8">
        <v>45833</v>
      </c>
      <c r="E125" s="1">
        <v>12</v>
      </c>
      <c r="F125" s="1">
        <v>1</v>
      </c>
      <c r="G125" s="3" t="s">
        <v>422</v>
      </c>
      <c r="H125" s="4">
        <v>7.9861111111111105E-3</v>
      </c>
      <c r="I125" s="4">
        <v>5.9143518518518521E-3</v>
      </c>
      <c r="J125" s="7" t="s">
        <v>454</v>
      </c>
      <c r="K125" s="1" t="s">
        <v>58</v>
      </c>
      <c r="L125" s="1" t="s">
        <v>81</v>
      </c>
      <c r="M125" s="1" t="s">
        <v>19</v>
      </c>
      <c r="O125" s="1" t="s">
        <v>61</v>
      </c>
      <c r="P125" s="1" t="s">
        <v>61</v>
      </c>
      <c r="Q125" s="1" t="s">
        <v>61</v>
      </c>
      <c r="R125" s="1" t="s">
        <v>61</v>
      </c>
      <c r="S125" s="1" t="s">
        <v>61</v>
      </c>
      <c r="T125" s="1" t="s">
        <v>61</v>
      </c>
      <c r="V125" s="1" t="s">
        <v>61</v>
      </c>
      <c r="W125" s="1" t="s">
        <v>61</v>
      </c>
      <c r="X125" s="1" t="s">
        <v>61</v>
      </c>
      <c r="Y125" s="1" t="s">
        <v>455</v>
      </c>
      <c r="Z125" s="1" t="s">
        <v>456</v>
      </c>
      <c r="AA125" s="1" t="s">
        <v>433</v>
      </c>
      <c r="AB125" s="1"/>
      <c r="AC125" s="5" t="str">
        <f ca="1">IFERROR(__xludf.DUMMYFUNCTION("IF(Y125 = """", """", GOOGLETRANSLATE(Y125, ""en"", ""hi""))
"),"भावनात्मक चोट की संभावना")</f>
        <v>भावनात्मक चोट की संभावना</v>
      </c>
      <c r="AD125" s="5" t="str">
        <f ca="1">IFERROR(__xludf.DUMMYFUNCTION("IF(Z125 = """", """", GOOGLETRANSLATE(Z125, ""en"", ""hi""))"),"सलाह देने से बचें")</f>
        <v>सलाह देने से बचें</v>
      </c>
      <c r="AE125" s="5" t="str">
        <f ca="1">IFERROR(__xludf.DUMMYFUNCTION("IF(AA125 = """", """", GOOGLETRANSLATE(AA125, ""en"", ""hi""))"),"बहस से दूर रहें")</f>
        <v>बहस से दूर रहें</v>
      </c>
      <c r="AF125" s="5" t="str">
        <f ca="1">IFERROR(__xludf.DUMMYFUNCTION("IF(AB125 = """", """", GOOGLETRANSLATE(AB125, ""en"", ""hi""))"),"")</f>
        <v/>
      </c>
      <c r="AG125" s="5" t="str">
        <f ca="1">IFERROR(__xludf.DUMMYFUNCTION("IF(Y125 = """", """", GOOGLETRANSLATE(Y125, ""en"", ""mr""))"),"भावनिक दुखापत होण्याची शक्यता आहे")</f>
        <v>भावनिक दुखापत होण्याची शक्यता आहे</v>
      </c>
      <c r="AH125" s="5" t="str">
        <f ca="1">IFERROR(__xludf.DUMMYFUNCTION("IF(Z125 = """", """", GOOGLETRANSLATE(Z125, ""en"", ""mr""))"),"सल्ला देणे टाळा")</f>
        <v>सल्ला देणे टाळा</v>
      </c>
      <c r="AI125" s="5" t="str">
        <f ca="1">IFERROR(__xludf.DUMMYFUNCTION("IF(AA125 = """", """", GOOGLETRANSLATE(AA125, ""en"", ""mr""))"),"वादापासून दूर राहा")</f>
        <v>वादापासून दूर राहा</v>
      </c>
      <c r="AJ125" s="5" t="str">
        <f ca="1">IFERROR(__xludf.DUMMYFUNCTION("IF(AB125 = """", """", GOOGLETRANSLATE(AB125, ""en"", ""mr""))"),"")</f>
        <v/>
      </c>
      <c r="AK125" s="5" t="str">
        <f ca="1">IFERROR(__xludf.DUMMYFUNCTION("IF(Y125 = """", """", GOOGLETRANSLATE(Y125, ""en"", ""gu""))"),"ભાવનાત્મક રીતે નુકસાન થવાની સંભાવના છે")</f>
        <v>ભાવનાત્મક રીતે નુકસાન થવાની સંભાવના છે</v>
      </c>
      <c r="AL125" s="5" t="str">
        <f ca="1">IFERROR(__xludf.DUMMYFUNCTION("IF(Z125 = """", """", GOOGLETRANSLATE(Z125, ""en"", ""gu""))"),"સલાહ આપવાનું ટાળો")</f>
        <v>સલાહ આપવાનું ટાળો</v>
      </c>
      <c r="AM125" s="5" t="str">
        <f ca="1">IFERROR(__xludf.DUMMYFUNCTION("IF(AA125 = """", """", GOOGLETRANSLATE(AA125, ""en"", ""gu""))"),"વાદ-વિવાદથી દૂર રહો")</f>
        <v>વાદ-વિવાદથી દૂર રહો</v>
      </c>
      <c r="AN125" s="5" t="str">
        <f ca="1">IFERROR(__xludf.DUMMYFUNCTION("IF(AB125 = """", """", GOOGLETRANSLATE(AB125, ""en"", ""gu""))"),"")</f>
        <v/>
      </c>
      <c r="AO125" s="5" t="str">
        <f ca="1">IFERROR(__xludf.DUMMYFUNCTION("IF(Y125 = """", """", GOOGLETRANSLATE(Y125, ""en"", ""bn""))"),"মানসিক আঘাতের সম্ভাবনা")</f>
        <v>মানসিক আঘাতের সম্ভাবনা</v>
      </c>
      <c r="AP125" s="5" t="str">
        <f ca="1">IFERROR(__xludf.DUMMYFUNCTION("IF(Z125 = """", """", GOOGLETRANSLATE(Z125, ""en"", ""bn""))"),"উপদেশ দেওয়া থেকে বিরত থাকুন")</f>
        <v>উপদেশ দেওয়া থেকে বিরত থাকুন</v>
      </c>
      <c r="AQ125" s="5" t="str">
        <f ca="1">IFERROR(__xludf.DUMMYFUNCTION("IF(AA125 = """", """", GOOGLETRANSLATE(AA125, ""en"", ""bn""))"),"তর্ক থেকে দূরে থাকুন")</f>
        <v>তর্ক থেকে দূরে থাকুন</v>
      </c>
      <c r="AR125" s="5" t="str">
        <f ca="1">IFERROR(__xludf.DUMMYFUNCTION("IF(AB125 = """", """", GOOGLETRANSLATE(AB125, ""en"", ""bn""))"),"")</f>
        <v/>
      </c>
      <c r="AU125" s="5" t="str">
        <f ca="1">IFERROR(__xludf.DUMMYFUNCTION("IF(Y125 = """", """", GOOGLETRANSLATE(Y125, ""en"", ""te""))"),"మానసిక గాయం అయ్యే అవకాశం ఉంది")</f>
        <v>మానసిక గాయం అయ్యే అవకాశం ఉంది</v>
      </c>
      <c r="AV125" s="5" t="str">
        <f ca="1">IFERROR(__xludf.DUMMYFUNCTION("IF(Z125 = """", """", GOOGLETRANSLATE(Z125, ""en"", ""te""))"),"సలహా ఇవ్వడం మానుకోండి")</f>
        <v>సలహా ఇవ్వడం మానుకోండి</v>
      </c>
      <c r="AW125" s="5" t="str">
        <f ca="1">IFERROR(__xludf.DUMMYFUNCTION("IF(AA125 = """", """", GOOGLETRANSLATE(AA125, ""en"", ""te""))"),"వాదనలకు దూరంగా ఉండండి")</f>
        <v>వాదనలకు దూరంగా ఉండండి</v>
      </c>
      <c r="AX125" s="5" t="str">
        <f ca="1">IFERROR(__xludf.DUMMYFUNCTION("IF(AB125 = """", """", GOOGLETRANSLATE(AB125, ""en"", ""te""))"),"")</f>
        <v/>
      </c>
    </row>
    <row r="126" spans="1:50" x14ac:dyDescent="0.25">
      <c r="A126" s="1">
        <v>139</v>
      </c>
      <c r="B126" s="1" t="s">
        <v>56</v>
      </c>
      <c r="C126" s="8">
        <v>45833</v>
      </c>
      <c r="D126" s="8">
        <v>45833</v>
      </c>
      <c r="E126" s="1">
        <v>13</v>
      </c>
      <c r="F126" s="1">
        <v>1</v>
      </c>
      <c r="G126" s="3" t="s">
        <v>422</v>
      </c>
      <c r="H126" s="4">
        <v>7.9861111111111105E-3</v>
      </c>
      <c r="I126" s="7" t="s">
        <v>454</v>
      </c>
      <c r="J126" s="4">
        <v>7.9861111111111105E-3</v>
      </c>
      <c r="K126" s="1" t="s">
        <v>58</v>
      </c>
      <c r="L126" s="1" t="s">
        <v>137</v>
      </c>
      <c r="O126" s="1" t="s">
        <v>61</v>
      </c>
      <c r="P126" s="1" t="s">
        <v>61</v>
      </c>
      <c r="Q126" s="1" t="s">
        <v>61</v>
      </c>
      <c r="R126" s="1" t="s">
        <v>61</v>
      </c>
      <c r="S126" s="1" t="s">
        <v>61</v>
      </c>
      <c r="T126" s="1" t="s">
        <v>61</v>
      </c>
      <c r="V126" s="1" t="s">
        <v>61</v>
      </c>
      <c r="W126" s="1" t="s">
        <v>61</v>
      </c>
      <c r="X126" s="1" t="s">
        <v>61</v>
      </c>
      <c r="AB126" s="1"/>
      <c r="AC126" s="5" t="str">
        <f ca="1">IFERROR(__xludf.DUMMYFUNCTION("IF(Y126 = """", """", GOOGLETRANSLATE(Y126, ""en"", ""hi""))
"),"")</f>
        <v/>
      </c>
      <c r="AD126" s="5" t="str">
        <f ca="1">IFERROR(__xludf.DUMMYFUNCTION("IF(Z126 = """", """", GOOGLETRANSLATE(Z126, ""en"", ""hi""))"),"")</f>
        <v/>
      </c>
      <c r="AE126" s="5" t="str">
        <f ca="1">IFERROR(__xludf.DUMMYFUNCTION("IF(AA126 = """", """", GOOGLETRANSLATE(AA126, ""en"", ""hi""))"),"")</f>
        <v/>
      </c>
      <c r="AF126" s="5" t="str">
        <f ca="1">IFERROR(__xludf.DUMMYFUNCTION("IF(AB126 = """", """", GOOGLETRANSLATE(AB126, ""en"", ""hi""))"),"")</f>
        <v/>
      </c>
      <c r="AG126" s="5" t="str">
        <f ca="1">IFERROR(__xludf.DUMMYFUNCTION("IF(Y126 = """", """", GOOGLETRANSLATE(Y126, ""en"", ""mr""))"),"")</f>
        <v/>
      </c>
      <c r="AH126" s="5" t="str">
        <f ca="1">IFERROR(__xludf.DUMMYFUNCTION("IF(Z126 = """", """", GOOGLETRANSLATE(Z126, ""en"", ""mr""))"),"")</f>
        <v/>
      </c>
      <c r="AI126" s="5" t="str">
        <f ca="1">IFERROR(__xludf.DUMMYFUNCTION("IF(AA126 = """", """", GOOGLETRANSLATE(AA126, ""en"", ""mr""))"),"")</f>
        <v/>
      </c>
      <c r="AJ126" s="5" t="str">
        <f ca="1">IFERROR(__xludf.DUMMYFUNCTION("IF(AB126 = """", """", GOOGLETRANSLATE(AB126, ""en"", ""mr""))"),"")</f>
        <v/>
      </c>
      <c r="AK126" s="5" t="str">
        <f ca="1">IFERROR(__xludf.DUMMYFUNCTION("IF(Y126 = """", """", GOOGLETRANSLATE(Y126, ""en"", ""gu""))"),"")</f>
        <v/>
      </c>
      <c r="AL126" s="5" t="str">
        <f ca="1">IFERROR(__xludf.DUMMYFUNCTION("IF(Z126 = """", """", GOOGLETRANSLATE(Z126, ""en"", ""gu""))"),"")</f>
        <v/>
      </c>
      <c r="AM126" s="5" t="str">
        <f ca="1">IFERROR(__xludf.DUMMYFUNCTION("IF(AA126 = """", """", GOOGLETRANSLATE(AA126, ""en"", ""gu""))"),"")</f>
        <v/>
      </c>
      <c r="AN126" s="5" t="str">
        <f ca="1">IFERROR(__xludf.DUMMYFUNCTION("IF(AB126 = """", """", GOOGLETRANSLATE(AB126, ""en"", ""gu""))"),"")</f>
        <v/>
      </c>
      <c r="AO126" s="5" t="str">
        <f ca="1">IFERROR(__xludf.DUMMYFUNCTION("IF(Y126 = """", """", GOOGLETRANSLATE(Y126, ""en"", ""bn""))"),"")</f>
        <v/>
      </c>
      <c r="AP126" s="5" t="str">
        <f ca="1">IFERROR(__xludf.DUMMYFUNCTION("IF(Z126 = """", """", GOOGLETRANSLATE(Z126, ""en"", ""bn""))"),"")</f>
        <v/>
      </c>
      <c r="AQ126" s="5" t="str">
        <f ca="1">IFERROR(__xludf.DUMMYFUNCTION("IF(AA126 = """", """", GOOGLETRANSLATE(AA126, ""en"", ""bn""))"),"")</f>
        <v/>
      </c>
      <c r="AR126" s="5" t="str">
        <f ca="1">IFERROR(__xludf.DUMMYFUNCTION("IF(AB126 = """", """", GOOGLETRANSLATE(AB126, ""en"", ""bn""))"),"")</f>
        <v/>
      </c>
      <c r="AU126" s="5" t="str">
        <f ca="1">IFERROR(__xludf.DUMMYFUNCTION("IF(Y126 = """", """", GOOGLETRANSLATE(Y126, ""en"", ""te""))"),"")</f>
        <v/>
      </c>
      <c r="AV126" s="5" t="str">
        <f ca="1">IFERROR(__xludf.DUMMYFUNCTION("IF(Z126 = """", """", GOOGLETRANSLATE(Z126, ""en"", ""te""))"),"")</f>
        <v/>
      </c>
      <c r="AW126" s="5" t="str">
        <f ca="1">IFERROR(__xludf.DUMMYFUNCTION("IF(AA126 = """", """", GOOGLETRANSLATE(AA126, ""en"", ""te""))"),"")</f>
        <v/>
      </c>
      <c r="AX126" s="5" t="str">
        <f ca="1">IFERROR(__xludf.DUMMYFUNCTION("IF(AB126 = """", """", GOOGLETRANSLATE(AB126, ""en"", ""te""))"),"")</f>
        <v/>
      </c>
    </row>
    <row r="127" spans="1:50" x14ac:dyDescent="0.25">
      <c r="A127" s="1">
        <v>140</v>
      </c>
      <c r="B127" s="1" t="s">
        <v>56</v>
      </c>
      <c r="C127" s="8">
        <v>45834</v>
      </c>
      <c r="D127" s="8">
        <v>45834</v>
      </c>
      <c r="E127" s="1">
        <v>0</v>
      </c>
      <c r="F127" s="1">
        <v>1</v>
      </c>
      <c r="G127" s="3" t="s">
        <v>457</v>
      </c>
      <c r="H127" s="4">
        <v>8.0439814814814818E-3</v>
      </c>
      <c r="I127" s="4">
        <v>0</v>
      </c>
      <c r="J127" s="4">
        <v>7.8703703703703705E-4</v>
      </c>
      <c r="K127" s="1" t="s">
        <v>58</v>
      </c>
      <c r="L127" s="1" t="s">
        <v>59</v>
      </c>
      <c r="O127" s="1" t="s">
        <v>61</v>
      </c>
      <c r="P127" s="1" t="s">
        <v>61</v>
      </c>
      <c r="Q127" s="1" t="s">
        <v>61</v>
      </c>
      <c r="R127" s="1" t="s">
        <v>61</v>
      </c>
      <c r="S127" s="1" t="s">
        <v>61</v>
      </c>
      <c r="T127" s="1" t="s">
        <v>61</v>
      </c>
      <c r="V127" s="1" t="s">
        <v>61</v>
      </c>
      <c r="W127" s="1" t="s">
        <v>61</v>
      </c>
      <c r="X127" s="1" t="s">
        <v>61</v>
      </c>
      <c r="AB127" s="1"/>
      <c r="AC127" s="5" t="str">
        <f ca="1">IFERROR(__xludf.DUMMYFUNCTION("IF(Y127 = """", """", GOOGLETRANSLATE(Y127, ""en"", ""hi""))
"),"")</f>
        <v/>
      </c>
      <c r="AD127" s="5" t="str">
        <f ca="1">IFERROR(__xludf.DUMMYFUNCTION("IF(Z127 = """", """", GOOGLETRANSLATE(Z127, ""en"", ""hi""))"),"")</f>
        <v/>
      </c>
      <c r="AE127" s="5" t="str">
        <f ca="1">IFERROR(__xludf.DUMMYFUNCTION("IF(AA127 = """", """", GOOGLETRANSLATE(AA127, ""en"", ""hi""))"),"")</f>
        <v/>
      </c>
      <c r="AF127" s="5" t="str">
        <f ca="1">IFERROR(__xludf.DUMMYFUNCTION("IF(AB127 = """", """", GOOGLETRANSLATE(AB127, ""en"", ""hi""))"),"")</f>
        <v/>
      </c>
      <c r="AG127" s="5" t="str">
        <f ca="1">IFERROR(__xludf.DUMMYFUNCTION("IF(Y127 = """", """", GOOGLETRANSLATE(Y127, ""en"", ""mr""))"),"")</f>
        <v/>
      </c>
      <c r="AH127" s="5" t="str">
        <f ca="1">IFERROR(__xludf.DUMMYFUNCTION("IF(Z127 = """", """", GOOGLETRANSLATE(Z127, ""en"", ""mr""))"),"")</f>
        <v/>
      </c>
      <c r="AI127" s="5" t="str">
        <f ca="1">IFERROR(__xludf.DUMMYFUNCTION("IF(AA127 = """", """", GOOGLETRANSLATE(AA127, ""en"", ""mr""))"),"")</f>
        <v/>
      </c>
      <c r="AJ127" s="5" t="str">
        <f ca="1">IFERROR(__xludf.DUMMYFUNCTION("IF(AB127 = """", """", GOOGLETRANSLATE(AB127, ""en"", ""mr""))"),"")</f>
        <v/>
      </c>
      <c r="AK127" s="5" t="str">
        <f ca="1">IFERROR(__xludf.DUMMYFUNCTION("IF(Y127 = """", """", GOOGLETRANSLATE(Y127, ""en"", ""gu""))"),"")</f>
        <v/>
      </c>
      <c r="AL127" s="5" t="str">
        <f ca="1">IFERROR(__xludf.DUMMYFUNCTION("IF(Z127 = """", """", GOOGLETRANSLATE(Z127, ""en"", ""gu""))"),"")</f>
        <v/>
      </c>
      <c r="AM127" s="5" t="str">
        <f ca="1">IFERROR(__xludf.DUMMYFUNCTION("IF(AA127 = """", """", GOOGLETRANSLATE(AA127, ""en"", ""gu""))"),"")</f>
        <v/>
      </c>
      <c r="AN127" s="5" t="str">
        <f ca="1">IFERROR(__xludf.DUMMYFUNCTION("IF(AB127 = """", """", GOOGLETRANSLATE(AB127, ""en"", ""gu""))"),"")</f>
        <v/>
      </c>
      <c r="AO127" s="5" t="str">
        <f ca="1">IFERROR(__xludf.DUMMYFUNCTION("IF(Y127 = """", """", GOOGLETRANSLATE(Y127, ""en"", ""bn""))"),"")</f>
        <v/>
      </c>
      <c r="AP127" s="5" t="str">
        <f ca="1">IFERROR(__xludf.DUMMYFUNCTION("IF(Z127 = """", """", GOOGLETRANSLATE(Z127, ""en"", ""bn""))"),"")</f>
        <v/>
      </c>
      <c r="AQ127" s="5" t="str">
        <f ca="1">IFERROR(__xludf.DUMMYFUNCTION("IF(AA127 = """", """", GOOGLETRANSLATE(AA127, ""en"", ""bn""))"),"")</f>
        <v/>
      </c>
      <c r="AR127" s="5" t="str">
        <f ca="1">IFERROR(__xludf.DUMMYFUNCTION("IF(AB127 = """", """", GOOGLETRANSLATE(AB127, ""en"", ""bn""))"),"")</f>
        <v/>
      </c>
      <c r="AU127" s="5" t="str">
        <f ca="1">IFERROR(__xludf.DUMMYFUNCTION("IF(Y127 = """", """", GOOGLETRANSLATE(Y127, ""en"", ""te""))"),"")</f>
        <v/>
      </c>
      <c r="AV127" s="5" t="str">
        <f ca="1">IFERROR(__xludf.DUMMYFUNCTION("IF(Z127 = """", """", GOOGLETRANSLATE(Z127, ""en"", ""te""))"),"")</f>
        <v/>
      </c>
      <c r="AW127" s="5" t="str">
        <f ca="1">IFERROR(__xludf.DUMMYFUNCTION("IF(AA127 = """", """", GOOGLETRANSLATE(AA127, ""en"", ""te""))"),"")</f>
        <v/>
      </c>
      <c r="AX127" s="5" t="str">
        <f ca="1">IFERROR(__xludf.DUMMYFUNCTION("IF(AB127 = """", """", GOOGLETRANSLATE(AB127, ""en"", ""te""))"),"")</f>
        <v/>
      </c>
    </row>
    <row r="128" spans="1:50" x14ac:dyDescent="0.25">
      <c r="A128" s="1">
        <v>141</v>
      </c>
      <c r="B128" s="1" t="s">
        <v>56</v>
      </c>
      <c r="C128" s="8">
        <v>45834</v>
      </c>
      <c r="D128" s="8">
        <v>45834</v>
      </c>
      <c r="E128" s="1">
        <v>1</v>
      </c>
      <c r="F128" s="1">
        <v>1</v>
      </c>
      <c r="G128" s="3" t="s">
        <v>457</v>
      </c>
      <c r="H128" s="4">
        <v>8.0439814814814818E-3</v>
      </c>
      <c r="I128" s="4">
        <v>7.8703703703703705E-4</v>
      </c>
      <c r="J128" s="4">
        <v>1.4120370370370369E-3</v>
      </c>
      <c r="K128" s="1" t="s">
        <v>58</v>
      </c>
      <c r="L128" s="1" t="s">
        <v>142</v>
      </c>
      <c r="M128" s="1" t="s">
        <v>14</v>
      </c>
      <c r="O128" s="1" t="s">
        <v>61</v>
      </c>
      <c r="P128" s="1" t="s">
        <v>61</v>
      </c>
      <c r="Q128" s="1" t="s">
        <v>61</v>
      </c>
      <c r="R128" s="1" t="s">
        <v>61</v>
      </c>
      <c r="S128" s="1" t="s">
        <v>61</v>
      </c>
      <c r="T128" s="1" t="s">
        <v>61</v>
      </c>
      <c r="V128" s="1" t="s">
        <v>61</v>
      </c>
      <c r="W128" s="1" t="s">
        <v>61</v>
      </c>
      <c r="X128" s="1" t="s">
        <v>61</v>
      </c>
      <c r="Y128" s="1" t="s">
        <v>458</v>
      </c>
      <c r="Z128" s="1" t="s">
        <v>459</v>
      </c>
      <c r="AA128" s="1" t="s">
        <v>460</v>
      </c>
      <c r="AB128" s="1"/>
      <c r="AC128" s="5" t="str">
        <f ca="1">IFERROR(__xludf.DUMMYFUNCTION("IF(Y128 = """", """", GOOGLETRANSLATE(Y128, ""en"", ""hi""))
"),"लंबित कार्य पूरा करें")</f>
        <v>लंबित कार्य पूरा करें</v>
      </c>
      <c r="AD128" s="5" t="str">
        <f ca="1">IFERROR(__xludf.DUMMYFUNCTION("IF(Z128 = """", """", GOOGLETRANSLATE(Z128, ""en"", ""hi""))"),"आगे पारिवारिक उत्सव")</f>
        <v>आगे पारिवारिक उत्सव</v>
      </c>
      <c r="AE128" s="5" t="str">
        <f ca="1">IFERROR(__xludf.DUMMYFUNCTION("IF(AA128 = """", """", GOOGLETRANSLATE(AA128, ""en"", ""hi""))"),"स्वास्थ्य के प्रति सतर्क रहें")</f>
        <v>स्वास्थ्य के प्रति सतर्क रहें</v>
      </c>
      <c r="AF128" s="5" t="str">
        <f ca="1">IFERROR(__xludf.DUMMYFUNCTION("IF(AB128 = """", """", GOOGLETRANSLATE(AB128, ""en"", ""hi""))"),"")</f>
        <v/>
      </c>
      <c r="AG128" s="5" t="str">
        <f ca="1">IFERROR(__xludf.DUMMYFUNCTION("IF(Y128 = """", """", GOOGLETRANSLATE(Y128, ""en"", ""mr""))"),"प्रलंबित कामे पूर्ण करा")</f>
        <v>प्रलंबित कामे पूर्ण करा</v>
      </c>
      <c r="AH128" s="5" t="str">
        <f ca="1">IFERROR(__xludf.DUMMYFUNCTION("IF(Z128 = """", """", GOOGLETRANSLATE(Z128, ""en"", ""mr""))"),"पुढे कौटुंबिक उत्सव")</f>
        <v>पुढे कौटुंबिक उत्सव</v>
      </c>
      <c r="AI128" s="5" t="str">
        <f ca="1">IFERROR(__xludf.DUMMYFUNCTION("IF(AA128 = """", """", GOOGLETRANSLATE(AA128, ""en"", ""mr""))"),"आरोग्याबाबत सावध राहा")</f>
        <v>आरोग्याबाबत सावध राहा</v>
      </c>
      <c r="AJ128" s="5" t="str">
        <f ca="1">IFERROR(__xludf.DUMMYFUNCTION("IF(AB128 = """", """", GOOGLETRANSLATE(AB128, ""en"", ""mr""))"),"")</f>
        <v/>
      </c>
      <c r="AK128" s="5" t="str">
        <f ca="1">IFERROR(__xludf.DUMMYFUNCTION("IF(Y128 = """", """", GOOGLETRANSLATE(Y128, ""en"", ""gu""))"),"પેન્ડિંગ કામ પૂરું કરો")</f>
        <v>પેન્ડિંગ કામ પૂરું કરો</v>
      </c>
      <c r="AL128" s="5" t="str">
        <f ca="1">IFERROR(__xludf.DUMMYFUNCTION("IF(Z128 = """", """", GOOGLETRANSLATE(Z128, ""en"", ""gu""))"),"આગળ કૌટુંબિક ઉજવણી")</f>
        <v>આગળ કૌટુંબિક ઉજવણી</v>
      </c>
      <c r="AM128" s="5" t="str">
        <f ca="1">IFERROR(__xludf.DUMMYFUNCTION("IF(AA128 = """", """", GOOGLETRANSLATE(AA128, ""en"", ""gu""))"),"સ્વાસ્થ્યને લઈને સાવધાન રહો")</f>
        <v>સ્વાસ્થ્યને લઈને સાવધાન રહો</v>
      </c>
      <c r="AN128" s="5" t="str">
        <f ca="1">IFERROR(__xludf.DUMMYFUNCTION("IF(AB128 = """", """", GOOGLETRANSLATE(AB128, ""en"", ""gu""))"),"")</f>
        <v/>
      </c>
      <c r="AO128" s="5" t="str">
        <f ca="1">IFERROR(__xludf.DUMMYFUNCTION("IF(Y128 = """", """", GOOGLETRANSLATE(Y128, ""en"", ""bn""))"),"অমীমাংসিত কাজ শেষ করুন")</f>
        <v>অমীমাংসিত কাজ শেষ করুন</v>
      </c>
      <c r="AP128" s="5" t="str">
        <f ca="1">IFERROR(__xludf.DUMMYFUNCTION("IF(Z128 = """", """", GOOGLETRANSLATE(Z128, ""en"", ""bn""))"),"সামনে পারিবারিক অনুষ্ঠান")</f>
        <v>সামনে পারিবারিক অনুষ্ঠান</v>
      </c>
      <c r="AQ128" s="5" t="str">
        <f ca="1">IFERROR(__xludf.DUMMYFUNCTION("IF(AA128 = """", """", GOOGLETRANSLATE(AA128, ""en"", ""bn""))"),"স্বাস্থ্য সম্পর্কে সতর্ক থাকুন")</f>
        <v>স্বাস্থ্য সম্পর্কে সতর্ক থাকুন</v>
      </c>
      <c r="AR128" s="5" t="str">
        <f ca="1">IFERROR(__xludf.DUMMYFUNCTION("IF(AB128 = """", """", GOOGLETRANSLATE(AB128, ""en"", ""bn""))"),"")</f>
        <v/>
      </c>
      <c r="AU128" s="5" t="str">
        <f ca="1">IFERROR(__xludf.DUMMYFUNCTION("IF(Y128 = """", """", GOOGLETRANSLATE(Y128, ""en"", ""te""))"),"పెండింగ్‌లో ఉన్న పనిని పూర్తి చేయండి")</f>
        <v>పెండింగ్‌లో ఉన్న పనిని పూర్తి చేయండి</v>
      </c>
      <c r="AV128" s="5" t="str">
        <f ca="1">IFERROR(__xludf.DUMMYFUNCTION("IF(Z128 = """", """", GOOGLETRANSLATE(Z128, ""en"", ""te""))"),"ముందుకు కుటుంబ వేడుకలు")</f>
        <v>ముందుకు కుటుంబ వేడుకలు</v>
      </c>
      <c r="AW128" s="5" t="str">
        <f ca="1">IFERROR(__xludf.DUMMYFUNCTION("IF(AA128 = """", """", GOOGLETRANSLATE(AA128, ""en"", ""te""))"),"ఆరోగ్యం విషయంలో జాగ్రత్తగా ఉండండి")</f>
        <v>ఆరోగ్యం విషయంలో జాగ్రత్తగా ఉండండి</v>
      </c>
      <c r="AX128" s="5" t="str">
        <f ca="1">IFERROR(__xludf.DUMMYFUNCTION("IF(AB128 = """", """", GOOGLETRANSLATE(AB128, ""en"", ""te""))"),"")</f>
        <v/>
      </c>
    </row>
    <row r="129" spans="1:50" x14ac:dyDescent="0.25">
      <c r="A129" s="1">
        <v>142</v>
      </c>
      <c r="B129" s="1" t="s">
        <v>56</v>
      </c>
      <c r="C129" s="8">
        <v>45834</v>
      </c>
      <c r="D129" s="8">
        <v>45834</v>
      </c>
      <c r="E129" s="1">
        <v>2</v>
      </c>
      <c r="F129" s="1">
        <v>1</v>
      </c>
      <c r="G129" s="3" t="s">
        <v>457</v>
      </c>
      <c r="H129" s="4">
        <v>8.0439814814814818E-3</v>
      </c>
      <c r="I129" s="4">
        <v>1.4120370370370369E-3</v>
      </c>
      <c r="J129" s="4">
        <v>2.1064814814814813E-3</v>
      </c>
      <c r="K129" s="1" t="s">
        <v>58</v>
      </c>
      <c r="L129" s="1" t="s">
        <v>90</v>
      </c>
      <c r="M129" s="1" t="s">
        <v>14</v>
      </c>
      <c r="O129" s="1" t="s">
        <v>61</v>
      </c>
      <c r="P129" s="1" t="s">
        <v>61</v>
      </c>
      <c r="Q129" s="1" t="s">
        <v>61</v>
      </c>
      <c r="R129" s="1" t="s">
        <v>61</v>
      </c>
      <c r="S129" s="1" t="s">
        <v>61</v>
      </c>
      <c r="T129" s="1" t="s">
        <v>61</v>
      </c>
      <c r="V129" s="1" t="s">
        <v>61</v>
      </c>
      <c r="W129" s="1" t="s">
        <v>61</v>
      </c>
      <c r="X129" s="1" t="s">
        <v>61</v>
      </c>
      <c r="Y129" s="1" t="s">
        <v>461</v>
      </c>
      <c r="Z129" s="1" t="s">
        <v>462</v>
      </c>
      <c r="AA129" s="1" t="s">
        <v>463</v>
      </c>
      <c r="AB129" s="1"/>
      <c r="AC129" s="5" t="str">
        <f ca="1">IFERROR(__xludf.DUMMYFUNCTION("IF(Y129 = """", """", GOOGLETRANSLATE(Y129, ""en"", ""hi""))
"),"नई नौकरी या ग्राहक अवसर")</f>
        <v>नई नौकरी या ग्राहक अवसर</v>
      </c>
      <c r="AD129" s="5" t="str">
        <f ca="1">IFERROR(__xludf.DUMMYFUNCTION("IF(Z129 = """", """", GOOGLETRANSLATE(Z129, ""en"", ""hi""))"),"संभावित पदोन्नति या प्रशंसा")</f>
        <v>संभावित पदोन्नति या प्रशंसा</v>
      </c>
      <c r="AE129" s="5" t="str">
        <f ca="1">IFERROR(__xludf.DUMMYFUNCTION("IF(AA129 = """", """", GOOGLETRANSLATE(AA129, ""en"", ""hi""))"),"सम्मान लाभ")</f>
        <v>सम्मान लाभ</v>
      </c>
      <c r="AF129" s="5" t="str">
        <f ca="1">IFERROR(__xludf.DUMMYFUNCTION("IF(AB129 = """", """", GOOGLETRANSLATE(AB129, ""en"", ""hi""))"),"")</f>
        <v/>
      </c>
      <c r="AG129" s="5" t="str">
        <f ca="1">IFERROR(__xludf.DUMMYFUNCTION("IF(Y129 = """", """", GOOGLETRANSLATE(Y129, ""en"", ""mr""))"),"नवीन नोकरी किंवा ग्राहक संधी")</f>
        <v>नवीन नोकरी किंवा ग्राहक संधी</v>
      </c>
      <c r="AH129" s="5" t="str">
        <f ca="1">IFERROR(__xludf.DUMMYFUNCTION("IF(Z129 = """", """", GOOGLETRANSLATE(Z129, ""en"", ""mr""))"),"संभाव्य पदोन्नती किंवा प्रशंसा")</f>
        <v>संभाव्य पदोन्नती किंवा प्रशंसा</v>
      </c>
      <c r="AI129" s="5" t="str">
        <f ca="1">IFERROR(__xludf.DUMMYFUNCTION("IF(AA129 = """", """", GOOGLETRANSLATE(AA129, ""en"", ""mr""))"),"आदर लाभ")</f>
        <v>आदर लाभ</v>
      </c>
      <c r="AJ129" s="5" t="str">
        <f ca="1">IFERROR(__xludf.DUMMYFUNCTION("IF(AB129 = """", """", GOOGLETRANSLATE(AB129, ""en"", ""mr""))"),"")</f>
        <v/>
      </c>
      <c r="AK129" s="5" t="str">
        <f ca="1">IFERROR(__xludf.DUMMYFUNCTION("IF(Y129 = """", """", GOOGLETRANSLATE(Y129, ""en"", ""gu""))"),"નવી નોકરી અથવા ગ્રાહક તકો")</f>
        <v>નવી નોકરી અથવા ગ્રાહક તકો</v>
      </c>
      <c r="AL129" s="5" t="str">
        <f ca="1">IFERROR(__xludf.DUMMYFUNCTION("IF(Z129 = """", """", GOOGLETRANSLATE(Z129, ""en"", ""gu""))"),"સંભવિત પ્રમોશન અથવા પ્રશંસા")</f>
        <v>સંભવિત પ્રમોશન અથવા પ્રશંસા</v>
      </c>
      <c r="AM129" s="5" t="str">
        <f ca="1">IFERROR(__xludf.DUMMYFUNCTION("IF(AA129 = """", """", GOOGLETRANSLATE(AA129, ""en"", ""gu""))"),"આદર લાભ")</f>
        <v>આદર લાભ</v>
      </c>
      <c r="AN129" s="5" t="str">
        <f ca="1">IFERROR(__xludf.DUMMYFUNCTION("IF(AB129 = """", """", GOOGLETRANSLATE(AB129, ""en"", ""gu""))"),"")</f>
        <v/>
      </c>
      <c r="AO129" s="5" t="str">
        <f ca="1">IFERROR(__xludf.DUMMYFUNCTION("IF(Y129 = """", """", GOOGLETRANSLATE(Y129, ""en"", ""bn""))"),"নতুন চাকরি বা ক্লায়েন্টের সুযোগ")</f>
        <v>নতুন চাকরি বা ক্লায়েন্টের সুযোগ</v>
      </c>
      <c r="AP129" s="5" t="str">
        <f ca="1">IFERROR(__xludf.DUMMYFUNCTION("IF(Z129 = """", """", GOOGLETRANSLATE(Z129, ""en"", ""bn""))"),"সম্ভাব্য পদোন্নতি বা প্রশংসা")</f>
        <v>সম্ভাব্য পদোন্নতি বা প্রশংসা</v>
      </c>
      <c r="AQ129" s="5" t="str">
        <f ca="1">IFERROR(__xludf.DUMMYFUNCTION("IF(AA129 = """", """", GOOGLETRANSLATE(AA129, ""en"", ""bn""))"),"সম্মান লাভ")</f>
        <v>সম্মান লাভ</v>
      </c>
      <c r="AR129" s="5" t="str">
        <f ca="1">IFERROR(__xludf.DUMMYFUNCTION("IF(AB129 = """", """", GOOGLETRANSLATE(AB129, ""en"", ""bn""))"),"")</f>
        <v/>
      </c>
      <c r="AU129" s="5" t="str">
        <f ca="1">IFERROR(__xludf.DUMMYFUNCTION("IF(Y129 = """", """", GOOGLETRANSLATE(Y129, ""en"", ""te""))"),"కొత్త ఉద్యోగం లేదా క్లయింట్ అవకాశాలు")</f>
        <v>కొత్త ఉద్యోగం లేదా క్లయింట్ అవకాశాలు</v>
      </c>
      <c r="AV129" s="5" t="str">
        <f ca="1">IFERROR(__xludf.DUMMYFUNCTION("IF(Z129 = """", """", GOOGLETRANSLATE(Z129, ""en"", ""te""))"),"సాధ్యమైన ప్రమోషన్ లేదా ప్రశంసలు")</f>
        <v>సాధ్యమైన ప్రమోషన్ లేదా ప్రశంసలు</v>
      </c>
      <c r="AW129" s="5" t="str">
        <f ca="1">IFERROR(__xludf.DUMMYFUNCTION("IF(AA129 = """", """", GOOGLETRANSLATE(AA129, ""en"", ""te""))"),"గౌరవం లాభం")</f>
        <v>గౌరవం లాభం</v>
      </c>
      <c r="AX129" s="5" t="str">
        <f ca="1">IFERROR(__xludf.DUMMYFUNCTION("IF(AB129 = """", """", GOOGLETRANSLATE(AB129, ""en"", ""te""))"),"")</f>
        <v/>
      </c>
    </row>
    <row r="130" spans="1:50" x14ac:dyDescent="0.25">
      <c r="A130" s="1">
        <v>143</v>
      </c>
      <c r="B130" s="1" t="s">
        <v>56</v>
      </c>
      <c r="C130" s="8">
        <v>45834</v>
      </c>
      <c r="D130" s="8">
        <v>45834</v>
      </c>
      <c r="E130" s="1">
        <v>3</v>
      </c>
      <c r="F130" s="1">
        <v>1</v>
      </c>
      <c r="G130" s="3" t="s">
        <v>457</v>
      </c>
      <c r="H130" s="4">
        <v>8.0439814814814818E-3</v>
      </c>
      <c r="I130" s="4">
        <v>2.1064814814814813E-3</v>
      </c>
      <c r="J130" s="4">
        <v>2.8009259259259259E-3</v>
      </c>
      <c r="K130" s="1" t="s">
        <v>58</v>
      </c>
      <c r="L130" s="1" t="s">
        <v>97</v>
      </c>
      <c r="M130" s="1" t="s">
        <v>14</v>
      </c>
      <c r="O130" s="1" t="s">
        <v>61</v>
      </c>
      <c r="P130" s="1" t="s">
        <v>61</v>
      </c>
      <c r="Q130" s="1" t="s">
        <v>61</v>
      </c>
      <c r="R130" s="1" t="s">
        <v>61</v>
      </c>
      <c r="S130" s="1" t="s">
        <v>61</v>
      </c>
      <c r="T130" s="1" t="s">
        <v>61</v>
      </c>
      <c r="V130" s="1" t="s">
        <v>61</v>
      </c>
      <c r="W130" s="1" t="s">
        <v>61</v>
      </c>
      <c r="X130" s="1" t="s">
        <v>61</v>
      </c>
      <c r="Y130" s="1" t="s">
        <v>464</v>
      </c>
      <c r="Z130" s="1" t="s">
        <v>465</v>
      </c>
      <c r="AA130" s="1" t="s">
        <v>466</v>
      </c>
      <c r="AB130" s="1"/>
      <c r="AC130" s="5" t="str">
        <f ca="1">IFERROR(__xludf.DUMMYFUNCTION("IF(Y130 = """", """", GOOGLETRANSLATE(Y130, ""en"", ""hi""))
"),"अचानक वित्तीय लाभ")</f>
        <v>अचानक वित्तीय लाभ</v>
      </c>
      <c r="AD130" s="5" t="str">
        <f ca="1">IFERROR(__xludf.DUMMYFUNCTION("IF(Z130 = """", """", GOOGLETRANSLATE(Z130, ""en"", ""hi""))"),"उधार दिए गए धन की वसूली")</f>
        <v>उधार दिए गए धन की वसूली</v>
      </c>
      <c r="AE130" s="5" t="str">
        <f ca="1">IFERROR(__xludf.DUMMYFUNCTION("IF(AA130 = """", """", GOOGLETRANSLATE(AA130, ""en"", ""hi""))"),"मीठी वाणी सफलता लाती है")</f>
        <v>मीठी वाणी सफलता लाती है</v>
      </c>
      <c r="AF130" s="5" t="str">
        <f ca="1">IFERROR(__xludf.DUMMYFUNCTION("IF(AB130 = """", """", GOOGLETRANSLATE(AB130, ""en"", ""hi""))"),"")</f>
        <v/>
      </c>
      <c r="AG130" s="5" t="str">
        <f ca="1">IFERROR(__xludf.DUMMYFUNCTION("IF(Y130 = """", """", GOOGLETRANSLATE(Y130, ""en"", ""mr""))"),"अचानक आर्थिक लाभ")</f>
        <v>अचानक आर्थिक लाभ</v>
      </c>
      <c r="AH130" s="5" t="str">
        <f ca="1">IFERROR(__xludf.DUMMYFUNCTION("IF(Z130 = """", """", GOOGLETRANSLATE(Z130, ""en"", ""mr""))"),"उधारीच्या पैशाची वसुली")</f>
        <v>उधारीच्या पैशाची वसुली</v>
      </c>
      <c r="AI130" s="5" t="str">
        <f ca="1">IFERROR(__xludf.DUMMYFUNCTION("IF(AA130 = """", """", GOOGLETRANSLATE(AA130, ""en"", ""mr""))"),"गोड बोलण्याने यश मिळते")</f>
        <v>गोड बोलण्याने यश मिळते</v>
      </c>
      <c r="AJ130" s="5" t="str">
        <f ca="1">IFERROR(__xludf.DUMMYFUNCTION("IF(AB130 = """", """", GOOGLETRANSLATE(AB130, ""en"", ""mr""))"),"")</f>
        <v/>
      </c>
      <c r="AK130" s="5" t="str">
        <f ca="1">IFERROR(__xludf.DUMMYFUNCTION("IF(Y130 = """", """", GOOGLETRANSLATE(Y130, ""en"", ""gu""))"),"અચાનક આર્થિક લાભ થાય")</f>
        <v>અચાનક આર્થિક લાભ થાય</v>
      </c>
      <c r="AL130" s="5" t="str">
        <f ca="1">IFERROR(__xludf.DUMMYFUNCTION("IF(Z130 = """", """", GOOGLETRANSLATE(Z130, ""en"", ""gu""))"),"ઉછીના પૈસાની વસૂલાત")</f>
        <v>ઉછીના પૈસાની વસૂલાત</v>
      </c>
      <c r="AM130" s="5" t="str">
        <f ca="1">IFERROR(__xludf.DUMMYFUNCTION("IF(AA130 = """", """", GOOGLETRANSLATE(AA130, ""en"", ""gu""))"),"મીઠી વાણીથી સફળતા મળે")</f>
        <v>મીઠી વાણીથી સફળતા મળે</v>
      </c>
      <c r="AN130" s="5" t="str">
        <f ca="1">IFERROR(__xludf.DUMMYFUNCTION("IF(AB130 = """", """", GOOGLETRANSLATE(AB130, ""en"", ""gu""))"),"")</f>
        <v/>
      </c>
      <c r="AO130" s="5" t="str">
        <f ca="1">IFERROR(__xludf.DUMMYFUNCTION("IF(Y130 = """", """", GOOGLETRANSLATE(Y130, ""en"", ""bn""))"),"হঠাৎ আর্থিক লাভ")</f>
        <v>হঠাৎ আর্থিক লাভ</v>
      </c>
      <c r="AP130" s="5" t="str">
        <f ca="1">IFERROR(__xludf.DUMMYFUNCTION("IF(Z130 = """", """", GOOGLETRANSLATE(Z130, ""en"", ""bn""))"),"ধারের টাকা পুনরুদ্ধার")</f>
        <v>ধারের টাকা পুনরুদ্ধার</v>
      </c>
      <c r="AQ130" s="5" t="str">
        <f ca="1">IFERROR(__xludf.DUMMYFUNCTION("IF(AA130 = """", """", GOOGLETRANSLATE(AA130, ""en"", ""bn""))"),"মিষ্টি কথাবার্তা সাফল্য এনে দেয়")</f>
        <v>মিষ্টি কথাবার্তা সাফল্য এনে দেয়</v>
      </c>
      <c r="AR130" s="5" t="str">
        <f ca="1">IFERROR(__xludf.DUMMYFUNCTION("IF(AB130 = """", """", GOOGLETRANSLATE(AB130, ""en"", ""bn""))"),"")</f>
        <v/>
      </c>
      <c r="AU130" s="5" t="str">
        <f ca="1">IFERROR(__xludf.DUMMYFUNCTION("IF(Y130 = """", """", GOOGLETRANSLATE(Y130, ""en"", ""te""))"),"ఆకస్మిక ధనలాభం")</f>
        <v>ఆకస్మిక ధనలాభం</v>
      </c>
      <c r="AV130" s="5" t="str">
        <f ca="1">IFERROR(__xludf.DUMMYFUNCTION("IF(Z130 = """", """", GOOGLETRANSLATE(Z130, ""en"", ""te""))"),"అప్పుగా ఇచ్చిన డబ్బు రికవరీ")</f>
        <v>అప్పుగా ఇచ్చిన డబ్బు రికవరీ</v>
      </c>
      <c r="AW130" s="5" t="str">
        <f ca="1">IFERROR(__xludf.DUMMYFUNCTION("IF(AA130 = """", """", GOOGLETRANSLATE(AA130, ""en"", ""te""))"),"మధురమైన మాటలు విజయాన్ని అందిస్తాయి")</f>
        <v>మధురమైన మాటలు విజయాన్ని అందిస్తాయి</v>
      </c>
      <c r="AX130" s="5" t="str">
        <f ca="1">IFERROR(__xludf.DUMMYFUNCTION("IF(AB130 = """", """", GOOGLETRANSLATE(AB130, ""en"", ""te""))"),"")</f>
        <v/>
      </c>
    </row>
    <row r="131" spans="1:50" x14ac:dyDescent="0.25">
      <c r="A131" s="1">
        <v>144</v>
      </c>
      <c r="B131" s="1" t="s">
        <v>56</v>
      </c>
      <c r="C131" s="8">
        <v>45834</v>
      </c>
      <c r="D131" s="8">
        <v>45834</v>
      </c>
      <c r="E131" s="1">
        <v>4</v>
      </c>
      <c r="F131" s="1">
        <v>1</v>
      </c>
      <c r="G131" s="3" t="s">
        <v>457</v>
      </c>
      <c r="H131" s="4">
        <v>8.0439814814814818E-3</v>
      </c>
      <c r="I131" s="4">
        <v>2.8009259259259259E-3</v>
      </c>
      <c r="J131" s="4">
        <v>3.5069444444444445E-3</v>
      </c>
      <c r="K131" s="1" t="s">
        <v>58</v>
      </c>
      <c r="L131" s="1" t="s">
        <v>102</v>
      </c>
      <c r="M131" s="1" t="s">
        <v>14</v>
      </c>
      <c r="O131" s="1" t="s">
        <v>61</v>
      </c>
      <c r="P131" s="1" t="s">
        <v>61</v>
      </c>
      <c r="Q131" s="1" t="s">
        <v>61</v>
      </c>
      <c r="R131" s="1" t="s">
        <v>61</v>
      </c>
      <c r="S131" s="1" t="s">
        <v>61</v>
      </c>
      <c r="T131" s="1" t="s">
        <v>61</v>
      </c>
      <c r="V131" s="1" t="s">
        <v>61</v>
      </c>
      <c r="W131" s="1" t="s">
        <v>61</v>
      </c>
      <c r="X131" s="1" t="s">
        <v>61</v>
      </c>
      <c r="Y131" s="1" t="s">
        <v>467</v>
      </c>
      <c r="Z131" s="1" t="s">
        <v>468</v>
      </c>
      <c r="AA131" s="1" t="s">
        <v>469</v>
      </c>
      <c r="AB131" s="1"/>
      <c r="AC131" s="5" t="str">
        <f ca="1">IFERROR(__xludf.DUMMYFUNCTION("IF(Y131 = """", """", GOOGLETRANSLATE(Y131, ""en"", ""hi""))
"),"परिवार से संबंधित खर्च")</f>
        <v>परिवार से संबंधित खर्च</v>
      </c>
      <c r="AD131" s="5" t="str">
        <f ca="1">IFERROR(__xludf.DUMMYFUNCTION("IF(Z131 = """", """", GOOGLETRANSLATE(Z131, ""en"", ""hi""))"),"करीबी लोगों के साथ बहस से बचें")</f>
        <v>करीबी लोगों के साथ बहस से बचें</v>
      </c>
      <c r="AE131" s="5" t="str">
        <f ca="1">IFERROR(__xludf.DUMMYFUNCTION("IF(AA131 = """", """", GOOGLETRANSLATE(AA131, ""en"", ""hi""))"),"अन्यथा अच्छा दिन")</f>
        <v>अन्यथा अच्छा दिन</v>
      </c>
      <c r="AF131" s="5" t="str">
        <f ca="1">IFERROR(__xludf.DUMMYFUNCTION("IF(AB131 = """", """", GOOGLETRANSLATE(AB131, ""en"", ""hi""))"),"")</f>
        <v/>
      </c>
      <c r="AG131" s="5" t="str">
        <f ca="1">IFERROR(__xludf.DUMMYFUNCTION("IF(Y131 = """", """", GOOGLETRANSLATE(Y131, ""en"", ""mr""))"),"कुटुंबाशी संबंधित खर्च")</f>
        <v>कुटुंबाशी संबंधित खर्च</v>
      </c>
      <c r="AH131" s="5" t="str">
        <f ca="1">IFERROR(__xludf.DUMMYFUNCTION("IF(Z131 = """", """", GOOGLETRANSLATE(Z131, ""en"", ""mr""))"),"जवळच्या लोकांशी वाद टाळा")</f>
        <v>जवळच्या लोकांशी वाद टाळा</v>
      </c>
      <c r="AI131" s="5" t="str">
        <f ca="1">IFERROR(__xludf.DUMMYFUNCTION("IF(AA131 = """", """", GOOGLETRANSLATE(AA131, ""en"", ""mr""))"),"अन्यथा शुभ दिवस")</f>
        <v>अन्यथा शुभ दिवस</v>
      </c>
      <c r="AJ131" s="5" t="str">
        <f ca="1">IFERROR(__xludf.DUMMYFUNCTION("IF(AB131 = """", """", GOOGLETRANSLATE(AB131, ""en"", ""mr""))"),"")</f>
        <v/>
      </c>
      <c r="AK131" s="5" t="str">
        <f ca="1">IFERROR(__xludf.DUMMYFUNCTION("IF(Y131 = """", """", GOOGLETRANSLATE(Y131, ""en"", ""gu""))"),"પરિવારને લગતો ખર્ચ")</f>
        <v>પરિવારને લગતો ખર્ચ</v>
      </c>
      <c r="AL131" s="5" t="str">
        <f ca="1">IFERROR(__xludf.DUMMYFUNCTION("IF(Z131 = """", """", GOOGLETRANSLATE(Z131, ""en"", ""gu""))"),"નજીકના લોકો સાથે વાદવિવાદ ટાળો")</f>
        <v>નજીકના લોકો સાથે વાદવિવાદ ટાળો</v>
      </c>
      <c r="AM131" s="5" t="str">
        <f ca="1">IFERROR(__xludf.DUMMYFUNCTION("IF(AA131 = """", """", GOOGLETRANSLATE(AA131, ""en"", ""gu""))"),"અન્યથા શુભ દિવસ")</f>
        <v>અન્યથા શુભ દિવસ</v>
      </c>
      <c r="AN131" s="5" t="str">
        <f ca="1">IFERROR(__xludf.DUMMYFUNCTION("IF(AB131 = """", """", GOOGLETRANSLATE(AB131, ""en"", ""gu""))"),"")</f>
        <v/>
      </c>
      <c r="AO131" s="5" t="str">
        <f ca="1">IFERROR(__xludf.DUMMYFUNCTION("IF(Y131 = """", """", GOOGLETRANSLATE(Y131, ""en"", ""bn""))"),"পরিবার-সংক্রান্ত খরচ")</f>
        <v>পরিবার-সংক্রান্ত খরচ</v>
      </c>
      <c r="AP131" s="5" t="str">
        <f ca="1">IFERROR(__xludf.DUMMYFUNCTION("IF(Z131 = """", """", GOOGLETRANSLATE(Z131, ""en"", ""bn""))"),"কাছের লোকের সাথে তর্ক এড়িয়ে চলুন")</f>
        <v>কাছের লোকের সাথে তর্ক এড়িয়ে চলুন</v>
      </c>
      <c r="AQ131" s="5" t="str">
        <f ca="1">IFERROR(__xludf.DUMMYFUNCTION("IF(AA131 = """", """", GOOGLETRANSLATE(AA131, ""en"", ""bn""))"),"অন্যথায় শুভ দিন")</f>
        <v>অন্যথায় শুভ দিন</v>
      </c>
      <c r="AR131" s="5" t="str">
        <f ca="1">IFERROR(__xludf.DUMMYFUNCTION("IF(AB131 = """", """", GOOGLETRANSLATE(AB131, ""en"", ""bn""))"),"")</f>
        <v/>
      </c>
      <c r="AU131" s="5" t="str">
        <f ca="1">IFERROR(__xludf.DUMMYFUNCTION("IF(Y131 = """", """", GOOGLETRANSLATE(Y131, ""en"", ""te""))"),"కుటుంబ సంబంధిత ఖర్చులు")</f>
        <v>కుటుంబ సంబంధిత ఖర్చులు</v>
      </c>
      <c r="AV131" s="5" t="str">
        <f ca="1">IFERROR(__xludf.DUMMYFUNCTION("IF(Z131 = """", """", GOOGLETRANSLATE(Z131, ""en"", ""te""))"),"సన్నిహితులతో వాదనలకు దూరంగా ఉండండి")</f>
        <v>సన్నిహితులతో వాదనలకు దూరంగా ఉండండి</v>
      </c>
      <c r="AW131" s="5" t="str">
        <f ca="1">IFERROR(__xludf.DUMMYFUNCTION("IF(AA131 = """", """", GOOGLETRANSLATE(AA131, ""en"", ""te""))"),"లేకపోతే మంచి రోజు")</f>
        <v>లేకపోతే మంచి రోజు</v>
      </c>
      <c r="AX131" s="5" t="str">
        <f ca="1">IFERROR(__xludf.DUMMYFUNCTION("IF(AB131 = """", """", GOOGLETRANSLATE(AB131, ""en"", ""te""))"),"")</f>
        <v/>
      </c>
    </row>
    <row r="132" spans="1:50" x14ac:dyDescent="0.25">
      <c r="A132" s="1">
        <v>145</v>
      </c>
      <c r="B132" s="1" t="s">
        <v>56</v>
      </c>
      <c r="C132" s="8">
        <v>45834</v>
      </c>
      <c r="D132" s="8">
        <v>45834</v>
      </c>
      <c r="E132" s="1">
        <v>5</v>
      </c>
      <c r="F132" s="1">
        <v>1</v>
      </c>
      <c r="G132" s="3" t="s">
        <v>457</v>
      </c>
      <c r="H132" s="4">
        <v>8.0439814814814818E-3</v>
      </c>
      <c r="I132" s="4">
        <v>3.5069444444444445E-3</v>
      </c>
      <c r="J132" s="4">
        <v>4.0625000000000001E-3</v>
      </c>
      <c r="K132" s="1" t="s">
        <v>58</v>
      </c>
      <c r="L132" s="1" t="s">
        <v>108</v>
      </c>
      <c r="M132" s="1" t="s">
        <v>14</v>
      </c>
      <c r="O132" s="1" t="s">
        <v>61</v>
      </c>
      <c r="P132" s="1" t="s">
        <v>61</v>
      </c>
      <c r="Q132" s="1" t="s">
        <v>61</v>
      </c>
      <c r="R132" s="1" t="s">
        <v>61</v>
      </c>
      <c r="S132" s="1" t="s">
        <v>61</v>
      </c>
      <c r="T132" s="1" t="s">
        <v>61</v>
      </c>
      <c r="V132" s="1" t="s">
        <v>61</v>
      </c>
      <c r="W132" s="1" t="s">
        <v>61</v>
      </c>
      <c r="X132" s="1" t="s">
        <v>61</v>
      </c>
      <c r="Y132" s="1" t="s">
        <v>147</v>
      </c>
      <c r="Z132" s="1" t="s">
        <v>470</v>
      </c>
      <c r="AA132" s="1" t="s">
        <v>471</v>
      </c>
      <c r="AB132" s="1"/>
      <c r="AC132" s="5" t="str">
        <f ca="1">IFERROR(__xludf.DUMMYFUNCTION("IF(Y132 = """", """", GOOGLETRANSLATE(Y132, ""en"", ""hi""))
"),"नए करियर के अवसर")</f>
        <v>नए करियर के अवसर</v>
      </c>
      <c r="AD132" s="5" t="str">
        <f ca="1">IFERROR(__xludf.DUMMYFUNCTION("IF(Z132 = """", """", GOOGLETRANSLATE(Z132, ""en"", ""hi""))"),"जोखिम भरे वित्तीय सौदों से बचें")</f>
        <v>जोखिम भरे वित्तीय सौदों से बचें</v>
      </c>
      <c r="AE132" s="5" t="str">
        <f ca="1">IFERROR(__xludf.DUMMYFUNCTION("IF(AA132 = """", """", GOOGLETRANSLATE(AA132, ""en"", ""hi""))"),"स्वास्थ्य संबंधी सावधानियाँ आवश्यक")</f>
        <v>स्वास्थ्य संबंधी सावधानियाँ आवश्यक</v>
      </c>
      <c r="AF132" s="5" t="str">
        <f ca="1">IFERROR(__xludf.DUMMYFUNCTION("IF(AB132 = """", """", GOOGLETRANSLATE(AB132, ""en"", ""hi""))"),"")</f>
        <v/>
      </c>
      <c r="AG132" s="5" t="str">
        <f ca="1">IFERROR(__xludf.DUMMYFUNCTION("IF(Y132 = """", """", GOOGLETRANSLATE(Y132, ""en"", ""mr""))"),"करिअरच्या नवीन संधी")</f>
        <v>करिअरच्या नवीन संधी</v>
      </c>
      <c r="AH132" s="5" t="str">
        <f ca="1">IFERROR(__xludf.DUMMYFUNCTION("IF(Z132 = """", """", GOOGLETRANSLATE(Z132, ""en"", ""mr""))"),"धोकादायक आर्थिक व्यवहार टाळा")</f>
        <v>धोकादायक आर्थिक व्यवहार टाळा</v>
      </c>
      <c r="AI132" s="5" t="str">
        <f ca="1">IFERROR(__xludf.DUMMYFUNCTION("IF(AA132 = """", """", GOOGLETRANSLATE(AA132, ""en"", ""mr""))"),"आरोग्यविषयक खबरदारी आवश्यक")</f>
        <v>आरोग्यविषयक खबरदारी आवश्यक</v>
      </c>
      <c r="AJ132" s="5" t="str">
        <f ca="1">IFERROR(__xludf.DUMMYFUNCTION("IF(AB132 = """", """", GOOGLETRANSLATE(AB132, ""en"", ""mr""))"),"")</f>
        <v/>
      </c>
      <c r="AK132" s="5" t="str">
        <f ca="1">IFERROR(__xludf.DUMMYFUNCTION("IF(Y132 = """", """", GOOGLETRANSLATE(Y132, ""en"", ""gu""))"),"કારકિર્દીની નવી તકો")</f>
        <v>કારકિર્દીની નવી તકો</v>
      </c>
      <c r="AL132" s="5" t="str">
        <f ca="1">IFERROR(__xludf.DUMMYFUNCTION("IF(Z132 = """", """", GOOGLETRANSLATE(Z132, ""en"", ""gu""))"),"જોખમી નાણાકીય સોદા ટાળો")</f>
        <v>જોખમી નાણાકીય સોદા ટાળો</v>
      </c>
      <c r="AM132" s="5" t="str">
        <f ca="1">IFERROR(__xludf.DUMMYFUNCTION("IF(AA132 = """", """", GOOGLETRANSLATE(AA132, ""en"", ""gu""))"),"સ્વાસ્થ્ય સંબંધિત સાવચેતીઓ જરૂરી છે")</f>
        <v>સ્વાસ્થ્ય સંબંધિત સાવચેતીઓ જરૂરી છે</v>
      </c>
      <c r="AN132" s="5" t="str">
        <f ca="1">IFERROR(__xludf.DUMMYFUNCTION("IF(AB132 = """", """", GOOGLETRANSLATE(AB132, ""en"", ""gu""))"),"")</f>
        <v/>
      </c>
      <c r="AO132" s="5" t="str">
        <f ca="1">IFERROR(__xludf.DUMMYFUNCTION("IF(Y132 = """", """", GOOGLETRANSLATE(Y132, ""en"", ""bn""))"),"নতুন কর্মজীবনের সুযোগ")</f>
        <v>নতুন কর্মজীবনের সুযোগ</v>
      </c>
      <c r="AP132" s="5" t="str">
        <f ca="1">IFERROR(__xludf.DUMMYFUNCTION("IF(Z132 = """", """", GOOGLETRANSLATE(Z132, ""en"", ""bn""))"),"ঝুঁকিপূর্ণ আর্থিক লেনদেন এড়িয়ে চলুন")</f>
        <v>ঝুঁকিপূর্ণ আর্থিক লেনদেন এড়িয়ে চলুন</v>
      </c>
      <c r="AQ132" s="5" t="str">
        <f ca="1">IFERROR(__xludf.DUMMYFUNCTION("IF(AA132 = """", """", GOOGLETRANSLATE(AA132, ""en"", ""bn""))"),"স্বাস্থ্য সতর্কতা প্রয়োজন")</f>
        <v>স্বাস্থ্য সতর্কতা প্রয়োজন</v>
      </c>
      <c r="AR132" s="5" t="str">
        <f ca="1">IFERROR(__xludf.DUMMYFUNCTION("IF(AB132 = """", """", GOOGLETRANSLATE(AB132, ""en"", ""bn""))"),"")</f>
        <v/>
      </c>
      <c r="AU132" s="5" t="str">
        <f ca="1">IFERROR(__xludf.DUMMYFUNCTION("IF(Y132 = """", """", GOOGLETRANSLATE(Y132, ""en"", ""te""))"),"కొత్త కెరీర్ అవకాశాలు")</f>
        <v>కొత్త కెరీర్ అవకాశాలు</v>
      </c>
      <c r="AV132" s="5" t="str">
        <f ca="1">IFERROR(__xludf.DUMMYFUNCTION("IF(Z132 = """", """", GOOGLETRANSLATE(Z132, ""en"", ""te""))"),"ప్రమాదకర ఆర్థిక ఒప్పందాలను నివారించండి")</f>
        <v>ప్రమాదకర ఆర్థిక ఒప్పందాలను నివారించండి</v>
      </c>
      <c r="AW132" s="5" t="str">
        <f ca="1">IFERROR(__xludf.DUMMYFUNCTION("IF(AA132 = """", """", GOOGLETRANSLATE(AA132, ""en"", ""te""))"),"ఆరోగ్య జాగ్రత్తలు అవసరం")</f>
        <v>ఆరోగ్య జాగ్రత్తలు అవసరం</v>
      </c>
      <c r="AX132" s="5" t="str">
        <f ca="1">IFERROR(__xludf.DUMMYFUNCTION("IF(AB132 = """", """", GOOGLETRANSLATE(AB132, ""en"", ""te""))"),"")</f>
        <v/>
      </c>
    </row>
    <row r="133" spans="1:50" x14ac:dyDescent="0.25">
      <c r="A133" s="1">
        <v>146</v>
      </c>
      <c r="B133" s="1" t="s">
        <v>56</v>
      </c>
      <c r="C133" s="8">
        <v>45834</v>
      </c>
      <c r="D133" s="8">
        <v>45834</v>
      </c>
      <c r="E133" s="1">
        <v>6</v>
      </c>
      <c r="F133" s="1">
        <v>1</v>
      </c>
      <c r="G133" s="3" t="s">
        <v>457</v>
      </c>
      <c r="H133" s="4">
        <v>8.0439814814814818E-3</v>
      </c>
      <c r="I133" s="4">
        <v>4.0625000000000001E-3</v>
      </c>
      <c r="J133" s="4">
        <v>4.5486111111111109E-3</v>
      </c>
      <c r="K133" s="1" t="s">
        <v>58</v>
      </c>
      <c r="L133" s="1" t="s">
        <v>113</v>
      </c>
      <c r="M133" s="1" t="s">
        <v>14</v>
      </c>
      <c r="O133" s="1" t="s">
        <v>61</v>
      </c>
      <c r="P133" s="1" t="s">
        <v>61</v>
      </c>
      <c r="Q133" s="1" t="s">
        <v>61</v>
      </c>
      <c r="R133" s="1" t="s">
        <v>61</v>
      </c>
      <c r="S133" s="1" t="s">
        <v>61</v>
      </c>
      <c r="T133" s="1" t="s">
        <v>61</v>
      </c>
      <c r="V133" s="1" t="s">
        <v>61</v>
      </c>
      <c r="W133" s="1" t="s">
        <v>61</v>
      </c>
      <c r="X133" s="1" t="s">
        <v>61</v>
      </c>
      <c r="Y133" s="1" t="s">
        <v>472</v>
      </c>
      <c r="Z133" s="1" t="s">
        <v>365</v>
      </c>
      <c r="AA133" s="1" t="s">
        <v>473</v>
      </c>
      <c r="AB133" s="1"/>
      <c r="AC133" s="5" t="str">
        <f ca="1">IFERROR(__xludf.DUMMYFUNCTION("IF(Y133 = """", """", GOOGLETRANSLATE(Y133, ""en"", ""hi""))
"),"व्यस्त और भागदौड़ भरा दिन")</f>
        <v>व्यस्त और भागदौड़ भरा दिन</v>
      </c>
      <c r="AD133" s="5" t="str">
        <f ca="1">IFERROR(__xludf.DUMMYFUNCTION("IF(Z133 = """", """", GOOGLETRANSLATE(Z133, ""en"", ""hi""))"),"भारी कार्यभार")</f>
        <v>भारी कार्यभार</v>
      </c>
      <c r="AE133" s="5" t="str">
        <f ca="1">IFERROR(__xludf.DUMMYFUNCTION("IF(AA133 = """", """", GOOGLETRANSLATE(AA133, ""en"", ""hi""))"),"शाम तक संतुष्टि")</f>
        <v>शाम तक संतुष्टि</v>
      </c>
      <c r="AF133" s="5" t="str">
        <f ca="1">IFERROR(__xludf.DUMMYFUNCTION("IF(AB133 = """", """", GOOGLETRANSLATE(AB133, ""en"", ""hi""))"),"")</f>
        <v/>
      </c>
      <c r="AG133" s="5" t="str">
        <f ca="1">IFERROR(__xludf.DUMMYFUNCTION("IF(Y133 = """", """", GOOGLETRANSLATE(Y133, ""en"", ""mr""))"),"व्यस्त आणि व्यस्त दिवस")</f>
        <v>व्यस्त आणि व्यस्त दिवस</v>
      </c>
      <c r="AH133" s="5" t="str">
        <f ca="1">IFERROR(__xludf.DUMMYFUNCTION("IF(Z133 = """", """", GOOGLETRANSLATE(Z133, ""en"", ""mr""))"),"कामाचा प्रचंड ताण")</f>
        <v>कामाचा प्रचंड ताण</v>
      </c>
      <c r="AI133" s="5" t="str">
        <f ca="1">IFERROR(__xludf.DUMMYFUNCTION("IF(AA133 = """", """", GOOGLETRANSLATE(AA133, ""en"", ""mr""))"),"संध्याकाळपर्यंत समाधान")</f>
        <v>संध्याकाळपर्यंत समाधान</v>
      </c>
      <c r="AJ133" s="5" t="str">
        <f ca="1">IFERROR(__xludf.DUMMYFUNCTION("IF(AB133 = """", """", GOOGLETRANSLATE(AB133, ""en"", ""mr""))"),"")</f>
        <v/>
      </c>
      <c r="AK133" s="5" t="str">
        <f ca="1">IFERROR(__xludf.DUMMYFUNCTION("IF(Y133 = """", """", GOOGLETRANSLATE(Y133, ""en"", ""gu""))"),"વ્યસ્ત અને વ્યસ્ત દિવસ")</f>
        <v>વ્યસ્ત અને વ્યસ્ત દિવસ</v>
      </c>
      <c r="AL133" s="5" t="str">
        <f ca="1">IFERROR(__xludf.DUMMYFUNCTION("IF(Z133 = """", """", GOOGLETRANSLATE(Z133, ""en"", ""gu""))"),"ભારે કામનું ભારણ")</f>
        <v>ભારે કામનું ભારણ</v>
      </c>
      <c r="AM133" s="5" t="str">
        <f ca="1">IFERROR(__xludf.DUMMYFUNCTION("IF(AA133 = """", """", GOOGLETRANSLATE(AA133, ""en"", ""gu""))"),"સાંજ સુધીમાં સંતોષ")</f>
        <v>સાંજ સુધીમાં સંતોષ</v>
      </c>
      <c r="AN133" s="5" t="str">
        <f ca="1">IFERROR(__xludf.DUMMYFUNCTION("IF(AB133 = """", """", GOOGLETRANSLATE(AB133, ""en"", ""gu""))"),"")</f>
        <v/>
      </c>
      <c r="AO133" s="5" t="str">
        <f ca="1">IFERROR(__xludf.DUMMYFUNCTION("IF(Y133 = """", """", GOOGLETRANSLATE(Y133, ""en"", ""bn""))"),"ব্যস্ত ও ব্যস্ত দিন")</f>
        <v>ব্যস্ত ও ব্যস্ত দিন</v>
      </c>
      <c r="AP133" s="5" t="str">
        <f ca="1">IFERROR(__xludf.DUMMYFUNCTION("IF(Z133 = """", """", GOOGLETRANSLATE(Z133, ""en"", ""bn""))"),"ভারী কাজের চাপ")</f>
        <v>ভারী কাজের চাপ</v>
      </c>
      <c r="AQ133" s="5" t="str">
        <f ca="1">IFERROR(__xludf.DUMMYFUNCTION("IF(AA133 = """", """", GOOGLETRANSLATE(AA133, ""en"", ""bn""))"),"সন্ধ্যা নাগাদ তৃপ্তি")</f>
        <v>সন্ধ্যা নাগাদ তৃপ্তি</v>
      </c>
      <c r="AR133" s="5" t="str">
        <f ca="1">IFERROR(__xludf.DUMMYFUNCTION("IF(AB133 = """", """", GOOGLETRANSLATE(AB133, ""en"", ""bn""))"),"")</f>
        <v/>
      </c>
      <c r="AU133" s="5" t="str">
        <f ca="1">IFERROR(__xludf.DUMMYFUNCTION("IF(Y133 = """", """", GOOGLETRANSLATE(Y133, ""en"", ""te""))"),"బిజీగా మరియు తీవ్రమైన రోజు")</f>
        <v>బిజీగా మరియు తీవ్రమైన రోజు</v>
      </c>
      <c r="AV133" s="5" t="str">
        <f ca="1">IFERROR(__xludf.DUMMYFUNCTION("IF(Z133 = """", """", GOOGLETRANSLATE(Z133, ""en"", ""te""))"),"అధిక పనిభారం")</f>
        <v>అధిక పనిభారం</v>
      </c>
      <c r="AW133" s="5" t="str">
        <f ca="1">IFERROR(__xludf.DUMMYFUNCTION("IF(AA133 = """", """", GOOGLETRANSLATE(AA133, ""en"", ""te""))"),"సాయంత్రానికి సంతృప్తి")</f>
        <v>సాయంత్రానికి సంతృప్తి</v>
      </c>
      <c r="AX133" s="5" t="str">
        <f ca="1">IFERROR(__xludf.DUMMYFUNCTION("IF(AB133 = """", """", GOOGLETRANSLATE(AB133, ""en"", ""te""))"),"")</f>
        <v/>
      </c>
    </row>
    <row r="134" spans="1:50" x14ac:dyDescent="0.25">
      <c r="A134" s="1">
        <v>147</v>
      </c>
      <c r="B134" s="1" t="s">
        <v>56</v>
      </c>
      <c r="C134" s="8">
        <v>45834</v>
      </c>
      <c r="D134" s="8">
        <v>45834</v>
      </c>
      <c r="E134" s="1">
        <v>7</v>
      </c>
      <c r="F134" s="1">
        <v>1</v>
      </c>
      <c r="G134" s="3" t="s">
        <v>457</v>
      </c>
      <c r="H134" s="4">
        <v>8.0439814814814818E-3</v>
      </c>
      <c r="I134" s="4">
        <v>4.5486111111111109E-3</v>
      </c>
      <c r="J134" s="4">
        <v>4.8958333333333336E-3</v>
      </c>
      <c r="K134" s="1" t="s">
        <v>58</v>
      </c>
      <c r="L134" s="1" t="s">
        <v>64</v>
      </c>
      <c r="M134" s="1" t="s">
        <v>14</v>
      </c>
      <c r="O134" s="1" t="s">
        <v>61</v>
      </c>
      <c r="P134" s="1" t="s">
        <v>61</v>
      </c>
      <c r="Q134" s="1" t="s">
        <v>61</v>
      </c>
      <c r="R134" s="1" t="s">
        <v>61</v>
      </c>
      <c r="S134" s="1" t="s">
        <v>61</v>
      </c>
      <c r="T134" s="1" t="s">
        <v>61</v>
      </c>
      <c r="V134" s="1" t="s">
        <v>61</v>
      </c>
      <c r="W134" s="1" t="s">
        <v>61</v>
      </c>
      <c r="X134" s="1" t="s">
        <v>61</v>
      </c>
      <c r="Y134" s="1" t="s">
        <v>474</v>
      </c>
      <c r="Z134" s="1" t="s">
        <v>475</v>
      </c>
      <c r="AA134" s="1" t="s">
        <v>476</v>
      </c>
      <c r="AB134" s="1"/>
      <c r="AC134" s="5" t="str">
        <f ca="1">IFERROR(__xludf.DUMMYFUNCTION("IF(Y134 = """", """", GOOGLETRANSLATE(Y134, ""en"", ""hi""))
"),"महत्वपूर्ण कार्यों के लिए अच्छा")</f>
        <v>महत्वपूर्ण कार्यों के लिए अच्छा</v>
      </c>
      <c r="AD134" s="5" t="str">
        <f ca="1">IFERROR(__xludf.DUMMYFUNCTION("IF(Z134 = """", """", GOOGLETRANSLATE(Z134, ""en"", ""hi""))"),"नए करियर प्रस्ताव संभव")</f>
        <v>नए करियर प्रस्ताव संभव</v>
      </c>
      <c r="AE134" s="5" t="str">
        <f ca="1">IFERROR(__xludf.DUMMYFUNCTION("IF(AA134 = """", """", GOOGLETRANSLATE(AA134, ""en"", ""hi""))"),"स्वास्थ्य देखभाल करें")</f>
        <v>स्वास्थ्य देखभाल करें</v>
      </c>
      <c r="AF134" s="5" t="str">
        <f ca="1">IFERROR(__xludf.DUMMYFUNCTION("IF(AB134 = """", """", GOOGLETRANSLATE(AB134, ""en"", ""hi""))"),"")</f>
        <v/>
      </c>
      <c r="AG134" s="5" t="str">
        <f ca="1">IFERROR(__xludf.DUMMYFUNCTION("IF(Y134 = """", """", GOOGLETRANSLATE(Y134, ""en"", ""mr""))"),"महत्त्वाच्या कामांसाठी उत्तम")</f>
        <v>महत्त्वाच्या कामांसाठी उत्तम</v>
      </c>
      <c r="AH134" s="5" t="str">
        <f ca="1">IFERROR(__xludf.DUMMYFUNCTION("IF(Z134 = """", """", GOOGLETRANSLATE(Z134, ""en"", ""mr""))"),"नवीन करियर ऑफर शक्य")</f>
        <v>नवीन करियर ऑफर शक्य</v>
      </c>
      <c r="AI134" s="5" t="str">
        <f ca="1">IFERROR(__xludf.DUMMYFUNCTION("IF(AA134 = """", """", GOOGLETRANSLATE(AA134, ""en"", ""mr""))"),"आरोग्याची काळजी घ्या")</f>
        <v>आरोग्याची काळजी घ्या</v>
      </c>
      <c r="AJ134" s="5" t="str">
        <f ca="1">IFERROR(__xludf.DUMMYFUNCTION("IF(AB134 = """", """", GOOGLETRANSLATE(AB134, ""en"", ""mr""))"),"")</f>
        <v/>
      </c>
      <c r="AK134" s="5" t="str">
        <f ca="1">IFERROR(__xludf.DUMMYFUNCTION("IF(Y134 = """", """", GOOGLETRANSLATE(Y134, ""en"", ""gu""))"),"મહત્વપૂર્ણ કાર્યો માટે સારું")</f>
        <v>મહત્વપૂર્ણ કાર્યો માટે સારું</v>
      </c>
      <c r="AL134" s="5" t="str">
        <f ca="1">IFERROR(__xludf.DUMMYFUNCTION("IF(Z134 = """", """", GOOGLETRANSLATE(Z134, ""en"", ""gu""))"),"નવી કારકિર્દીની તકો શક્ય છે")</f>
        <v>નવી કારકિર્દીની તકો શક્ય છે</v>
      </c>
      <c r="AM134" s="5" t="str">
        <f ca="1">IFERROR(__xludf.DUMMYFUNCTION("IF(AA134 = """", """", GOOGLETRANSLATE(AA134, ""en"", ""gu""))"),"આરોગ્યની કાળજી લેવી")</f>
        <v>આરોગ્યની કાળજી લેવી</v>
      </c>
      <c r="AN134" s="5" t="str">
        <f ca="1">IFERROR(__xludf.DUMMYFUNCTION("IF(AB134 = """", """", GOOGLETRANSLATE(AB134, ""en"", ""gu""))"),"")</f>
        <v/>
      </c>
      <c r="AO134" s="5" t="str">
        <f ca="1">IFERROR(__xludf.DUMMYFUNCTION("IF(Y134 = """", """", GOOGLETRANSLATE(Y134, ""en"", ""bn""))"),"গুরুত্বপূর্ণ কাজের জন্য ভাল")</f>
        <v>গুরুত্বপূর্ণ কাজের জন্য ভাল</v>
      </c>
      <c r="AP134" s="5" t="str">
        <f ca="1">IFERROR(__xludf.DUMMYFUNCTION("IF(Z134 = """", """", GOOGLETRANSLATE(Z134, ""en"", ""bn""))"),"নতুন কর্মজীবনের অফার")</f>
        <v>নতুন কর্মজীবনের অফার</v>
      </c>
      <c r="AQ134" s="5" t="str">
        <f ca="1">IFERROR(__xludf.DUMMYFUNCTION("IF(AA134 = """", """", GOOGLETRANSLATE(AA134, ""en"", ""bn""))"),"স্বাস্থ্যের যত্ন নিন")</f>
        <v>স্বাস্থ্যের যত্ন নিন</v>
      </c>
      <c r="AR134" s="5" t="str">
        <f ca="1">IFERROR(__xludf.DUMMYFUNCTION("IF(AB134 = """", """", GOOGLETRANSLATE(AB134, ""en"", ""bn""))"),"")</f>
        <v/>
      </c>
      <c r="AU134" s="5" t="str">
        <f ca="1">IFERROR(__xludf.DUMMYFUNCTION("IF(Y134 = """", """", GOOGLETRANSLATE(Y134, ""en"", ""te""))"),"ముఖ్యమైన పనులకు అనుకూలం")</f>
        <v>ముఖ్యమైన పనులకు అనుకూలం</v>
      </c>
      <c r="AV134" s="5" t="str">
        <f ca="1">IFERROR(__xludf.DUMMYFUNCTION("IF(Z134 = """", """", GOOGLETRANSLATE(Z134, ""en"", ""te""))"),"కొత్త కెరీర్ ఆఫర్లు సాధ్యమే")</f>
        <v>కొత్త కెరీర్ ఆఫర్లు సాధ్యమే</v>
      </c>
      <c r="AW134" s="5" t="str">
        <f ca="1">IFERROR(__xludf.DUMMYFUNCTION("IF(AA134 = """", """", GOOGLETRANSLATE(AA134, ""en"", ""te""))"),"ఆరోగ్య సంరక్షణ తీసుకోండి")</f>
        <v>ఆరోగ్య సంరక్షణ తీసుకోండి</v>
      </c>
      <c r="AX134" s="5" t="str">
        <f ca="1">IFERROR(__xludf.DUMMYFUNCTION("IF(AB134 = """", """", GOOGLETRANSLATE(AB134, ""en"", ""te""))"),"")</f>
        <v/>
      </c>
    </row>
    <row r="135" spans="1:50" x14ac:dyDescent="0.25">
      <c r="A135" s="1">
        <v>148</v>
      </c>
      <c r="B135" s="1" t="s">
        <v>56</v>
      </c>
      <c r="C135" s="8">
        <v>45834</v>
      </c>
      <c r="D135" s="8">
        <v>45834</v>
      </c>
      <c r="E135" s="1">
        <v>8</v>
      </c>
      <c r="F135" s="1">
        <v>1</v>
      </c>
      <c r="G135" s="3" t="s">
        <v>457</v>
      </c>
      <c r="H135" s="4">
        <v>8.0439814814814818E-3</v>
      </c>
      <c r="I135" s="4">
        <v>4.8958333333333336E-3</v>
      </c>
      <c r="J135" s="4">
        <v>5.4513888888888893E-3</v>
      </c>
      <c r="K135" s="1" t="s">
        <v>58</v>
      </c>
      <c r="L135" s="1" t="s">
        <v>68</v>
      </c>
      <c r="M135" s="1" t="s">
        <v>19</v>
      </c>
      <c r="O135" s="1" t="s">
        <v>61</v>
      </c>
      <c r="P135" s="1" t="s">
        <v>61</v>
      </c>
      <c r="Q135" s="1" t="s">
        <v>61</v>
      </c>
      <c r="R135" s="1" t="s">
        <v>61</v>
      </c>
      <c r="S135" s="1" t="s">
        <v>61</v>
      </c>
      <c r="T135" s="1" t="s">
        <v>61</v>
      </c>
      <c r="V135" s="1" t="s">
        <v>61</v>
      </c>
      <c r="W135" s="1" t="s">
        <v>61</v>
      </c>
      <c r="X135" s="1" t="s">
        <v>61</v>
      </c>
      <c r="Y135" s="1" t="s">
        <v>477</v>
      </c>
      <c r="Z135" s="1" t="s">
        <v>279</v>
      </c>
      <c r="AA135" s="1" t="s">
        <v>478</v>
      </c>
      <c r="AB135" s="1"/>
      <c r="AC135" s="5" t="str">
        <f ca="1">IFERROR(__xludf.DUMMYFUNCTION("IF(Y135 = """", """", GOOGLETRANSLATE(Y135, ""en"", ""hi""))
"),"आवेगपूर्ण प्रतिक्रिया से बचें")</f>
        <v>आवेगपूर्ण प्रतिक्रिया से बचें</v>
      </c>
      <c r="AD135" s="5" t="str">
        <f ca="1">IFERROR(__xludf.DUMMYFUNCTION("IF(Z135 = """", """", GOOGLETRANSLATE(Z135, ""en"", ""hi""))"),"सुरक्षापूर्वक ड्राइव करें")</f>
        <v>सुरक्षापूर्वक ड्राइव करें</v>
      </c>
      <c r="AE135" s="5" t="str">
        <f ca="1">IFERROR(__xludf.DUMMYFUNCTION("IF(AA135 = """", """", GOOGLETRANSLATE(AA135, ""en"", ""hi""))"),"स्वास्थ्य संबंधी चिंताएँ संभव")</f>
        <v>स्वास्थ्य संबंधी चिंताएँ संभव</v>
      </c>
      <c r="AF135" s="5" t="str">
        <f ca="1">IFERROR(__xludf.DUMMYFUNCTION("IF(AB135 = """", """", GOOGLETRANSLATE(AB135, ""en"", ""hi""))"),"")</f>
        <v/>
      </c>
      <c r="AG135" s="5" t="str">
        <f ca="1">IFERROR(__xludf.DUMMYFUNCTION("IF(Y135 = """", """", GOOGLETRANSLATE(Y135, ""en"", ""mr""))"),"आवेगाने प्रतिक्रिया देणे टाळा")</f>
        <v>आवेगाने प्रतिक्रिया देणे टाळा</v>
      </c>
      <c r="AH135" s="5" t="str">
        <f ca="1">IFERROR(__xludf.DUMMYFUNCTION("IF(Z135 = """", """", GOOGLETRANSLATE(Z135, ""en"", ""mr""))"),"सुरक्षितपणे चालवा")</f>
        <v>सुरक्षितपणे चालवा</v>
      </c>
      <c r="AI135" s="5" t="str">
        <f ca="1">IFERROR(__xludf.DUMMYFUNCTION("IF(AA135 = """", """", GOOGLETRANSLATE(AA135, ""en"", ""mr""))"),"आरोग्याची चिंता संभवते")</f>
        <v>आरोग्याची चिंता संभवते</v>
      </c>
      <c r="AJ135" s="5" t="str">
        <f ca="1">IFERROR(__xludf.DUMMYFUNCTION("IF(AB135 = """", """", GOOGLETRANSLATE(AB135, ""en"", ""mr""))"),"")</f>
        <v/>
      </c>
      <c r="AK135" s="5" t="str">
        <f ca="1">IFERROR(__xludf.DUMMYFUNCTION("IF(Y135 = """", """", GOOGLETRANSLATE(Y135, ""en"", ""gu""))"),"આવેગજન્ય પ્રતિક્રિયા આપવાનું ટાળો")</f>
        <v>આવેગજન્ય પ્રતિક્રિયા આપવાનું ટાળો</v>
      </c>
      <c r="AL135" s="5" t="str">
        <f ca="1">IFERROR(__xludf.DUMMYFUNCTION("IF(Z135 = """", """", GOOGLETRANSLATE(Z135, ""en"", ""gu""))"),"સલામત રીતે વાહન ચલાવો")</f>
        <v>સલામત રીતે વાહન ચલાવો</v>
      </c>
      <c r="AM135" s="5" t="str">
        <f ca="1">IFERROR(__xludf.DUMMYFUNCTION("IF(AA135 = """", """", GOOGLETRANSLATE(AA135, ""en"", ""gu""))"),"સ્વાસ્થ્યની ચિંતા શક્ય છે")</f>
        <v>સ્વાસ્થ્યની ચિંતા શક્ય છે</v>
      </c>
      <c r="AN135" s="5" t="str">
        <f ca="1">IFERROR(__xludf.DUMMYFUNCTION("IF(AB135 = """", """", GOOGLETRANSLATE(AB135, ""en"", ""gu""))"),"")</f>
        <v/>
      </c>
      <c r="AO135" s="5" t="str">
        <f ca="1">IFERROR(__xludf.DUMMYFUNCTION("IF(Y135 = """", """", GOOGLETRANSLATE(Y135, ""en"", ""bn""))"),"আবেগপ্রবণভাবে প্রতিক্রিয়া করা এড়িয়ে চলুন")</f>
        <v>আবেগপ্রবণভাবে প্রতিক্রিয়া করা এড়িয়ে চলুন</v>
      </c>
      <c r="AP135" s="5" t="str">
        <f ca="1">IFERROR(__xludf.DUMMYFUNCTION("IF(Z135 = """", """", GOOGLETRANSLATE(Z135, ""en"", ""bn""))"),"নিরাপদে গাড়ি চালান")</f>
        <v>নিরাপদে গাড়ি চালান</v>
      </c>
      <c r="AQ135" s="5" t="str">
        <f ca="1">IFERROR(__xludf.DUMMYFUNCTION("IF(AA135 = """", """", GOOGLETRANSLATE(AA135, ""en"", ""bn""))"),"স্বাস্থ্য উদ্বেগ সম্ভব")</f>
        <v>স্বাস্থ্য উদ্বেগ সম্ভব</v>
      </c>
      <c r="AR135" s="5" t="str">
        <f ca="1">IFERROR(__xludf.DUMMYFUNCTION("IF(AB135 = """", """", GOOGLETRANSLATE(AB135, ""en"", ""bn""))"),"")</f>
        <v/>
      </c>
      <c r="AU135" s="5" t="str">
        <f ca="1">IFERROR(__xludf.DUMMYFUNCTION("IF(Y135 = """", """", GOOGLETRANSLATE(Y135, ""en"", ""te""))"),"హఠాత్తుగా స్పందించడం మానుకోండి")</f>
        <v>హఠాత్తుగా స్పందించడం మానుకోండి</v>
      </c>
      <c r="AV135" s="5" t="str">
        <f ca="1">IFERROR(__xludf.DUMMYFUNCTION("IF(Z135 = """", """", GOOGLETRANSLATE(Z135, ""en"", ""te""))"),"సురక్షితంగా డ్రైవ్ చేయండి")</f>
        <v>సురక్షితంగా డ్రైవ్ చేయండి</v>
      </c>
      <c r="AW135" s="5" t="str">
        <f ca="1">IFERROR(__xludf.DUMMYFUNCTION("IF(AA135 = """", """", GOOGLETRANSLATE(AA135, ""en"", ""te""))"),"ఆరోగ్య ఆందోళనలు సాధ్యమే")</f>
        <v>ఆరోగ్య ఆందోళనలు సాధ్యమే</v>
      </c>
      <c r="AX135" s="5" t="str">
        <f ca="1">IFERROR(__xludf.DUMMYFUNCTION("IF(AB135 = """", """", GOOGLETRANSLATE(AB135, ""en"", ""te""))"),"")</f>
        <v/>
      </c>
    </row>
    <row r="136" spans="1:50" x14ac:dyDescent="0.25">
      <c r="A136" s="1">
        <v>149</v>
      </c>
      <c r="B136" s="1" t="s">
        <v>56</v>
      </c>
      <c r="C136" s="8">
        <v>45834</v>
      </c>
      <c r="D136" s="8">
        <v>45834</v>
      </c>
      <c r="E136" s="1">
        <v>9</v>
      </c>
      <c r="F136" s="1">
        <v>1</v>
      </c>
      <c r="G136" s="3" t="s">
        <v>457</v>
      </c>
      <c r="H136" s="4">
        <v>8.0439814814814818E-3</v>
      </c>
      <c r="I136" s="4">
        <v>5.4513888888888893E-3</v>
      </c>
      <c r="J136" s="4">
        <v>6.4351851851851853E-3</v>
      </c>
      <c r="K136" s="1" t="s">
        <v>58</v>
      </c>
      <c r="L136" s="1" t="s">
        <v>72</v>
      </c>
      <c r="M136" s="1" t="s">
        <v>479</v>
      </c>
      <c r="O136" s="1" t="s">
        <v>61</v>
      </c>
      <c r="P136" s="1" t="s">
        <v>61</v>
      </c>
      <c r="Q136" s="1" t="s">
        <v>61</v>
      </c>
      <c r="R136" s="1" t="s">
        <v>61</v>
      </c>
      <c r="S136" s="1" t="s">
        <v>61</v>
      </c>
      <c r="T136" s="1" t="s">
        <v>61</v>
      </c>
      <c r="V136" s="1" t="s">
        <v>61</v>
      </c>
      <c r="W136" s="1" t="s">
        <v>61</v>
      </c>
      <c r="X136" s="1" t="s">
        <v>61</v>
      </c>
      <c r="Y136" s="1" t="s">
        <v>480</v>
      </c>
      <c r="Z136" s="1" t="s">
        <v>481</v>
      </c>
      <c r="AA136" s="1" t="s">
        <v>482</v>
      </c>
      <c r="AB136" s="1"/>
      <c r="AC136" s="5" t="str">
        <f ca="1">IFERROR(__xludf.DUMMYFUNCTION("IF(Y136 = """", """", GOOGLETRANSLATE(Y136, ""en"", ""hi""))
"),"तनावपूर्ण सप्ताह जारी")</f>
        <v>तनावपूर्ण सप्ताह जारी</v>
      </c>
      <c r="AD136" s="5" t="str">
        <f ca="1">IFERROR(__xludf.DUMMYFUNCTION("IF(Z136 = """", """", GOOGLETRANSLATE(Z136, ""en"", ""hi""))"),"आज ही बड़े फैसले लें")</f>
        <v>आज ही बड़े फैसले लें</v>
      </c>
      <c r="AE136" s="5" t="str">
        <f ca="1">IFERROR(__xludf.DUMMYFUNCTION("IF(AA136 = """", """", GOOGLETRANSLATE(AA136, ""en"", ""hi""))"),"पारिवारिक बहस से बचें")</f>
        <v>पारिवारिक बहस से बचें</v>
      </c>
      <c r="AF136" s="5" t="str">
        <f ca="1">IFERROR(__xludf.DUMMYFUNCTION("IF(AB136 = """", """", GOOGLETRANSLATE(AB136, ""en"", ""hi""))"),"")</f>
        <v/>
      </c>
      <c r="AG136" s="5" t="str">
        <f ca="1">IFERROR(__xludf.DUMMYFUNCTION("IF(Y136 = """", """", GOOGLETRANSLATE(Y136, ""en"", ""mr""))"),"तणावपूर्ण आठवडा चालू आहे")</f>
        <v>तणावपूर्ण आठवडा चालू आहे</v>
      </c>
      <c r="AH136" s="5" t="str">
        <f ca="1">IFERROR(__xludf.DUMMYFUNCTION("IF(Z136 = """", """", GOOGLETRANSLATE(Z136, ""en"", ""mr""))"),"आज मोठे निर्णय घ्या")</f>
        <v>आज मोठे निर्णय घ्या</v>
      </c>
      <c r="AI136" s="5" t="str">
        <f ca="1">IFERROR(__xludf.DUMMYFUNCTION("IF(AA136 = """", """", GOOGLETRANSLATE(AA136, ""en"", ""mr""))"),"कौटुंबिक वाद टाळा")</f>
        <v>कौटुंबिक वाद टाळा</v>
      </c>
      <c r="AJ136" s="5" t="str">
        <f ca="1">IFERROR(__xludf.DUMMYFUNCTION("IF(AB136 = """", """", GOOGLETRANSLATE(AB136, ""en"", ""mr""))"),"")</f>
        <v/>
      </c>
      <c r="AK136" s="5" t="str">
        <f ca="1">IFERROR(__xludf.DUMMYFUNCTION("IF(Y136 = """", """", GOOGLETRANSLATE(Y136, ""en"", ""gu""))"),"તણાવપૂર્ણ સપ્તાહ ચાલુ છે")</f>
        <v>તણાવપૂર્ણ સપ્તાહ ચાલુ છે</v>
      </c>
      <c r="AL136" s="5" t="str">
        <f ca="1">IFERROR(__xludf.DUMMYFUNCTION("IF(Z136 = """", """", GOOGLETRANSLATE(Z136, ""en"", ""gu""))"),"આજે મોટા નિર્ણયો લો")</f>
        <v>આજે મોટા નિર્ણયો લો</v>
      </c>
      <c r="AM136" s="5" t="str">
        <f ca="1">IFERROR(__xludf.DUMMYFUNCTION("IF(AA136 = """", """", GOOGLETRANSLATE(AA136, ""en"", ""gu""))"),"પારિવારિક વાદવિવાદ ટાળો")</f>
        <v>પારિવારિક વાદવિવાદ ટાળો</v>
      </c>
      <c r="AN136" s="5" t="str">
        <f ca="1">IFERROR(__xludf.DUMMYFUNCTION("IF(AB136 = """", """", GOOGLETRANSLATE(AB136, ""en"", ""gu""))"),"")</f>
        <v/>
      </c>
      <c r="AO136" s="5" t="str">
        <f ca="1">IFERROR(__xludf.DUMMYFUNCTION("IF(Y136 = """", """", GOOGLETRANSLATE(Y136, ""en"", ""bn""))"),"চলছে উত্তেজনাপূর্ণ সপ্তাহ")</f>
        <v>চলছে উত্তেজনাপূর্ণ সপ্তাহ</v>
      </c>
      <c r="AP136" s="5" t="str">
        <f ca="1">IFERROR(__xludf.DUMMYFUNCTION("IF(Z136 = """", """", GOOGLETRANSLATE(Z136, ""en"", ""bn""))"),"আজ বড় সিদ্ধান্ত নিন")</f>
        <v>আজ বড় সিদ্ধান্ত নিন</v>
      </c>
      <c r="AQ136" s="5" t="str">
        <f ca="1">IFERROR(__xludf.DUMMYFUNCTION("IF(AA136 = """", """", GOOGLETRANSLATE(AA136, ""en"", ""bn""))"),"পারিবারিক কলহ এড়িয়ে চলুন")</f>
        <v>পারিবারিক কলহ এড়িয়ে চলুন</v>
      </c>
      <c r="AR136" s="5" t="str">
        <f ca="1">IFERROR(__xludf.DUMMYFUNCTION("IF(AB136 = """", """", GOOGLETRANSLATE(AB136, ""en"", ""bn""))"),"")</f>
        <v/>
      </c>
      <c r="AU136" s="5" t="str">
        <f ca="1">IFERROR(__xludf.DUMMYFUNCTION("IF(Y136 = """", """", GOOGLETRANSLATE(Y136, ""en"", ""te""))"),"వారంలో ఉద్రిక్తత కొనసాగుతోంది")</f>
        <v>వారంలో ఉద్రిక్తత కొనసాగుతోంది</v>
      </c>
      <c r="AV136" s="5" t="str">
        <f ca="1">IFERROR(__xludf.DUMMYFUNCTION("IF(Z136 = """", """", GOOGLETRANSLATE(Z136, ""en"", ""te""))"),"ఈరోజు కీలక నిర్ణయాలు తీసుకోండి")</f>
        <v>ఈరోజు కీలక నిర్ణయాలు తీసుకోండి</v>
      </c>
      <c r="AW136" s="5" t="str">
        <f ca="1">IFERROR(__xludf.DUMMYFUNCTION("IF(AA136 = """", """", GOOGLETRANSLATE(AA136, ""en"", ""te""))"),"కుటుంబ వివాదాలకు దూరంగా ఉండండి")</f>
        <v>కుటుంబ వివాదాలకు దూరంగా ఉండండి</v>
      </c>
      <c r="AX136" s="5" t="str">
        <f ca="1">IFERROR(__xludf.DUMMYFUNCTION("IF(AB136 = """", """", GOOGLETRANSLATE(AB136, ""en"", ""te""))"),"")</f>
        <v/>
      </c>
    </row>
    <row r="137" spans="1:50" x14ac:dyDescent="0.25">
      <c r="A137" s="1">
        <v>150</v>
      </c>
      <c r="B137" s="1" t="s">
        <v>56</v>
      </c>
      <c r="C137" s="8">
        <v>45834</v>
      </c>
      <c r="D137" s="8">
        <v>45834</v>
      </c>
      <c r="E137" s="1">
        <v>10</v>
      </c>
      <c r="F137" s="1">
        <v>1</v>
      </c>
      <c r="G137" s="3" t="s">
        <v>457</v>
      </c>
      <c r="H137" s="4">
        <v>8.0439814814814818E-3</v>
      </c>
      <c r="I137" s="4">
        <v>6.4351851851851853E-3</v>
      </c>
      <c r="J137" s="4">
        <v>6.875E-3</v>
      </c>
      <c r="K137" s="1" t="s">
        <v>58</v>
      </c>
      <c r="L137" s="1" t="s">
        <v>76</v>
      </c>
      <c r="M137" s="1" t="s">
        <v>14</v>
      </c>
      <c r="O137" s="1" t="s">
        <v>61</v>
      </c>
      <c r="P137" s="1" t="s">
        <v>61</v>
      </c>
      <c r="Q137" s="1" t="s">
        <v>61</v>
      </c>
      <c r="R137" s="1" t="s">
        <v>61</v>
      </c>
      <c r="S137" s="1" t="s">
        <v>61</v>
      </c>
      <c r="T137" s="1" t="s">
        <v>61</v>
      </c>
      <c r="V137" s="1" t="s">
        <v>61</v>
      </c>
      <c r="W137" s="1" t="s">
        <v>61</v>
      </c>
      <c r="X137" s="1" t="s">
        <v>61</v>
      </c>
      <c r="Y137" s="1" t="s">
        <v>483</v>
      </c>
      <c r="Z137" s="1" t="s">
        <v>484</v>
      </c>
      <c r="AA137" s="1" t="s">
        <v>485</v>
      </c>
      <c r="AB137" s="1"/>
      <c r="AC137" s="5" t="str">
        <f ca="1">IFERROR(__xludf.DUMMYFUNCTION("IF(Y137 = """", """", GOOGLETRANSLATE(Y137, ""en"", ""hi""))
"),"लंबित कार्यों को पूरा करें")</f>
        <v>लंबित कार्यों को पूरा करें</v>
      </c>
      <c r="AD137" s="5" t="str">
        <f ca="1">IFERROR(__xludf.DUMMYFUNCTION("IF(Z137 = """", """", GOOGLETRANSLATE(Z137, ""en"", ""hi""))"),"आलस्य से बचें")</f>
        <v>आलस्य से बचें</v>
      </c>
      <c r="AE137" s="5" t="str">
        <f ca="1">IFERROR(__xludf.DUMMYFUNCTION("IF(AA137 = """", """", GOOGLETRANSLATE(AA137, ""en"", ""hi""))"),"बेहतर परिणामों के लिए अपने दिन की योजना बनाएं")</f>
        <v>बेहतर परिणामों के लिए अपने दिन की योजना बनाएं</v>
      </c>
      <c r="AF137" s="5" t="str">
        <f ca="1">IFERROR(__xludf.DUMMYFUNCTION("IF(AB137 = """", """", GOOGLETRANSLATE(AB137, ""en"", ""hi""))"),"")</f>
        <v/>
      </c>
      <c r="AG137" s="5" t="str">
        <f ca="1">IFERROR(__xludf.DUMMYFUNCTION("IF(Y137 = """", """", GOOGLETRANSLATE(Y137, ""en"", ""mr""))"),"प्रलंबित कामे पूर्ण करा")</f>
        <v>प्रलंबित कामे पूर्ण करा</v>
      </c>
      <c r="AH137" s="5" t="str">
        <f ca="1">IFERROR(__xludf.DUMMYFUNCTION("IF(Z137 = """", """", GOOGLETRANSLATE(Z137, ""en"", ""mr""))"),"आळस टाळा")</f>
        <v>आळस टाळा</v>
      </c>
      <c r="AI137" s="5" t="str">
        <f ca="1">IFERROR(__xludf.DUMMYFUNCTION("IF(AA137 = """", """", GOOGLETRANSLATE(AA137, ""en"", ""mr""))"),"चांगल्या परिणामांसाठी तुमच्या दिवसाची योजना करा")</f>
        <v>चांगल्या परिणामांसाठी तुमच्या दिवसाची योजना करा</v>
      </c>
      <c r="AJ137" s="5" t="str">
        <f ca="1">IFERROR(__xludf.DUMMYFUNCTION("IF(AB137 = """", """", GOOGLETRANSLATE(AB137, ""en"", ""mr""))"),"")</f>
        <v/>
      </c>
      <c r="AK137" s="5" t="str">
        <f ca="1">IFERROR(__xludf.DUMMYFUNCTION("IF(Y137 = """", """", GOOGLETRANSLATE(Y137, ""en"", ""gu""))"),"પેન્ડિંગ કાર્યો પૂર્ણ કરો")</f>
        <v>પેન્ડિંગ કાર્યો પૂર્ણ કરો</v>
      </c>
      <c r="AL137" s="5" t="str">
        <f ca="1">IFERROR(__xludf.DUMMYFUNCTION("IF(Z137 = """", """", GOOGLETRANSLATE(Z137, ""en"", ""gu""))"),"આળસ ટાળો")</f>
        <v>આળસ ટાળો</v>
      </c>
      <c r="AM137" s="5" t="str">
        <f ca="1">IFERROR(__xludf.DUMMYFUNCTION("IF(AA137 = """", """", GOOGLETRANSLATE(AA137, ""en"", ""gu""))"),"સારા પરિણામો માટે તમારા દિવસની યોજના બનાવો")</f>
        <v>સારા પરિણામો માટે તમારા દિવસની યોજના બનાવો</v>
      </c>
      <c r="AN137" s="5" t="str">
        <f ca="1">IFERROR(__xludf.DUMMYFUNCTION("IF(AB137 = """", """", GOOGLETRANSLATE(AB137, ""en"", ""gu""))"),"")</f>
        <v/>
      </c>
      <c r="AO137" s="5" t="str">
        <f ca="1">IFERROR(__xludf.DUMMYFUNCTION("IF(Y137 = """", """", GOOGLETRANSLATE(Y137, ""en"", ""bn""))"),"মুলতুবি কাজগুলি সম্পূর্ণ করুন")</f>
        <v>মুলতুবি কাজগুলি সম্পূর্ণ করুন</v>
      </c>
      <c r="AP137" s="5" t="str">
        <f ca="1">IFERROR(__xludf.DUMMYFUNCTION("IF(Z137 = """", """", GOOGLETRANSLATE(Z137, ""en"", ""bn""))"),"অলসতা পরিহার করুন")</f>
        <v>অলসতা পরিহার করুন</v>
      </c>
      <c r="AQ137" s="5" t="str">
        <f ca="1">IFERROR(__xludf.DUMMYFUNCTION("IF(AA137 = """", """", GOOGLETRANSLATE(AA137, ""en"", ""bn""))"),"ভাল ফলাফলের জন্য আপনার দিন পরিকল্পনা করুন")</f>
        <v>ভাল ফলাফলের জন্য আপনার দিন পরিকল্পনা করুন</v>
      </c>
      <c r="AR137" s="5" t="str">
        <f ca="1">IFERROR(__xludf.DUMMYFUNCTION("IF(AB137 = """", """", GOOGLETRANSLATE(AB137, ""en"", ""bn""))"),"")</f>
        <v/>
      </c>
      <c r="AU137" s="5" t="str">
        <f ca="1">IFERROR(__xludf.DUMMYFUNCTION("IF(Y137 = """", """", GOOGLETRANSLATE(Y137, ""en"", ""te""))"),"పెండింగ్‌లో ఉన్న పనులను పూర్తి చేయండి")</f>
        <v>పెండింగ్‌లో ఉన్న పనులను పూర్తి చేయండి</v>
      </c>
      <c r="AV137" s="5" t="str">
        <f ca="1">IFERROR(__xludf.DUMMYFUNCTION("IF(Z137 = """", """", GOOGLETRANSLATE(Z137, ""en"", ""te""))"),"సోమరితనం మానుకోండి")</f>
        <v>సోమరితనం మానుకోండి</v>
      </c>
      <c r="AW137" s="5" t="str">
        <f ca="1">IFERROR(__xludf.DUMMYFUNCTION("IF(AA137 = """", """", GOOGLETRANSLATE(AA137, ""en"", ""te""))"),"మెరుగైన ఫలితాల కోసం మీ రోజును ప్లాన్ చేసుకోండి")</f>
        <v>మెరుగైన ఫలితాల కోసం మీ రోజును ప్లాన్ చేసుకోండి</v>
      </c>
      <c r="AX137" s="5" t="str">
        <f ca="1">IFERROR(__xludf.DUMMYFUNCTION("IF(AB137 = """", """", GOOGLETRANSLATE(AB137, ""en"", ""te""))"),"")</f>
        <v/>
      </c>
    </row>
    <row r="138" spans="1:50" x14ac:dyDescent="0.25">
      <c r="A138" s="1">
        <v>151</v>
      </c>
      <c r="B138" s="1" t="s">
        <v>56</v>
      </c>
      <c r="C138" s="8">
        <v>45834</v>
      </c>
      <c r="D138" s="8">
        <v>45834</v>
      </c>
      <c r="E138" s="1">
        <v>11</v>
      </c>
      <c r="F138" s="1">
        <v>1</v>
      </c>
      <c r="G138" s="3" t="s">
        <v>457</v>
      </c>
      <c r="H138" s="4">
        <v>8.0439814814814818E-3</v>
      </c>
      <c r="I138" s="4">
        <v>6.875E-3</v>
      </c>
      <c r="J138" s="4">
        <v>7.2453703703703708E-3</v>
      </c>
      <c r="K138" s="1" t="s">
        <v>58</v>
      </c>
      <c r="L138" s="1" t="s">
        <v>79</v>
      </c>
      <c r="M138" s="1" t="s">
        <v>14</v>
      </c>
      <c r="O138" s="1" t="s">
        <v>61</v>
      </c>
      <c r="P138" s="1" t="s">
        <v>61</v>
      </c>
      <c r="Q138" s="1" t="s">
        <v>61</v>
      </c>
      <c r="R138" s="1" t="s">
        <v>61</v>
      </c>
      <c r="S138" s="1" t="s">
        <v>61</v>
      </c>
      <c r="T138" s="1" t="s">
        <v>61</v>
      </c>
      <c r="V138" s="1" t="s">
        <v>61</v>
      </c>
      <c r="W138" s="1" t="s">
        <v>61</v>
      </c>
      <c r="X138" s="1" t="s">
        <v>61</v>
      </c>
      <c r="Y138" s="1" t="s">
        <v>486</v>
      </c>
      <c r="Z138" s="1" t="s">
        <v>487</v>
      </c>
      <c r="AA138" s="1" t="s">
        <v>488</v>
      </c>
      <c r="AB138" s="1"/>
      <c r="AC138" s="5" t="str">
        <f ca="1">IFERROR(__xludf.DUMMYFUNCTION("IF(Y138 = """", """", GOOGLETRANSLATE(Y138, ""en"", ""hi""))
"),"नकारात्मक विचार हावी हो सकते हैं")</f>
        <v>नकारात्मक विचार हावी हो सकते हैं</v>
      </c>
      <c r="AD138" s="5" t="str">
        <f ca="1">IFERROR(__xludf.DUMMYFUNCTION("IF(Z138 = """", """", GOOGLETRANSLATE(Z138, ""en"", ""hi""))"),"धारणाओं से बचें")</f>
        <v>धारणाओं से बचें</v>
      </c>
      <c r="AE138" s="5" t="str">
        <f ca="1">IFERROR(__xludf.DUMMYFUNCTION("IF(AA138 = """", """", GOOGLETRANSLATE(AA138, ""en"", ""hi""))"),"शांत और संयमित रहें")</f>
        <v>शांत और संयमित रहें</v>
      </c>
      <c r="AF138" s="5" t="str">
        <f ca="1">IFERROR(__xludf.DUMMYFUNCTION("IF(AB138 = """", """", GOOGLETRANSLATE(AB138, ""en"", ""hi""))"),"")</f>
        <v/>
      </c>
      <c r="AG138" s="5" t="str">
        <f ca="1">IFERROR(__xludf.DUMMYFUNCTION("IF(Y138 = """", """", GOOGLETRANSLATE(Y138, ""en"", ""mr""))"),"नकारात्मक विचारांचे वर्चस्व राहील")</f>
        <v>नकारात्मक विचारांचे वर्चस्व राहील</v>
      </c>
      <c r="AH138" s="5" t="str">
        <f ca="1">IFERROR(__xludf.DUMMYFUNCTION("IF(Z138 = """", """", GOOGLETRANSLATE(Z138, ""en"", ""mr""))"),"गृहीतके टाळा")</f>
        <v>गृहीतके टाळा</v>
      </c>
      <c r="AI138" s="5" t="str">
        <f ca="1">IFERROR(__xludf.DUMMYFUNCTION("IF(AA138 = """", """", GOOGLETRANSLATE(AA138, ""en"", ""mr""))"),"शांत आणि संयमित राहा")</f>
        <v>शांत आणि संयमित राहा</v>
      </c>
      <c r="AJ138" s="5" t="str">
        <f ca="1">IFERROR(__xludf.DUMMYFUNCTION("IF(AB138 = """", """", GOOGLETRANSLATE(AB138, ""en"", ""mr""))"),"")</f>
        <v/>
      </c>
      <c r="AK138" s="5" t="str">
        <f ca="1">IFERROR(__xludf.DUMMYFUNCTION("IF(Y138 = """", """", GOOGLETRANSLATE(Y138, ""en"", ""gu""))"),"નકારાત્મક વિચારો હાવી થઈ શકે છે")</f>
        <v>નકારાત્મક વિચારો હાવી થઈ શકે છે</v>
      </c>
      <c r="AL138" s="5" t="str">
        <f ca="1">IFERROR(__xludf.DUMMYFUNCTION("IF(Z138 = """", """", GOOGLETRANSLATE(Z138, ""en"", ""gu""))"),"ધારણાઓ ટાળો")</f>
        <v>ધારણાઓ ટાળો</v>
      </c>
      <c r="AM138" s="5" t="str">
        <f ca="1">IFERROR(__xludf.DUMMYFUNCTION("IF(AA138 = """", """", GOOGLETRANSLATE(AA138, ""en"", ""gu""))"),"શાંત અને કંપોઝ રહો")</f>
        <v>શાંત અને કંપોઝ રહો</v>
      </c>
      <c r="AN138" s="5" t="str">
        <f ca="1">IFERROR(__xludf.DUMMYFUNCTION("IF(AB138 = """", """", GOOGLETRANSLATE(AB138, ""en"", ""gu""))"),"")</f>
        <v/>
      </c>
      <c r="AO138" s="5" t="str">
        <f ca="1">IFERROR(__xludf.DUMMYFUNCTION("IF(Y138 = """", """", GOOGLETRANSLATE(Y138, ""en"", ""bn""))"),"নেতিবাচক চিন্তা প্রাধান্য পেতে পারে")</f>
        <v>নেতিবাচক চিন্তা প্রাধান্য পেতে পারে</v>
      </c>
      <c r="AP138" s="5" t="str">
        <f ca="1">IFERROR(__xludf.DUMMYFUNCTION("IF(Z138 = """", """", GOOGLETRANSLATE(Z138, ""en"", ""bn""))"),"অনুমান এড়িয়ে চলুন")</f>
        <v>অনুমান এড়িয়ে চলুন</v>
      </c>
      <c r="AQ138" s="5" t="str">
        <f ca="1">IFERROR(__xludf.DUMMYFUNCTION("IF(AA138 = """", """", GOOGLETRANSLATE(AA138, ""en"", ""bn""))"),"শান্ত এবং সংযত থাকুন")</f>
        <v>শান্ত এবং সংযত থাকুন</v>
      </c>
      <c r="AR138" s="5" t="str">
        <f ca="1">IFERROR(__xludf.DUMMYFUNCTION("IF(AB138 = """", """", GOOGLETRANSLATE(AB138, ""en"", ""bn""))"),"")</f>
        <v/>
      </c>
      <c r="AU138" s="5" t="str">
        <f ca="1">IFERROR(__xludf.DUMMYFUNCTION("IF(Y138 = """", """", GOOGLETRANSLATE(Y138, ""en"", ""te""))"),"ప్రతికూల ఆలోచనలు ఆధిపత్యం చెలాయిస్తాయి")</f>
        <v>ప్రతికూల ఆలోచనలు ఆధిపత్యం చెలాయిస్తాయి</v>
      </c>
      <c r="AV138" s="5" t="str">
        <f ca="1">IFERROR(__xludf.DUMMYFUNCTION("IF(Z138 = """", """", GOOGLETRANSLATE(Z138, ""en"", ""te""))"),"ఊహలకు దూరంగా ఉండండి")</f>
        <v>ఊహలకు దూరంగా ఉండండి</v>
      </c>
      <c r="AW138" s="5" t="str">
        <f ca="1">IFERROR(__xludf.DUMMYFUNCTION("IF(AA138 = """", """", GOOGLETRANSLATE(AA138, ""en"", ""te""))"),"ప్రశాంతంగా మరియు కూర్చోండి")</f>
        <v>ప్రశాంతంగా మరియు కూర్చోండి</v>
      </c>
      <c r="AX138" s="5" t="str">
        <f ca="1">IFERROR(__xludf.DUMMYFUNCTION("IF(AB138 = """", """", GOOGLETRANSLATE(AB138, ""en"", ""te""))"),"")</f>
        <v/>
      </c>
    </row>
    <row r="139" spans="1:50" x14ac:dyDescent="0.25">
      <c r="A139" s="1">
        <v>152</v>
      </c>
      <c r="B139" s="1" t="s">
        <v>56</v>
      </c>
      <c r="C139" s="8">
        <v>45834</v>
      </c>
      <c r="D139" s="8">
        <v>45834</v>
      </c>
      <c r="E139" s="1">
        <v>12</v>
      </c>
      <c r="F139" s="1">
        <v>1</v>
      </c>
      <c r="G139" s="3" t="s">
        <v>457</v>
      </c>
      <c r="H139" s="4">
        <v>8.0439814814814818E-3</v>
      </c>
      <c r="I139" s="4">
        <v>7.2453703703703708E-3</v>
      </c>
      <c r="J139" s="4">
        <v>7.8703703703703696E-3</v>
      </c>
      <c r="K139" s="1" t="s">
        <v>58</v>
      </c>
      <c r="L139" s="1" t="s">
        <v>81</v>
      </c>
      <c r="M139" s="1" t="s">
        <v>19</v>
      </c>
      <c r="O139" s="1" t="s">
        <v>61</v>
      </c>
      <c r="P139" s="1" t="s">
        <v>61</v>
      </c>
      <c r="Q139" s="1" t="s">
        <v>61</v>
      </c>
      <c r="R139" s="1" t="s">
        <v>61</v>
      </c>
      <c r="S139" s="1" t="s">
        <v>61</v>
      </c>
      <c r="T139" s="1" t="s">
        <v>61</v>
      </c>
      <c r="V139" s="1" t="s">
        <v>61</v>
      </c>
      <c r="W139" s="1" t="s">
        <v>61</v>
      </c>
      <c r="X139" s="1" t="s">
        <v>61</v>
      </c>
      <c r="AB139" s="1"/>
      <c r="AC139" s="5" t="str">
        <f ca="1">IFERROR(__xludf.DUMMYFUNCTION("IF(Y139 = """", """", GOOGLETRANSLATE(Y139, ""en"", ""hi""))
"),"")</f>
        <v/>
      </c>
      <c r="AD139" s="5" t="str">
        <f ca="1">IFERROR(__xludf.DUMMYFUNCTION("IF(Z139 = """", """", GOOGLETRANSLATE(Z139, ""en"", ""hi""))"),"")</f>
        <v/>
      </c>
      <c r="AE139" s="5" t="str">
        <f ca="1">IFERROR(__xludf.DUMMYFUNCTION("IF(AA139 = """", """", GOOGLETRANSLATE(AA139, ""en"", ""hi""))"),"")</f>
        <v/>
      </c>
      <c r="AF139" s="5" t="str">
        <f ca="1">IFERROR(__xludf.DUMMYFUNCTION("IF(AB139 = """", """", GOOGLETRANSLATE(AB139, ""en"", ""hi""))"),"")</f>
        <v/>
      </c>
      <c r="AG139" s="5" t="str">
        <f ca="1">IFERROR(__xludf.DUMMYFUNCTION("IF(Y139 = """", """", GOOGLETRANSLATE(Y139, ""en"", ""mr""))"),"")</f>
        <v/>
      </c>
      <c r="AH139" s="5" t="str">
        <f ca="1">IFERROR(__xludf.DUMMYFUNCTION("IF(Z139 = """", """", GOOGLETRANSLATE(Z139, ""en"", ""mr""))"),"")</f>
        <v/>
      </c>
      <c r="AI139" s="5" t="str">
        <f ca="1">IFERROR(__xludf.DUMMYFUNCTION("IF(AA139 = """", """", GOOGLETRANSLATE(AA139, ""en"", ""mr""))"),"")</f>
        <v/>
      </c>
      <c r="AJ139" s="5" t="str">
        <f ca="1">IFERROR(__xludf.DUMMYFUNCTION("IF(AB139 = """", """", GOOGLETRANSLATE(AB139, ""en"", ""mr""))"),"")</f>
        <v/>
      </c>
      <c r="AK139" s="5" t="str">
        <f ca="1">IFERROR(__xludf.DUMMYFUNCTION("IF(Y139 = """", """", GOOGLETRANSLATE(Y139, ""en"", ""gu""))"),"")</f>
        <v/>
      </c>
      <c r="AL139" s="5" t="str">
        <f ca="1">IFERROR(__xludf.DUMMYFUNCTION("IF(Z139 = """", """", GOOGLETRANSLATE(Z139, ""en"", ""gu""))"),"")</f>
        <v/>
      </c>
      <c r="AM139" s="5" t="str">
        <f ca="1">IFERROR(__xludf.DUMMYFUNCTION("IF(AA139 = """", """", GOOGLETRANSLATE(AA139, ""en"", ""gu""))"),"")</f>
        <v/>
      </c>
      <c r="AN139" s="5" t="str">
        <f ca="1">IFERROR(__xludf.DUMMYFUNCTION("IF(AB139 = """", """", GOOGLETRANSLATE(AB139, ""en"", ""gu""))"),"")</f>
        <v/>
      </c>
      <c r="AO139" s="5" t="str">
        <f ca="1">IFERROR(__xludf.DUMMYFUNCTION("IF(Y139 = """", """", GOOGLETRANSLATE(Y139, ""en"", ""bn""))"),"")</f>
        <v/>
      </c>
      <c r="AP139" s="5" t="str">
        <f ca="1">IFERROR(__xludf.DUMMYFUNCTION("IF(Z139 = """", """", GOOGLETRANSLATE(Z139, ""en"", ""bn""))"),"")</f>
        <v/>
      </c>
      <c r="AQ139" s="5" t="str">
        <f ca="1">IFERROR(__xludf.DUMMYFUNCTION("IF(AA139 = """", """", GOOGLETRANSLATE(AA139, ""en"", ""bn""))"),"")</f>
        <v/>
      </c>
      <c r="AR139" s="5" t="str">
        <f ca="1">IFERROR(__xludf.DUMMYFUNCTION("IF(AB139 = """", """", GOOGLETRANSLATE(AB139, ""en"", ""bn""))"),"")</f>
        <v/>
      </c>
      <c r="AU139" s="5" t="str">
        <f ca="1">IFERROR(__xludf.DUMMYFUNCTION("IF(Y139 = """", """", GOOGLETRANSLATE(Y139, ""en"", ""te""))"),"")</f>
        <v/>
      </c>
      <c r="AV139" s="5" t="str">
        <f ca="1">IFERROR(__xludf.DUMMYFUNCTION("IF(Z139 = """", """", GOOGLETRANSLATE(Z139, ""en"", ""te""))"),"")</f>
        <v/>
      </c>
      <c r="AW139" s="5" t="str">
        <f ca="1">IFERROR(__xludf.DUMMYFUNCTION("IF(AA139 = """", """", GOOGLETRANSLATE(AA139, ""en"", ""te""))"),"")</f>
        <v/>
      </c>
      <c r="AX139" s="5" t="str">
        <f ca="1">IFERROR(__xludf.DUMMYFUNCTION("IF(AB139 = """", """", GOOGLETRANSLATE(AB139, ""en"", ""te""))"),"")</f>
        <v/>
      </c>
    </row>
    <row r="140" spans="1:50" x14ac:dyDescent="0.25">
      <c r="A140" s="1">
        <v>153</v>
      </c>
      <c r="B140" s="1" t="s">
        <v>56</v>
      </c>
      <c r="C140" s="8">
        <v>45834</v>
      </c>
      <c r="D140" s="8">
        <v>45834</v>
      </c>
      <c r="E140" s="1">
        <v>13</v>
      </c>
      <c r="F140" s="1">
        <v>1</v>
      </c>
      <c r="G140" s="3" t="s">
        <v>457</v>
      </c>
      <c r="H140" s="4">
        <v>8.0439814814814818E-3</v>
      </c>
      <c r="I140" s="4">
        <v>7.8703703703703696E-3</v>
      </c>
      <c r="J140" s="4">
        <v>8.0439814814814818E-3</v>
      </c>
      <c r="L140" s="1" t="s">
        <v>137</v>
      </c>
      <c r="O140" s="1" t="s">
        <v>61</v>
      </c>
      <c r="P140" s="1" t="s">
        <v>61</v>
      </c>
      <c r="Q140" s="1" t="s">
        <v>61</v>
      </c>
      <c r="R140" s="1" t="s">
        <v>61</v>
      </c>
      <c r="S140" s="1" t="s">
        <v>61</v>
      </c>
      <c r="T140" s="1" t="s">
        <v>61</v>
      </c>
      <c r="V140" s="1" t="s">
        <v>61</v>
      </c>
      <c r="W140" s="1" t="s">
        <v>61</v>
      </c>
      <c r="X140" s="1" t="s">
        <v>61</v>
      </c>
      <c r="AB140" s="1"/>
      <c r="AC140" s="5" t="str">
        <f ca="1">IFERROR(__xludf.DUMMYFUNCTION("IF(Y140 = """", """", GOOGLETRANSLATE(Y140, ""en"", ""hi""))
"),"")</f>
        <v/>
      </c>
      <c r="AD140" s="5" t="str">
        <f ca="1">IFERROR(__xludf.DUMMYFUNCTION("IF(Z140 = """", """", GOOGLETRANSLATE(Z140, ""en"", ""hi""))"),"")</f>
        <v/>
      </c>
      <c r="AE140" s="5" t="str">
        <f ca="1">IFERROR(__xludf.DUMMYFUNCTION("IF(AA140 = """", """", GOOGLETRANSLATE(AA140, ""en"", ""hi""))"),"")</f>
        <v/>
      </c>
      <c r="AF140" s="5" t="str">
        <f ca="1">IFERROR(__xludf.DUMMYFUNCTION("IF(AB140 = """", """", GOOGLETRANSLATE(AB140, ""en"", ""hi""))"),"")</f>
        <v/>
      </c>
      <c r="AG140" s="5" t="str">
        <f ca="1">IFERROR(__xludf.DUMMYFUNCTION("IF(Y140 = """", """", GOOGLETRANSLATE(Y140, ""en"", ""mr""))"),"")</f>
        <v/>
      </c>
      <c r="AH140" s="5" t="str">
        <f ca="1">IFERROR(__xludf.DUMMYFUNCTION("IF(Z140 = """", """", GOOGLETRANSLATE(Z140, ""en"", ""mr""))"),"")</f>
        <v/>
      </c>
      <c r="AI140" s="5" t="str">
        <f ca="1">IFERROR(__xludf.DUMMYFUNCTION("IF(AA140 = """", """", GOOGLETRANSLATE(AA140, ""en"", ""mr""))"),"")</f>
        <v/>
      </c>
      <c r="AJ140" s="5" t="str">
        <f ca="1">IFERROR(__xludf.DUMMYFUNCTION("IF(AB140 = """", """", GOOGLETRANSLATE(AB140, ""en"", ""mr""))"),"")</f>
        <v/>
      </c>
      <c r="AK140" s="5" t="str">
        <f ca="1">IFERROR(__xludf.DUMMYFUNCTION("IF(Y140 = """", """", GOOGLETRANSLATE(Y140, ""en"", ""gu""))"),"")</f>
        <v/>
      </c>
      <c r="AL140" s="5" t="str">
        <f ca="1">IFERROR(__xludf.DUMMYFUNCTION("IF(Z140 = """", """", GOOGLETRANSLATE(Z140, ""en"", ""gu""))"),"")</f>
        <v/>
      </c>
      <c r="AM140" s="5" t="str">
        <f ca="1">IFERROR(__xludf.DUMMYFUNCTION("IF(AA140 = """", """", GOOGLETRANSLATE(AA140, ""en"", ""gu""))"),"")</f>
        <v/>
      </c>
      <c r="AN140" s="5" t="str">
        <f ca="1">IFERROR(__xludf.DUMMYFUNCTION("IF(AB140 = """", """", GOOGLETRANSLATE(AB140, ""en"", ""gu""))"),"")</f>
        <v/>
      </c>
      <c r="AO140" s="5" t="str">
        <f ca="1">IFERROR(__xludf.DUMMYFUNCTION("IF(Y140 = """", """", GOOGLETRANSLATE(Y140, ""en"", ""bn""))"),"")</f>
        <v/>
      </c>
      <c r="AP140" s="5" t="str">
        <f ca="1">IFERROR(__xludf.DUMMYFUNCTION("IF(Z140 = """", """", GOOGLETRANSLATE(Z140, ""en"", ""bn""))"),"")</f>
        <v/>
      </c>
      <c r="AQ140" s="5" t="str">
        <f ca="1">IFERROR(__xludf.DUMMYFUNCTION("IF(AA140 = """", """", GOOGLETRANSLATE(AA140, ""en"", ""bn""))"),"")</f>
        <v/>
      </c>
      <c r="AR140" s="5" t="str">
        <f ca="1">IFERROR(__xludf.DUMMYFUNCTION("IF(AB140 = """", """", GOOGLETRANSLATE(AB140, ""en"", ""bn""))"),"")</f>
        <v/>
      </c>
      <c r="AU140" s="5" t="str">
        <f ca="1">IFERROR(__xludf.DUMMYFUNCTION("IF(Y140 = """", """", GOOGLETRANSLATE(Y140, ""en"", ""te""))"),"")</f>
        <v/>
      </c>
      <c r="AV140" s="5" t="str">
        <f ca="1">IFERROR(__xludf.DUMMYFUNCTION("IF(Z140 = """", """", GOOGLETRANSLATE(Z140, ""en"", ""te""))"),"")</f>
        <v/>
      </c>
      <c r="AW140" s="5" t="str">
        <f ca="1">IFERROR(__xludf.DUMMYFUNCTION("IF(AA140 = """", """", GOOGLETRANSLATE(AA140, ""en"", ""te""))"),"")</f>
        <v/>
      </c>
      <c r="AX140" s="5" t="str">
        <f ca="1">IFERROR(__xludf.DUMMYFUNCTION("IF(AB140 = """", """", GOOGLETRANSLATE(AB140, ""en"", ""te""))"),"")</f>
        <v/>
      </c>
    </row>
    <row r="141" spans="1:50" x14ac:dyDescent="0.25">
      <c r="A141" s="1">
        <v>154</v>
      </c>
      <c r="B141" s="1" t="s">
        <v>56</v>
      </c>
      <c r="C141" s="8">
        <v>45835</v>
      </c>
      <c r="D141" s="8">
        <v>45835</v>
      </c>
      <c r="E141" s="1">
        <v>0</v>
      </c>
      <c r="F141" s="1">
        <v>1</v>
      </c>
      <c r="G141" s="3" t="s">
        <v>489</v>
      </c>
      <c r="H141" s="4">
        <v>1.0011574074074074E-2</v>
      </c>
      <c r="I141" s="4">
        <v>0</v>
      </c>
      <c r="J141" s="4">
        <v>1.7708333333333332E-3</v>
      </c>
      <c r="K141" s="1" t="s">
        <v>58</v>
      </c>
      <c r="L141" s="1" t="s">
        <v>59</v>
      </c>
      <c r="O141" s="1" t="s">
        <v>61</v>
      </c>
      <c r="P141" s="1" t="s">
        <v>61</v>
      </c>
      <c r="Q141" s="1" t="s">
        <v>61</v>
      </c>
      <c r="R141" s="1" t="s">
        <v>61</v>
      </c>
      <c r="S141" s="1" t="s">
        <v>61</v>
      </c>
      <c r="T141" s="1" t="s">
        <v>61</v>
      </c>
      <c r="V141" s="1" t="s">
        <v>61</v>
      </c>
      <c r="W141" s="1" t="s">
        <v>61</v>
      </c>
      <c r="X141" s="1" t="s">
        <v>61</v>
      </c>
      <c r="AB141" s="1"/>
      <c r="AC141" s="5" t="str">
        <f ca="1">IFERROR(__xludf.DUMMYFUNCTION("IF(Y141 = """", """", GOOGLETRANSLATE(Y141, ""en"", ""hi""))
"),"")</f>
        <v/>
      </c>
      <c r="AD141" s="5" t="str">
        <f ca="1">IFERROR(__xludf.DUMMYFUNCTION("IF(Z141 = """", """", GOOGLETRANSLATE(Z141, ""en"", ""hi""))"),"")</f>
        <v/>
      </c>
      <c r="AE141" s="5" t="str">
        <f ca="1">IFERROR(__xludf.DUMMYFUNCTION("IF(AA141 = """", """", GOOGLETRANSLATE(AA141, ""en"", ""hi""))"),"")</f>
        <v/>
      </c>
      <c r="AF141" s="5" t="str">
        <f ca="1">IFERROR(__xludf.DUMMYFUNCTION("IF(AB141 = """", """", GOOGLETRANSLATE(AB141, ""en"", ""hi""))"),"")</f>
        <v/>
      </c>
      <c r="AG141" s="5" t="str">
        <f ca="1">IFERROR(__xludf.DUMMYFUNCTION("IF(Y141 = """", """", GOOGLETRANSLATE(Y141, ""en"", ""mr""))"),"")</f>
        <v/>
      </c>
      <c r="AH141" s="5" t="str">
        <f ca="1">IFERROR(__xludf.DUMMYFUNCTION("IF(Z141 = """", """", GOOGLETRANSLATE(Z141, ""en"", ""mr""))"),"")</f>
        <v/>
      </c>
      <c r="AI141" s="5" t="str">
        <f ca="1">IFERROR(__xludf.DUMMYFUNCTION("IF(AA141 = """", """", GOOGLETRANSLATE(AA141, ""en"", ""mr""))"),"")</f>
        <v/>
      </c>
      <c r="AJ141" s="5" t="str">
        <f ca="1">IFERROR(__xludf.DUMMYFUNCTION("IF(AB141 = """", """", GOOGLETRANSLATE(AB141, ""en"", ""mr""))"),"")</f>
        <v/>
      </c>
      <c r="AK141" s="5" t="str">
        <f ca="1">IFERROR(__xludf.DUMMYFUNCTION("IF(Y141 = """", """", GOOGLETRANSLATE(Y141, ""en"", ""gu""))"),"")</f>
        <v/>
      </c>
      <c r="AL141" s="5" t="str">
        <f ca="1">IFERROR(__xludf.DUMMYFUNCTION("IF(Z141 = """", """", GOOGLETRANSLATE(Z141, ""en"", ""gu""))"),"")</f>
        <v/>
      </c>
      <c r="AM141" s="5" t="str">
        <f ca="1">IFERROR(__xludf.DUMMYFUNCTION("IF(AA141 = """", """", GOOGLETRANSLATE(AA141, ""en"", ""gu""))"),"")</f>
        <v/>
      </c>
      <c r="AN141" s="5" t="str">
        <f ca="1">IFERROR(__xludf.DUMMYFUNCTION("IF(AB141 = """", """", GOOGLETRANSLATE(AB141, ""en"", ""gu""))"),"")</f>
        <v/>
      </c>
      <c r="AO141" s="5" t="str">
        <f ca="1">IFERROR(__xludf.DUMMYFUNCTION("IF(Y141 = """", """", GOOGLETRANSLATE(Y141, ""en"", ""bn""))"),"")</f>
        <v/>
      </c>
      <c r="AP141" s="5" t="str">
        <f ca="1">IFERROR(__xludf.DUMMYFUNCTION("IF(Z141 = """", """", GOOGLETRANSLATE(Z141, ""en"", ""bn""))"),"")</f>
        <v/>
      </c>
      <c r="AQ141" s="5" t="str">
        <f ca="1">IFERROR(__xludf.DUMMYFUNCTION("IF(AA141 = """", """", GOOGLETRANSLATE(AA141, ""en"", ""bn""))"),"")</f>
        <v/>
      </c>
      <c r="AR141" s="5" t="str">
        <f ca="1">IFERROR(__xludf.DUMMYFUNCTION("IF(AB141 = """", """", GOOGLETRANSLATE(AB141, ""en"", ""bn""))"),"")</f>
        <v/>
      </c>
      <c r="AU141" s="5" t="str">
        <f ca="1">IFERROR(__xludf.DUMMYFUNCTION("IF(Y141 = """", """", GOOGLETRANSLATE(Y141, ""en"", ""te""))"),"")</f>
        <v/>
      </c>
      <c r="AV141" s="5" t="str">
        <f ca="1">IFERROR(__xludf.DUMMYFUNCTION("IF(Z141 = """", """", GOOGLETRANSLATE(Z141, ""en"", ""te""))"),"")</f>
        <v/>
      </c>
      <c r="AW141" s="5" t="str">
        <f ca="1">IFERROR(__xludf.DUMMYFUNCTION("IF(AA141 = """", """", GOOGLETRANSLATE(AA141, ""en"", ""te""))"),"")</f>
        <v/>
      </c>
      <c r="AX141" s="5" t="str">
        <f ca="1">IFERROR(__xludf.DUMMYFUNCTION("IF(AB141 = """", """", GOOGLETRANSLATE(AB141, ""en"", ""te""))"),"")</f>
        <v/>
      </c>
    </row>
    <row r="142" spans="1:50" x14ac:dyDescent="0.25">
      <c r="A142" s="1">
        <v>155</v>
      </c>
      <c r="B142" s="1" t="s">
        <v>56</v>
      </c>
      <c r="C142" s="8">
        <v>45835</v>
      </c>
      <c r="D142" s="8">
        <v>45835</v>
      </c>
      <c r="E142" s="1">
        <v>1</v>
      </c>
      <c r="F142" s="1">
        <v>1</v>
      </c>
      <c r="G142" s="3" t="s">
        <v>489</v>
      </c>
      <c r="H142" s="4">
        <v>1.0011574074074074E-2</v>
      </c>
      <c r="I142" s="4">
        <v>1.7708333333333332E-3</v>
      </c>
      <c r="J142" s="4">
        <v>2.5347222222222221E-3</v>
      </c>
      <c r="K142" s="1" t="s">
        <v>58</v>
      </c>
      <c r="L142" s="1" t="s">
        <v>142</v>
      </c>
      <c r="M142" s="1" t="s">
        <v>490</v>
      </c>
      <c r="O142" s="1" t="s">
        <v>61</v>
      </c>
      <c r="P142" s="1" t="s">
        <v>61</v>
      </c>
      <c r="Q142" s="1" t="s">
        <v>61</v>
      </c>
      <c r="R142" s="1" t="s">
        <v>61</v>
      </c>
      <c r="S142" s="1" t="s">
        <v>61</v>
      </c>
      <c r="T142" s="1" t="s">
        <v>61</v>
      </c>
      <c r="V142" s="1" t="s">
        <v>61</v>
      </c>
      <c r="W142" s="1" t="s">
        <v>61</v>
      </c>
      <c r="X142" s="1" t="s">
        <v>61</v>
      </c>
      <c r="Y142" s="1" t="s">
        <v>186</v>
      </c>
      <c r="Z142" s="1" t="s">
        <v>491</v>
      </c>
      <c r="AA142" s="1" t="s">
        <v>492</v>
      </c>
      <c r="AB142" s="1" t="s">
        <v>493</v>
      </c>
      <c r="AC142" s="5" t="str">
        <f ca="1">IFERROR(__xludf.DUMMYFUNCTION("IF(Y142 = """", """", GOOGLETRANSLATE(Y142, ""en"", ""hi""))
"),"बहस से बचें")</f>
        <v>बहस से बचें</v>
      </c>
      <c r="AD142" s="5" t="str">
        <f ca="1">IFERROR(__xludf.DUMMYFUNCTION("IF(Z142 = """", """", GOOGLETRANSLATE(Z142, ""en"", ""hi""))"),"स्वास्थ्य संबंधी सावधानी")</f>
        <v>स्वास्थ्य संबंधी सावधानी</v>
      </c>
      <c r="AE142" s="5" t="str">
        <f ca="1">IFERROR(__xludf.DUMMYFUNCTION("IF(AA142 = """", """", GOOGLETRANSLATE(AA142, ""en"", ""hi""))"),"केवल नियमित कार्य")</f>
        <v>केवल नियमित कार्य</v>
      </c>
      <c r="AF142" s="5" t="str">
        <f ca="1">IFERROR(__xludf.DUMMYFUNCTION("IF(AB142 = """", """", GOOGLETRANSLATE(AB142, ""en"", ""hi""))"),"तनाव को चतुराई से संभालें")</f>
        <v>तनाव को चतुराई से संभालें</v>
      </c>
      <c r="AG142" s="5" t="str">
        <f ca="1">IFERROR(__xludf.DUMMYFUNCTION("IF(Y142 = """", """", GOOGLETRANSLATE(Y142, ""en"", ""mr""))"),"वाद टाळा")</f>
        <v>वाद टाळा</v>
      </c>
      <c r="AH142" s="5" t="str">
        <f ca="1">IFERROR(__xludf.DUMMYFUNCTION("IF(Z142 = """", """", GOOGLETRANSLATE(Z142, ""en"", ""mr""))"),"आरोग्याची खबरदारी")</f>
        <v>आरोग्याची खबरदारी</v>
      </c>
      <c r="AI142" s="5" t="str">
        <f ca="1">IFERROR(__xludf.DUMMYFUNCTION("IF(AA142 = """", """", GOOGLETRANSLATE(AA142, ""en"", ""mr""))"),"फक्त नित्याची कामे")</f>
        <v>फक्त नित्याची कामे</v>
      </c>
      <c r="AJ142" s="5" t="str">
        <f ca="1">IFERROR(__xludf.DUMMYFUNCTION("IF(AB142 = """", """", GOOGLETRANSLATE(AB142, ""en"", ""mr""))"),"तणाव कुशलतेने हाताळा")</f>
        <v>तणाव कुशलतेने हाताळा</v>
      </c>
      <c r="AK142" s="5" t="str">
        <f ca="1">IFERROR(__xludf.DUMMYFUNCTION("IF(Y142 = """", """", GOOGLETRANSLATE(Y142, ""en"", ""gu""))"),"દલીલો ટાળો")</f>
        <v>દલીલો ટાળો</v>
      </c>
      <c r="AL142" s="5" t="str">
        <f ca="1">IFERROR(__xludf.DUMMYFUNCTION("IF(Z142 = """", """", GOOGLETRANSLATE(Z142, ""en"", ""gu""))"),"સ્વાસ્થ્ય અંગે સાવચેતી રાખવી")</f>
        <v>સ્વાસ્થ્ય અંગે સાવચેતી રાખવી</v>
      </c>
      <c r="AM142" s="5" t="str">
        <f ca="1">IFERROR(__xludf.DUMMYFUNCTION("IF(AA142 = """", """", GOOGLETRANSLATE(AA142, ""en"", ""gu""))"),"માત્ર નિયમિત કાર્યો")</f>
        <v>માત્ર નિયમિત કાર્યો</v>
      </c>
      <c r="AN142" s="5" t="str">
        <f ca="1">IFERROR(__xludf.DUMMYFUNCTION("IF(AB142 = """", """", GOOGLETRANSLATE(AB142, ""en"", ""gu""))"),"તાણને કુનેહપૂર્વક હેન્ડલ કરો")</f>
        <v>તાણને કુનેહપૂર્વક હેન્ડલ કરો</v>
      </c>
      <c r="AO142" s="5" t="str">
        <f ca="1">IFERROR(__xludf.DUMMYFUNCTION("IF(Y142 = """", """", GOOGLETRANSLATE(Y142, ""en"", ""bn""))"),"তর্ক এড়িয়ে চলুন")</f>
        <v>তর্ক এড়িয়ে চলুন</v>
      </c>
      <c r="AP142" s="5" t="str">
        <f ca="1">IFERROR(__xludf.DUMMYFUNCTION("IF(Z142 = """", """", GOOGLETRANSLATE(Z142, ""en"", ""bn""))"),"স্বাস্থ্য সতর্কতা")</f>
        <v>স্বাস্থ্য সতর্কতা</v>
      </c>
      <c r="AQ142" s="5" t="str">
        <f ca="1">IFERROR(__xludf.DUMMYFUNCTION("IF(AA142 = """", """", GOOGLETRANSLATE(AA142, ""en"", ""bn""))"),"শুধুমাত্র রুটিন কাজ")</f>
        <v>শুধুমাত্র রুটিন কাজ</v>
      </c>
      <c r="AR142" s="5" t="str">
        <f ca="1">IFERROR(__xludf.DUMMYFUNCTION("IF(AB142 = """", """", GOOGLETRANSLATE(AB142, ""en"", ""bn""))"),"কৌশলে চাপ সামলান")</f>
        <v>কৌশলে চাপ সামলান</v>
      </c>
      <c r="AU142" s="5" t="str">
        <f ca="1">IFERROR(__xludf.DUMMYFUNCTION("IF(Y142 = """", """", GOOGLETRANSLATE(Y142, ""en"", ""te""))"),"వాదనలు మానుకోండి")</f>
        <v>వాదనలు మానుకోండి</v>
      </c>
      <c r="AV142" s="5" t="str">
        <f ca="1">IFERROR(__xludf.DUMMYFUNCTION("IF(Z142 = """", """", GOOGLETRANSLATE(Z142, ""en"", ""te""))"),"ఆరోగ్యం జాగ్రత్త")</f>
        <v>ఆరోగ్యం జాగ్రత్త</v>
      </c>
      <c r="AW142" s="5" t="str">
        <f ca="1">IFERROR(__xludf.DUMMYFUNCTION("IF(AA142 = """", """", GOOGLETRANSLATE(AA142, ""en"", ""te""))"),"రొటీన్ పనులు మాత్రమే")</f>
        <v>రొటీన్ పనులు మాత్రమే</v>
      </c>
      <c r="AX142" s="5" t="str">
        <f ca="1">IFERROR(__xludf.DUMMYFUNCTION("IF(AB142 = """", """", GOOGLETRANSLATE(AB142, ""en"", ""te""))"),"ఒత్తిడిని చాకచక్యంగా నిర్వహించండి")</f>
        <v>ఒత్తిడిని చాకచక్యంగా నిర్వహించండి</v>
      </c>
    </row>
    <row r="143" spans="1:50" x14ac:dyDescent="0.25">
      <c r="A143" s="1">
        <v>156</v>
      </c>
      <c r="B143" s="1" t="s">
        <v>56</v>
      </c>
      <c r="C143" s="8">
        <v>45835</v>
      </c>
      <c r="D143" s="8">
        <v>45835</v>
      </c>
      <c r="E143" s="1">
        <v>2</v>
      </c>
      <c r="F143" s="1">
        <v>1</v>
      </c>
      <c r="G143" s="3" t="s">
        <v>489</v>
      </c>
      <c r="H143" s="4">
        <v>1.0011574074074074E-2</v>
      </c>
      <c r="I143" s="4">
        <v>2.5347222222222221E-3</v>
      </c>
      <c r="J143" s="4">
        <v>3.0324074074074073E-3</v>
      </c>
      <c r="K143" s="1" t="s">
        <v>58</v>
      </c>
      <c r="L143" s="1" t="s">
        <v>90</v>
      </c>
      <c r="M143" s="1" t="s">
        <v>14</v>
      </c>
      <c r="O143" s="1" t="s">
        <v>61</v>
      </c>
      <c r="P143" s="1" t="s">
        <v>61</v>
      </c>
      <c r="Q143" s="1" t="s">
        <v>61</v>
      </c>
      <c r="R143" s="1" t="s">
        <v>61</v>
      </c>
      <c r="S143" s="1" t="s">
        <v>61</v>
      </c>
      <c r="T143" s="1" t="s">
        <v>61</v>
      </c>
      <c r="V143" s="1" t="s">
        <v>61</v>
      </c>
      <c r="W143" s="1" t="s">
        <v>61</v>
      </c>
      <c r="X143" s="1" t="s">
        <v>61</v>
      </c>
      <c r="Y143" s="1" t="s">
        <v>494</v>
      </c>
      <c r="Z143" s="1" t="s">
        <v>495</v>
      </c>
      <c r="AA143" s="1" t="s">
        <v>496</v>
      </c>
      <c r="AB143" s="1" t="s">
        <v>497</v>
      </c>
      <c r="AC143" s="5" t="str">
        <f ca="1">IFERROR(__xludf.DUMMYFUNCTION("IF(Y143 = """", """", GOOGLETRANSLATE(Y143, ""en"", ""hi""))
"),"परिवार का समर्थन")</f>
        <v>परिवार का समर्थन</v>
      </c>
      <c r="AD143" s="5" t="str">
        <f ca="1">IFERROR(__xludf.DUMMYFUNCTION("IF(Z143 = """", """", GOOGLETRANSLATE(Z143, ""en"", ""hi""))"),"कार्यक्रम की योजना संभावित")</f>
        <v>कार्यक्रम की योजना संभावित</v>
      </c>
      <c r="AE143" s="5" t="str">
        <f ca="1">IFERROR(__xludf.DUMMYFUNCTION("IF(AA143 = """", """", GOOGLETRANSLATE(AA143, ""en"", ""hi""))"),"आपके प्रयासों की प्रशंसा")</f>
        <v>आपके प्रयासों की प्रशंसा</v>
      </c>
      <c r="AF143" s="5" t="str">
        <f ca="1">IFERROR(__xludf.DUMMYFUNCTION("IF(AB143 = """", """", GOOGLETRANSLATE(AB143, ""en"", ""hi""))"),"करियर की अच्छी खबर")</f>
        <v>करियर की अच्छी खबर</v>
      </c>
      <c r="AG143" s="5" t="str">
        <f ca="1">IFERROR(__xludf.DUMMYFUNCTION("IF(Y143 = """", """", GOOGLETRANSLATE(Y143, ""en"", ""mr""))"),"कुटुंबाचा आधार मिळेल")</f>
        <v>कुटुंबाचा आधार मिळेल</v>
      </c>
      <c r="AH143" s="5" t="str">
        <f ca="1">IFERROR(__xludf.DUMMYFUNCTION("IF(Z143 = """", """", GOOGLETRANSLATE(Z143, ""en"", ""mr""))"),"कार्यक्रमाचे नियोजन होण्याची शक्यता आहे")</f>
        <v>कार्यक्रमाचे नियोजन होण्याची शक्यता आहे</v>
      </c>
      <c r="AI143" s="5" t="str">
        <f ca="1">IFERROR(__xludf.DUMMYFUNCTION("IF(AA143 = """", """", GOOGLETRANSLATE(AA143, ""en"", ""mr""))"),"तुमच्या प्रयत्नांची प्रशंसा")</f>
        <v>तुमच्या प्रयत्नांची प्रशंसा</v>
      </c>
      <c r="AJ143" s="5" t="str">
        <f ca="1">IFERROR(__xludf.DUMMYFUNCTION("IF(AB143 = """", """", GOOGLETRANSLATE(AB143, ""en"", ""mr""))"),"करिअरच्या चांगल्या बातम्या")</f>
        <v>करिअरच्या चांगल्या बातम्या</v>
      </c>
      <c r="AK143" s="5" t="str">
        <f ca="1">IFERROR(__xludf.DUMMYFUNCTION("IF(Y143 = """", """", GOOGLETRANSLATE(Y143, ""en"", ""gu""))"),"પરિવારનો સહયોગ મળે")</f>
        <v>પરિવારનો સહયોગ મળે</v>
      </c>
      <c r="AL143" s="5" t="str">
        <f ca="1">IFERROR(__xludf.DUMMYFUNCTION("IF(Z143 = """", """", GOOGLETRANSLATE(Z143, ""en"", ""gu""))"),"ઇવેન્ટનું આયોજન થવાની શક્યતા છે")</f>
        <v>ઇવેન્ટનું આયોજન થવાની શક્યતા છે</v>
      </c>
      <c r="AM143" s="5" t="str">
        <f ca="1">IFERROR(__xludf.DUMMYFUNCTION("IF(AA143 = """", """", GOOGLETRANSLATE(AA143, ""en"", ""gu""))"),"તમારા પ્રયત્નો માટે વખાણ")</f>
        <v>તમારા પ્રયત્નો માટે વખાણ</v>
      </c>
      <c r="AN143" s="5" t="str">
        <f ca="1">IFERROR(__xludf.DUMMYFUNCTION("IF(AB143 = """", """", GOOGLETRANSLATE(AB143, ""en"", ""gu""))"),"કારકિર્દીના સારા સમાચાર")</f>
        <v>કારકિર્દીના સારા સમાચાર</v>
      </c>
      <c r="AO143" s="5" t="str">
        <f ca="1">IFERROR(__xludf.DUMMYFUNCTION("IF(Y143 = """", """", GOOGLETRANSLATE(Y143, ""en"", ""bn""))"),"পরিবারের সমর্থন")</f>
        <v>পরিবারের সমর্থন</v>
      </c>
      <c r="AP143" s="5" t="str">
        <f ca="1">IFERROR(__xludf.DUMMYFUNCTION("IF(Z143 = """", """", GOOGLETRANSLATE(Z143, ""en"", ""bn""))"),"ইভেন্ট পরিকল্পনা সম্ভবত")</f>
        <v>ইভেন্ট পরিকল্পনা সম্ভবত</v>
      </c>
      <c r="AQ143" s="5" t="str">
        <f ca="1">IFERROR(__xludf.DUMMYFUNCTION("IF(AA143 = """", """", GOOGLETRANSLATE(AA143, ""en"", ""bn""))"),"আপনার প্রচেষ্টার জন্য প্রশংসা")</f>
        <v>আপনার প্রচেষ্টার জন্য প্রশংসা</v>
      </c>
      <c r="AR143" s="5" t="str">
        <f ca="1">IFERROR(__xludf.DUMMYFUNCTION("IF(AB143 = """", """", GOOGLETRANSLATE(AB143, ""en"", ""bn""))"),"ক্যারিয়ারের ভালো খবর")</f>
        <v>ক্যারিয়ারের ভালো খবর</v>
      </c>
      <c r="AU143" s="5" t="str">
        <f ca="1">IFERROR(__xludf.DUMMYFUNCTION("IF(Y143 = """", """", GOOGLETRANSLATE(Y143, ""en"", ""te""))"),"కుటుంబ మద్దతు")</f>
        <v>కుటుంబ మద్దతు</v>
      </c>
      <c r="AV143" s="5" t="str">
        <f ca="1">IFERROR(__xludf.DUMMYFUNCTION("IF(Z143 = """", """", GOOGLETRANSLATE(Z143, ""en"", ""te""))"),"ఈవెంట్ ప్లానింగ్ అవకాశం")</f>
        <v>ఈవెంట్ ప్లానింగ్ అవకాశం</v>
      </c>
      <c r="AW143" s="5" t="str">
        <f ca="1">IFERROR(__xludf.DUMMYFUNCTION("IF(AA143 = """", """", GOOGLETRANSLATE(AA143, ""en"", ""te""))"),"మీ ప్రయత్నాలకు ప్రశంసలు")</f>
        <v>మీ ప్రయత్నాలకు ప్రశంసలు</v>
      </c>
      <c r="AX143" s="5" t="str">
        <f ca="1">IFERROR(__xludf.DUMMYFUNCTION("IF(AB143 = """", """", GOOGLETRANSLATE(AB143, ""en"", ""te""))"),"కెరీర్‌లో శుభవార్త")</f>
        <v>కెరీర్‌లో శుభవార్త</v>
      </c>
    </row>
    <row r="144" spans="1:50" x14ac:dyDescent="0.25">
      <c r="A144" s="1">
        <v>157</v>
      </c>
      <c r="B144" s="1" t="s">
        <v>56</v>
      </c>
      <c r="C144" s="8">
        <v>45835</v>
      </c>
      <c r="D144" s="8">
        <v>45835</v>
      </c>
      <c r="E144" s="1">
        <v>3</v>
      </c>
      <c r="F144" s="1">
        <v>1</v>
      </c>
      <c r="G144" s="3" t="s">
        <v>489</v>
      </c>
      <c r="H144" s="4">
        <v>1.0011574074074074E-2</v>
      </c>
      <c r="I144" s="4">
        <v>3.0324074074074073E-3</v>
      </c>
      <c r="J144" s="4">
        <v>3.3796296296296296E-3</v>
      </c>
      <c r="K144" s="1" t="s">
        <v>58</v>
      </c>
      <c r="L144" s="1" t="s">
        <v>97</v>
      </c>
      <c r="M144" s="1" t="s">
        <v>14</v>
      </c>
      <c r="O144" s="1" t="s">
        <v>61</v>
      </c>
      <c r="P144" s="1" t="s">
        <v>61</v>
      </c>
      <c r="Q144" s="1" t="s">
        <v>61</v>
      </c>
      <c r="R144" s="1" t="s">
        <v>61</v>
      </c>
      <c r="S144" s="1" t="s">
        <v>61</v>
      </c>
      <c r="T144" s="1" t="s">
        <v>61</v>
      </c>
      <c r="V144" s="1" t="s">
        <v>61</v>
      </c>
      <c r="W144" s="1" t="s">
        <v>61</v>
      </c>
      <c r="X144" s="1" t="s">
        <v>61</v>
      </c>
      <c r="Y144" s="1" t="s">
        <v>498</v>
      </c>
      <c r="Z144" s="1" t="s">
        <v>499</v>
      </c>
      <c r="AA144" s="1" t="s">
        <v>500</v>
      </c>
      <c r="AB144" s="1"/>
      <c r="AC144" s="5" t="str">
        <f ca="1">IFERROR(__xludf.DUMMYFUNCTION("IF(Y144 = """", """", GOOGLETRANSLATE(Y144, ""en"", ""hi""))
"),"आराम पर खर्च करें")</f>
        <v>आराम पर खर्च करें</v>
      </c>
      <c r="AD144" s="5" t="str">
        <f ca="1">IFERROR(__xludf.DUMMYFUNCTION("IF(Z144 = """", """", GOOGLETRANSLATE(Z144, ""en"", ""hi""))"),"सप्ताह के लंबित कार्य को पूरा करें")</f>
        <v>सप्ताह के लंबित कार्य को पूरा करें</v>
      </c>
      <c r="AE144" s="5" t="str">
        <f ca="1">IFERROR(__xludf.DUMMYFUNCTION("IF(AA144 = """", """", GOOGLETRANSLATE(AA144, ""en"", ""hi""))"),"भविष्य की ठोस योजनाएँ बनाएँ")</f>
        <v>भविष्य की ठोस योजनाएँ बनाएँ</v>
      </c>
      <c r="AF144" s="5" t="str">
        <f ca="1">IFERROR(__xludf.DUMMYFUNCTION("IF(AB144 = """", """", GOOGLETRANSLATE(AB144, ""en"", ""hi""))"),"")</f>
        <v/>
      </c>
      <c r="AG144" s="5" t="str">
        <f ca="1">IFERROR(__xludf.DUMMYFUNCTION("IF(Y144 = """", """", GOOGLETRANSLATE(Y144, ""en"", ""mr""))"),"सुखसोयींवर खर्च कराल")</f>
        <v>सुखसोयींवर खर्च कराल</v>
      </c>
      <c r="AH144" s="5" t="str">
        <f ca="1">IFERROR(__xludf.DUMMYFUNCTION("IF(Z144 = """", """", GOOGLETRANSLATE(Z144, ""en"", ""mr""))"),"आठवड्यातील प्रलंबित कामे पूर्ण करा")</f>
        <v>आठवड्यातील प्रलंबित कामे पूर्ण करा</v>
      </c>
      <c r="AI144" s="5" t="str">
        <f ca="1">IFERROR(__xludf.DUMMYFUNCTION("IF(AA144 = """", """", GOOGLETRANSLATE(AA144, ""en"", ""mr""))"),"भविष्यातील ठोस योजना करा")</f>
        <v>भविष्यातील ठोस योजना करा</v>
      </c>
      <c r="AJ144" s="5" t="str">
        <f ca="1">IFERROR(__xludf.DUMMYFUNCTION("IF(AB144 = """", """", GOOGLETRANSLATE(AB144, ""en"", ""mr""))"),"")</f>
        <v/>
      </c>
      <c r="AK144" s="5" t="str">
        <f ca="1">IFERROR(__xludf.DUMMYFUNCTION("IF(Y144 = """", """", GOOGLETRANSLATE(Y144, ""en"", ""gu""))"),"સુખ-સુવિધાઓ પર ખર્ચ કરો")</f>
        <v>સુખ-સુવિધાઓ પર ખર્ચ કરો</v>
      </c>
      <c r="AL144" s="5" t="str">
        <f ca="1">IFERROR(__xludf.DUMMYFUNCTION("IF(Z144 = """", """", GOOGLETRANSLATE(Z144, ""en"", ""gu""))"),"અઠવાડિયાના અટકેલા કામ પૂરા કરો")</f>
        <v>અઠવાડિયાના અટકેલા કામ પૂરા કરો</v>
      </c>
      <c r="AM144" s="5" t="str">
        <f ca="1">IFERROR(__xludf.DUMMYFUNCTION("IF(AA144 = """", """", GOOGLETRANSLATE(AA144, ""en"", ""gu""))"),"નક્કર ભવિષ્યની યોજનાઓ બનાવો")</f>
        <v>નક્કર ભવિષ્યની યોજનાઓ બનાવો</v>
      </c>
      <c r="AN144" s="5" t="str">
        <f ca="1">IFERROR(__xludf.DUMMYFUNCTION("IF(AB144 = """", """", GOOGLETRANSLATE(AB144, ""en"", ""gu""))"),"")</f>
        <v/>
      </c>
      <c r="AO144" s="5" t="str">
        <f ca="1">IFERROR(__xludf.DUMMYFUNCTION("IF(Y144 = """", """", GOOGLETRANSLATE(Y144, ""en"", ""bn""))"),"আরাম আয়েশে ব্যয় করুন")</f>
        <v>আরাম আয়েশে ব্যয় করুন</v>
      </c>
      <c r="AP144" s="5" t="str">
        <f ca="1">IFERROR(__xludf.DUMMYFUNCTION("IF(Z144 = """", """", GOOGLETRANSLATE(Z144, ""en"", ""bn""))"),"সপ্তাহের মুলতুবি কাজ শেষ করুন")</f>
        <v>সপ্তাহের মুলতুবি কাজ শেষ করুন</v>
      </c>
      <c r="AQ144" s="5" t="str">
        <f ca="1">IFERROR(__xludf.DUMMYFUNCTION("IF(AA144 = """", """", GOOGLETRANSLATE(AA144, ""en"", ""bn""))"),"কঠিন ভবিষ্যৎ পরিকল্পনা করুন")</f>
        <v>কঠিন ভবিষ্যৎ পরিকল্পনা করুন</v>
      </c>
      <c r="AR144" s="5" t="str">
        <f ca="1">IFERROR(__xludf.DUMMYFUNCTION("IF(AB144 = """", """", GOOGLETRANSLATE(AB144, ""en"", ""bn""))"),"")</f>
        <v/>
      </c>
      <c r="AU144" s="5" t="str">
        <f ca="1">IFERROR(__xludf.DUMMYFUNCTION("IF(Y144 = """", """", GOOGLETRANSLATE(Y144, ""en"", ""te""))"),"సుఖాల కోసం ఖర్చు చేస్తారు")</f>
        <v>సుఖాల కోసం ఖర్చు చేస్తారు</v>
      </c>
      <c r="AV144" s="5" t="str">
        <f ca="1">IFERROR(__xludf.DUMMYFUNCTION("IF(Z144 = """", """", GOOGLETRANSLATE(Z144, ""en"", ""te""))"),"వారం పెండింగ్ పనిని పూర్తి చేయండి")</f>
        <v>వారం పెండింగ్ పనిని పూర్తి చేయండి</v>
      </c>
      <c r="AW144" s="5" t="str">
        <f ca="1">IFERROR(__xludf.DUMMYFUNCTION("IF(AA144 = """", """", GOOGLETRANSLATE(AA144, ""en"", ""te""))"),"పటిష్టమైన భవిష్యత్తు ప్రణాళికలను రూపొందించుకోండి")</f>
        <v>పటిష్టమైన భవిష్యత్తు ప్రణాళికలను రూపొందించుకోండి</v>
      </c>
      <c r="AX144" s="5" t="str">
        <f ca="1">IFERROR(__xludf.DUMMYFUNCTION("IF(AB144 = """", """", GOOGLETRANSLATE(AB144, ""en"", ""te""))"),"")</f>
        <v/>
      </c>
    </row>
    <row r="145" spans="1:50" x14ac:dyDescent="0.25">
      <c r="A145" s="1">
        <v>158</v>
      </c>
      <c r="B145" s="1" t="s">
        <v>56</v>
      </c>
      <c r="C145" s="8">
        <v>45835</v>
      </c>
      <c r="D145" s="8">
        <v>45835</v>
      </c>
      <c r="E145" s="1">
        <v>4</v>
      </c>
      <c r="F145" s="1">
        <v>1</v>
      </c>
      <c r="G145" s="3" t="s">
        <v>489</v>
      </c>
      <c r="H145" s="4">
        <v>1.0011574074074074E-2</v>
      </c>
      <c r="I145" s="4">
        <v>3.3796296296296296E-3</v>
      </c>
      <c r="J145" s="4">
        <v>3.7962962962962963E-3</v>
      </c>
      <c r="K145" s="1" t="s">
        <v>58</v>
      </c>
      <c r="L145" s="1" t="s">
        <v>102</v>
      </c>
      <c r="M145" s="1" t="s">
        <v>14</v>
      </c>
      <c r="O145" s="1" t="s">
        <v>61</v>
      </c>
      <c r="P145" s="1" t="s">
        <v>61</v>
      </c>
      <c r="Q145" s="1" t="s">
        <v>61</v>
      </c>
      <c r="R145" s="1" t="s">
        <v>61</v>
      </c>
      <c r="S145" s="1" t="s">
        <v>61</v>
      </c>
      <c r="T145" s="1" t="s">
        <v>61</v>
      </c>
      <c r="V145" s="1" t="s">
        <v>61</v>
      </c>
      <c r="W145" s="1" t="s">
        <v>61</v>
      </c>
      <c r="X145" s="1" t="s">
        <v>61</v>
      </c>
      <c r="Y145" s="1" t="s">
        <v>182</v>
      </c>
      <c r="Z145" s="1" t="s">
        <v>501</v>
      </c>
      <c r="AA145" s="1" t="s">
        <v>502</v>
      </c>
      <c r="AB145" s="1"/>
      <c r="AC145" s="5" t="str">
        <f ca="1">IFERROR(__xludf.DUMMYFUNCTION("IF(Y145 = """", """", GOOGLETRANSLATE(Y145, ""en"", ""hi""))
"),"निर्णयों के लिए अच्छा")</f>
        <v>निर्णयों के लिए अच्छा</v>
      </c>
      <c r="AD145" s="5" t="str">
        <f ca="1">IFERROR(__xludf.DUMMYFUNCTION("IF(Z145 = """", """", GOOGLETRANSLATE(Z145, ""en"", ""hi""))"),"परिवार के साथ ग़लतफ़हमी से बचें")</f>
        <v>परिवार के साथ ग़लतफ़हमी से बचें</v>
      </c>
      <c r="AE145" s="5" t="str">
        <f ca="1">IFERROR(__xludf.DUMMYFUNCTION("IF(AA145 = """", """", GOOGLETRANSLATE(AA145, ""en"", ""hi""))"),"उपयोगी दिन")</f>
        <v>उपयोगी दिन</v>
      </c>
      <c r="AF145" s="5" t="str">
        <f ca="1">IFERROR(__xludf.DUMMYFUNCTION("IF(AB145 = """", """", GOOGLETRANSLATE(AB145, ""en"", ""hi""))"),"")</f>
        <v/>
      </c>
      <c r="AG145" s="5" t="str">
        <f ca="1">IFERROR(__xludf.DUMMYFUNCTION("IF(Y145 = """", """", GOOGLETRANSLATE(Y145, ""en"", ""mr""))"),"निर्णयांसाठी चांगले")</f>
        <v>निर्णयांसाठी चांगले</v>
      </c>
      <c r="AH145" s="5" t="str">
        <f ca="1">IFERROR(__xludf.DUMMYFUNCTION("IF(Z145 = """", """", GOOGLETRANSLATE(Z145, ""en"", ""mr""))"),"कुटुंबातील गैरसमज टाळा")</f>
        <v>कुटुंबातील गैरसमज टाळा</v>
      </c>
      <c r="AI145" s="5" t="str">
        <f ca="1">IFERROR(__xludf.DUMMYFUNCTION("IF(AA145 = """", """", GOOGLETRANSLATE(AA145, ""en"", ""mr""))"),"उत्पादक दिवस")</f>
        <v>उत्पादक दिवस</v>
      </c>
      <c r="AJ145" s="5" t="str">
        <f ca="1">IFERROR(__xludf.DUMMYFUNCTION("IF(AB145 = """", """", GOOGLETRANSLATE(AB145, ""en"", ""mr""))"),"")</f>
        <v/>
      </c>
      <c r="AK145" s="5" t="str">
        <f ca="1">IFERROR(__xludf.DUMMYFUNCTION("IF(Y145 = """", """", GOOGLETRANSLATE(Y145, ""en"", ""gu""))"),"નિર્ણયો માટે સારું")</f>
        <v>નિર્ણયો માટે સારું</v>
      </c>
      <c r="AL145" s="5" t="str">
        <f ca="1">IFERROR(__xludf.DUMMYFUNCTION("IF(Z145 = """", """", GOOGLETRANSLATE(Z145, ""en"", ""gu""))"),"પરિવાર સાથે ગેરસમજ ટાળો")</f>
        <v>પરિવાર સાથે ગેરસમજ ટાળો</v>
      </c>
      <c r="AM145" s="5" t="str">
        <f ca="1">IFERROR(__xludf.DUMMYFUNCTION("IF(AA145 = """", """", GOOGLETRANSLATE(AA145, ""en"", ""gu""))"),"ઉત્પાદક દિવસ")</f>
        <v>ઉત્પાદક દિવસ</v>
      </c>
      <c r="AN145" s="5" t="str">
        <f ca="1">IFERROR(__xludf.DUMMYFUNCTION("IF(AB145 = """", """", GOOGLETRANSLATE(AB145, ""en"", ""gu""))"),"")</f>
        <v/>
      </c>
      <c r="AO145" s="5" t="str">
        <f ca="1">IFERROR(__xludf.DUMMYFUNCTION("IF(Y145 = """", """", GOOGLETRANSLATE(Y145, ""en"", ""bn""))"),"সিদ্ধান্তের জন্য ভাল")</f>
        <v>সিদ্ধান্তের জন্য ভাল</v>
      </c>
      <c r="AP145" s="5" t="str">
        <f ca="1">IFERROR(__xludf.DUMMYFUNCTION("IF(Z145 = """", """", GOOGLETRANSLATE(Z145, ""en"", ""bn""))"),"পরিবারের সাথে ভুল বোঝাবুঝি এড়িয়ে চলুন")</f>
        <v>পরিবারের সাথে ভুল বোঝাবুঝি এড়িয়ে চলুন</v>
      </c>
      <c r="AQ145" s="5" t="str">
        <f ca="1">IFERROR(__xludf.DUMMYFUNCTION("IF(AA145 = """", """", GOOGLETRANSLATE(AA145, ""en"", ""bn""))"),"উৎপাদনশীল দিন")</f>
        <v>উৎপাদনশীল দিন</v>
      </c>
      <c r="AR145" s="5" t="str">
        <f ca="1">IFERROR(__xludf.DUMMYFUNCTION("IF(AB145 = """", """", GOOGLETRANSLATE(AB145, ""en"", ""bn""))"),"")</f>
        <v/>
      </c>
      <c r="AU145" s="5" t="str">
        <f ca="1">IFERROR(__xludf.DUMMYFUNCTION("IF(Y145 = """", """", GOOGLETRANSLATE(Y145, ""en"", ""te""))"),"నిర్ణయాలకు అనుకూలం")</f>
        <v>నిర్ణయాలకు అనుకూలం</v>
      </c>
      <c r="AV145" s="5" t="str">
        <f ca="1">IFERROR(__xludf.DUMMYFUNCTION("IF(Z145 = """", """", GOOGLETRANSLATE(Z145, ""en"", ""te""))"),"కుటుంబ సభ్యులతో అపార్థాలకు దూరంగా ఉండండి")</f>
        <v>కుటుంబ సభ్యులతో అపార్థాలకు దూరంగా ఉండండి</v>
      </c>
      <c r="AW145" s="5" t="str">
        <f ca="1">IFERROR(__xludf.DUMMYFUNCTION("IF(AA145 = """", """", GOOGLETRANSLATE(AA145, ""en"", ""te""))"),"ఉత్పాదక రోజు")</f>
        <v>ఉత్పాదక రోజు</v>
      </c>
      <c r="AX145" s="5" t="str">
        <f ca="1">IFERROR(__xludf.DUMMYFUNCTION("IF(AB145 = """", """", GOOGLETRANSLATE(AB145, ""en"", ""te""))"),"")</f>
        <v/>
      </c>
    </row>
    <row r="146" spans="1:50" x14ac:dyDescent="0.25">
      <c r="A146" s="1">
        <v>159</v>
      </c>
      <c r="B146" s="1" t="s">
        <v>56</v>
      </c>
      <c r="C146" s="8">
        <v>45835</v>
      </c>
      <c r="D146" s="8">
        <v>45835</v>
      </c>
      <c r="E146" s="1">
        <v>5</v>
      </c>
      <c r="F146" s="1">
        <v>1</v>
      </c>
      <c r="G146" s="3" t="s">
        <v>489</v>
      </c>
      <c r="H146" s="4">
        <v>1.0011574074074074E-2</v>
      </c>
      <c r="I146" s="4">
        <v>3.7962962962962963E-3</v>
      </c>
      <c r="J146" s="4">
        <v>4.363425925925926E-3</v>
      </c>
      <c r="K146" s="1" t="s">
        <v>58</v>
      </c>
      <c r="L146" s="1" t="s">
        <v>108</v>
      </c>
      <c r="M146" s="1" t="s">
        <v>490</v>
      </c>
      <c r="O146" s="1" t="s">
        <v>61</v>
      </c>
      <c r="P146" s="1" t="s">
        <v>61</v>
      </c>
      <c r="Q146" s="1" t="s">
        <v>61</v>
      </c>
      <c r="R146" s="1" t="s">
        <v>61</v>
      </c>
      <c r="S146" s="1" t="s">
        <v>61</v>
      </c>
      <c r="T146" s="1" t="s">
        <v>61</v>
      </c>
      <c r="V146" s="1" t="s">
        <v>61</v>
      </c>
      <c r="W146" s="1" t="s">
        <v>61</v>
      </c>
      <c r="X146" s="1" t="s">
        <v>61</v>
      </c>
      <c r="Y146" s="1" t="s">
        <v>503</v>
      </c>
      <c r="Z146" s="1" t="s">
        <v>504</v>
      </c>
      <c r="AA146" s="1" t="s">
        <v>287</v>
      </c>
      <c r="AB146" s="1"/>
      <c r="AC146" s="5" t="str">
        <f ca="1">IFERROR(__xludf.DUMMYFUNCTION("IF(Y146 = """", """", GOOGLETRANSLATE(Y146, ""en"", ""hi""))
"),"“पिशाच योग” सक्रिय")</f>
        <v>“पिशाच योग” सक्रिय</v>
      </c>
      <c r="AD146" s="5" t="str">
        <f ca="1">IFERROR(__xludf.DUMMYFUNCTION("IF(Z146 = """", """", GOOGLETRANSLATE(Z146, ""en"", ""hi""))"),"तनावपूर्ण दिन")</f>
        <v>तनावपूर्ण दिन</v>
      </c>
      <c r="AE146" s="5" t="str">
        <f ca="1">IFERROR(__xludf.DUMMYFUNCTION("IF(AA146 = """", """", GOOGLETRANSLATE(AA146, ""en"", ""hi""))"),"क्रोध और वाणी पर नियंत्रण रखें")</f>
        <v>क्रोध और वाणी पर नियंत्रण रखें</v>
      </c>
      <c r="AF146" s="5" t="str">
        <f ca="1">IFERROR(__xludf.DUMMYFUNCTION("IF(AB146 = """", """", GOOGLETRANSLATE(AB146, ""en"", ""hi""))"),"")</f>
        <v/>
      </c>
      <c r="AG146" s="5" t="str">
        <f ca="1">IFERROR(__xludf.DUMMYFUNCTION("IF(Y146 = """", """", GOOGLETRANSLATE(Y146, ""en"", ""mr""))"),"""पिशाच योग"" सक्रिय")</f>
        <v>"पिशाच योग" सक्रिय</v>
      </c>
      <c r="AH146" s="5" t="str">
        <f ca="1">IFERROR(__xludf.DUMMYFUNCTION("IF(Z146 = """", """", GOOGLETRANSLATE(Z146, ""en"", ""mr""))"),"तणावपूर्ण दिवस")</f>
        <v>तणावपूर्ण दिवस</v>
      </c>
      <c r="AI146" s="5" t="str">
        <f ca="1">IFERROR(__xludf.DUMMYFUNCTION("IF(AA146 = """", """", GOOGLETRANSLATE(AA146, ""en"", ""mr""))"),"राग आणि वाणीवर नियंत्रण ठेवा")</f>
        <v>राग आणि वाणीवर नियंत्रण ठेवा</v>
      </c>
      <c r="AJ146" s="5" t="str">
        <f ca="1">IFERROR(__xludf.DUMMYFUNCTION("IF(AB146 = """", """", GOOGLETRANSLATE(AB146, ""en"", ""mr""))"),"")</f>
        <v/>
      </c>
      <c r="AK146" s="5" t="str">
        <f ca="1">IFERROR(__xludf.DUMMYFUNCTION("IF(Y146 = """", """", GOOGLETRANSLATE(Y146, ""en"", ""gu""))"),"""પિશાચ યોગ"" સક્રિય")</f>
        <v>"પિશાચ યોગ" સક્રિય</v>
      </c>
      <c r="AL146" s="5" t="str">
        <f ca="1">IFERROR(__xludf.DUMMYFUNCTION("IF(Z146 = """", """", GOOGLETRANSLATE(Z146, ""en"", ""gu""))"),"તણાવપૂર્ણ દિવસ")</f>
        <v>તણાવપૂર્ણ દિવસ</v>
      </c>
      <c r="AM146" s="5" t="str">
        <f ca="1">IFERROR(__xludf.DUMMYFUNCTION("IF(AA146 = """", """", GOOGLETRANSLATE(AA146, ""en"", ""gu""))"),"ગુસ્સા અને વાણી પર નિયંત્રણ રાખો")</f>
        <v>ગુસ્સા અને વાણી પર નિયંત્રણ રાખો</v>
      </c>
      <c r="AN146" s="5" t="str">
        <f ca="1">IFERROR(__xludf.DUMMYFUNCTION("IF(AB146 = """", """", GOOGLETRANSLATE(AB146, ""en"", ""gu""))"),"")</f>
        <v/>
      </c>
      <c r="AO146" s="5" t="str">
        <f ca="1">IFERROR(__xludf.DUMMYFUNCTION("IF(Y146 = """", """", GOOGLETRANSLATE(Y146, ""en"", ""bn""))"),"""পিশাচ যোগ"" সক্রিয়")</f>
        <v>"পিশাচ যোগ" সক্রিয়</v>
      </c>
      <c r="AP146" s="5" t="str">
        <f ca="1">IFERROR(__xludf.DUMMYFUNCTION("IF(Z146 = """", """", GOOGLETRANSLATE(Z146, ""en"", ""bn""))"),"মানসিক চাপের দিন")</f>
        <v>মানসিক চাপের দিন</v>
      </c>
      <c r="AQ146" s="5" t="str">
        <f ca="1">IFERROR(__xludf.DUMMYFUNCTION("IF(AA146 = """", """", GOOGLETRANSLATE(AA146, ""en"", ""bn""))"),"রাগ ও কথাবার্তা নিয়ন্ত্রণ করুন")</f>
        <v>রাগ ও কথাবার্তা নিয়ন্ত্রণ করুন</v>
      </c>
      <c r="AR146" s="5" t="str">
        <f ca="1">IFERROR(__xludf.DUMMYFUNCTION("IF(AB146 = """", """", GOOGLETRANSLATE(AB146, ""en"", ""bn""))"),"")</f>
        <v/>
      </c>
      <c r="AU146" s="5" t="str">
        <f ca="1">IFERROR(__xludf.DUMMYFUNCTION("IF(Y146 = """", """", GOOGLETRANSLATE(Y146, ""en"", ""te""))"),"""పిశాచ్ యోగా"" చురుకుగా ఉంది")</f>
        <v>"పిశాచ్ యోగా" చురుకుగా ఉంది</v>
      </c>
      <c r="AV146" s="5" t="str">
        <f ca="1">IFERROR(__xludf.DUMMYFUNCTION("IF(Z146 = """", """", GOOGLETRANSLATE(Z146, ""en"", ""te""))"),"ఒత్తిడితో కూడిన రోజు")</f>
        <v>ఒత్తిడితో కూడిన రోజు</v>
      </c>
      <c r="AW146" s="5" t="str">
        <f ca="1">IFERROR(__xludf.DUMMYFUNCTION("IF(AA146 = """", """", GOOGLETRANSLATE(AA146, ""en"", ""te""))"),"కోపం మరియు మాటలను నియంత్రించండి")</f>
        <v>కోపం మరియు మాటలను నియంత్రించండి</v>
      </c>
      <c r="AX146" s="5" t="str">
        <f ca="1">IFERROR(__xludf.DUMMYFUNCTION("IF(AB146 = """", """", GOOGLETRANSLATE(AB146, ""en"", ""te""))"),"")</f>
        <v/>
      </c>
    </row>
    <row r="147" spans="1:50" x14ac:dyDescent="0.25">
      <c r="A147" s="1">
        <v>160</v>
      </c>
      <c r="B147" s="1" t="s">
        <v>56</v>
      </c>
      <c r="C147" s="8">
        <v>45835</v>
      </c>
      <c r="D147" s="8">
        <v>45835</v>
      </c>
      <c r="E147" s="1">
        <v>6</v>
      </c>
      <c r="F147" s="1">
        <v>1</v>
      </c>
      <c r="G147" s="3" t="s">
        <v>489</v>
      </c>
      <c r="H147" s="4">
        <v>1.0011574074074074E-2</v>
      </c>
      <c r="I147" s="4">
        <v>4.363425925925926E-3</v>
      </c>
      <c r="J147" s="4">
        <v>4.7916666666666663E-3</v>
      </c>
      <c r="K147" s="1" t="s">
        <v>58</v>
      </c>
      <c r="L147" s="1" t="s">
        <v>113</v>
      </c>
      <c r="M147" s="1" t="s">
        <v>14</v>
      </c>
      <c r="O147" s="1" t="s">
        <v>61</v>
      </c>
      <c r="P147" s="1" t="s">
        <v>61</v>
      </c>
      <c r="Q147" s="1" t="s">
        <v>61</v>
      </c>
      <c r="R147" s="1" t="s">
        <v>61</v>
      </c>
      <c r="S147" s="1" t="s">
        <v>61</v>
      </c>
      <c r="T147" s="1" t="s">
        <v>61</v>
      </c>
      <c r="V147" s="1" t="s">
        <v>61</v>
      </c>
      <c r="W147" s="1" t="s">
        <v>61</v>
      </c>
      <c r="X147" s="1" t="s">
        <v>61</v>
      </c>
      <c r="Y147" s="1" t="s">
        <v>426</v>
      </c>
      <c r="Z147" s="1" t="s">
        <v>505</v>
      </c>
      <c r="AA147" s="1" t="s">
        <v>506</v>
      </c>
      <c r="AB147" s="1"/>
      <c r="AC147" s="5" t="str">
        <f ca="1">IFERROR(__xludf.DUMMYFUNCTION("IF(Y147 = """", """", GOOGLETRANSLATE(Y147, ""en"", ""hi""))
"),"लंबित कार्यों को पूरा करें")</f>
        <v>लंबित कार्यों को पूरा करें</v>
      </c>
      <c r="AD147" s="5" t="str">
        <f ca="1">IFERROR(__xludf.DUMMYFUNCTION("IF(Z147 = """", """", GOOGLETRANSLATE(Z147, ""en"", ""hi""))"),"उच्च उत्पादकता")</f>
        <v>उच्च उत्पादकता</v>
      </c>
      <c r="AE147" s="5" t="str">
        <f ca="1">IFERROR(__xludf.DUMMYFUNCTION("IF(AA147 = """", """", GOOGLETRANSLATE(AA147, ""en"", ""hi""))"),"शाम को थकान लेकिन संतुष्टि")</f>
        <v>शाम को थकान लेकिन संतुष्टि</v>
      </c>
      <c r="AF147" s="5" t="str">
        <f ca="1">IFERROR(__xludf.DUMMYFUNCTION("IF(AB147 = """", """", GOOGLETRANSLATE(AB147, ""en"", ""hi""))"),"")</f>
        <v/>
      </c>
      <c r="AG147" s="5" t="str">
        <f ca="1">IFERROR(__xludf.DUMMYFUNCTION("IF(Y147 = """", """", GOOGLETRANSLATE(Y147, ""en"", ""mr""))"),"प्रलंबित कामे पूर्ण करा")</f>
        <v>प्रलंबित कामे पूर्ण करा</v>
      </c>
      <c r="AH147" s="5" t="str">
        <f ca="1">IFERROR(__xludf.DUMMYFUNCTION("IF(Z147 = """", """", GOOGLETRANSLATE(Z147, ""en"", ""mr""))"),"उच्च उत्पादकता")</f>
        <v>उच्च उत्पादकता</v>
      </c>
      <c r="AI147" s="5" t="str">
        <f ca="1">IFERROR(__xludf.DUMMYFUNCTION("IF(AA147 = """", """", GOOGLETRANSLATE(AA147, ""en"", ""mr""))"),"संध्याकाळचा थकवा पण समाधानी")</f>
        <v>संध्याकाळचा थकवा पण समाधानी</v>
      </c>
      <c r="AJ147" s="5" t="str">
        <f ca="1">IFERROR(__xludf.DUMMYFUNCTION("IF(AB147 = """", """", GOOGLETRANSLATE(AB147, ""en"", ""mr""))"),"")</f>
        <v/>
      </c>
      <c r="AK147" s="5" t="str">
        <f ca="1">IFERROR(__xludf.DUMMYFUNCTION("IF(Y147 = """", """", GOOGLETRANSLATE(Y147, ""en"", ""gu""))"),"અટકેલા કાર્યો પૂરા કરો")</f>
        <v>અટકેલા કાર્યો પૂરા કરો</v>
      </c>
      <c r="AL147" s="5" t="str">
        <f ca="1">IFERROR(__xludf.DUMMYFUNCTION("IF(Z147 = """", """", GOOGLETRANSLATE(Z147, ""en"", ""gu""))"),"ઉચ્ચ ઉત્પાદકતા")</f>
        <v>ઉચ્ચ ઉત્પાદકતા</v>
      </c>
      <c r="AM147" s="5" t="str">
        <f ca="1">IFERROR(__xludf.DUMMYFUNCTION("IF(AA147 = """", """", GOOGLETRANSLATE(AA147, ""en"", ""gu""))"),"સાંજનો થાક પણ સંતુષ્ટ")</f>
        <v>સાંજનો થાક પણ સંતુષ્ટ</v>
      </c>
      <c r="AN147" s="5" t="str">
        <f ca="1">IFERROR(__xludf.DUMMYFUNCTION("IF(AB147 = """", """", GOOGLETRANSLATE(AB147, ""en"", ""gu""))"),"")</f>
        <v/>
      </c>
      <c r="AO147" s="5" t="str">
        <f ca="1">IFERROR(__xludf.DUMMYFUNCTION("IF(Y147 = """", """", GOOGLETRANSLATE(Y147, ""en"", ""bn""))"),"মুলতুবি কাজগুলি শেষ করুন")</f>
        <v>মুলতুবি কাজগুলি শেষ করুন</v>
      </c>
      <c r="AP147" s="5" t="str">
        <f ca="1">IFERROR(__xludf.DUMMYFUNCTION("IF(Z147 = """", """", GOOGLETRANSLATE(Z147, ""en"", ""bn""))"),"উচ্চ উত্পাদনশীলতা")</f>
        <v>উচ্চ উত্পাদনশীলতা</v>
      </c>
      <c r="AQ147" s="5" t="str">
        <f ca="1">IFERROR(__xludf.DUMMYFUNCTION("IF(AA147 = """", """", GOOGLETRANSLATE(AA147, ""en"", ""bn""))"),"সন্ধ্যার ক্লান্তি কিন্তু সন্তুষ্ট")</f>
        <v>সন্ধ্যার ক্লান্তি কিন্তু সন্তুষ্ট</v>
      </c>
      <c r="AR147" s="5" t="str">
        <f ca="1">IFERROR(__xludf.DUMMYFUNCTION("IF(AB147 = """", """", GOOGLETRANSLATE(AB147, ""en"", ""bn""))"),"")</f>
        <v/>
      </c>
      <c r="AU147" s="5" t="str">
        <f ca="1">IFERROR(__xludf.DUMMYFUNCTION("IF(Y147 = """", """", GOOGLETRANSLATE(Y147, ""en"", ""te""))"),"పెండింగ్‌లో ఉన్న పనులను పూర్తి చేయండి")</f>
        <v>పెండింగ్‌లో ఉన్న పనులను పూర్తి చేయండి</v>
      </c>
      <c r="AV147" s="5" t="str">
        <f ca="1">IFERROR(__xludf.DUMMYFUNCTION("IF(Z147 = """", """", GOOGLETRANSLATE(Z147, ""en"", ""te""))"),"అధిక ఉత్పాదకత")</f>
        <v>అధిక ఉత్పాదకత</v>
      </c>
      <c r="AW147" s="5" t="str">
        <f ca="1">IFERROR(__xludf.DUMMYFUNCTION("IF(AA147 = """", """", GOOGLETRANSLATE(AA147, ""en"", ""te""))"),"సాయంత్రం అలసట కానీ సంతృప్తిగా ఉంది")</f>
        <v>సాయంత్రం అలసట కానీ సంతృప్తిగా ఉంది</v>
      </c>
      <c r="AX147" s="5" t="str">
        <f ca="1">IFERROR(__xludf.DUMMYFUNCTION("IF(AB147 = """", """", GOOGLETRANSLATE(AB147, ""en"", ""te""))"),"")</f>
        <v/>
      </c>
    </row>
    <row r="148" spans="1:50" x14ac:dyDescent="0.25">
      <c r="A148" s="1">
        <v>161</v>
      </c>
      <c r="B148" s="1" t="s">
        <v>56</v>
      </c>
      <c r="C148" s="8">
        <v>45835</v>
      </c>
      <c r="D148" s="8">
        <v>45835</v>
      </c>
      <c r="E148" s="1">
        <v>7</v>
      </c>
      <c r="F148" s="1">
        <v>1</v>
      </c>
      <c r="G148" s="3" t="s">
        <v>489</v>
      </c>
      <c r="H148" s="4">
        <v>1.0011574074074074E-2</v>
      </c>
      <c r="I148" s="4">
        <v>4.7916666666666663E-3</v>
      </c>
      <c r="J148" s="4">
        <v>5.092592592592593E-3</v>
      </c>
      <c r="K148" s="1" t="s">
        <v>58</v>
      </c>
      <c r="L148" s="1" t="s">
        <v>64</v>
      </c>
      <c r="M148" s="1" t="s">
        <v>14</v>
      </c>
      <c r="O148" s="1" t="s">
        <v>61</v>
      </c>
      <c r="P148" s="1" t="s">
        <v>61</v>
      </c>
      <c r="Q148" s="1" t="s">
        <v>61</v>
      </c>
      <c r="R148" s="1" t="s">
        <v>61</v>
      </c>
      <c r="S148" s="1" t="s">
        <v>61</v>
      </c>
      <c r="T148" s="1" t="s">
        <v>61</v>
      </c>
      <c r="V148" s="1" t="s">
        <v>61</v>
      </c>
      <c r="W148" s="1" t="s">
        <v>61</v>
      </c>
      <c r="X148" s="1" t="s">
        <v>61</v>
      </c>
      <c r="Y148" s="1" t="s">
        <v>356</v>
      </c>
      <c r="Z148" s="1" t="s">
        <v>507</v>
      </c>
      <c r="AA148" s="1" t="s">
        <v>508</v>
      </c>
      <c r="AB148" s="1"/>
      <c r="AC148" s="5" t="str">
        <f ca="1">IFERROR(__xludf.DUMMYFUNCTION("IF(Y148 = """", """", GOOGLETRANSLATE(Y148, ""en"", ""hi""))
"),"अतिरिक्त कार्यभार")</f>
        <v>अतिरिक्त कार्यभार</v>
      </c>
      <c r="AD148" s="5" t="str">
        <f ca="1">IFERROR(__xludf.DUMMYFUNCTION("IF(Z148 = """", """", GOOGLETRANSLATE(Z148, ""en"", ""hi""))"),"मानसिक तैयारी की आवश्यकता")</f>
        <v>मानसिक तैयारी की आवश्यकता</v>
      </c>
      <c r="AE148" s="5" t="str">
        <f ca="1">IFERROR(__xludf.DUMMYFUNCTION("IF(AA148 = """", """", GOOGLETRANSLATE(AA148, ""en"", ""hi""))"),"शाम तक मीठी थकान")</f>
        <v>शाम तक मीठी थकान</v>
      </c>
      <c r="AF148" s="5" t="str">
        <f ca="1">IFERROR(__xludf.DUMMYFUNCTION("IF(AB148 = """", """", GOOGLETRANSLATE(AB148, ""en"", ""hi""))"),"")</f>
        <v/>
      </c>
      <c r="AG148" s="5" t="str">
        <f ca="1">IFERROR(__xludf.DUMMYFUNCTION("IF(Y148 = """", """", GOOGLETRANSLATE(Y148, ""en"", ""mr""))"),"अतिरिक्त कामाचा ताण")</f>
        <v>अतिरिक्त कामाचा ताण</v>
      </c>
      <c r="AH148" s="5" t="str">
        <f ca="1">IFERROR(__xludf.DUMMYFUNCTION("IF(Z148 = """", """", GOOGLETRANSLATE(Z148, ""en"", ""mr""))"),"मानसिक तयारी आवश्यक आहे")</f>
        <v>मानसिक तयारी आवश्यक आहे</v>
      </c>
      <c r="AI148" s="5" t="str">
        <f ca="1">IFERROR(__xludf.DUMMYFUNCTION("IF(AA148 = """", """", GOOGLETRANSLATE(AA148, ""en"", ""mr""))"),"संध्याकाळपर्यंत गोड थकवा")</f>
        <v>संध्याकाळपर्यंत गोड थकवा</v>
      </c>
      <c r="AJ148" s="5" t="str">
        <f ca="1">IFERROR(__xludf.DUMMYFUNCTION("IF(AB148 = """", """", GOOGLETRANSLATE(AB148, ""en"", ""mr""))"),"")</f>
        <v/>
      </c>
      <c r="AK148" s="5" t="str">
        <f ca="1">IFERROR(__xludf.DUMMYFUNCTION("IF(Y148 = """", """", GOOGLETRANSLATE(Y148, ""en"", ""gu""))"),"વધારાનો વર્કલોડ")</f>
        <v>વધારાનો વર્કલોડ</v>
      </c>
      <c r="AL148" s="5" t="str">
        <f ca="1">IFERROR(__xludf.DUMMYFUNCTION("IF(Z148 = """", """", GOOGLETRANSLATE(Z148, ""en"", ""gu""))"),"માનસિક તૈયારી જરૂરી છે")</f>
        <v>માનસિક તૈયારી જરૂરી છે</v>
      </c>
      <c r="AM148" s="5" t="str">
        <f ca="1">IFERROR(__xludf.DUMMYFUNCTION("IF(AA148 = """", """", GOOGLETRANSLATE(AA148, ""en"", ""gu""))"),"સાંજ સુધીમાં મીઠો થાક")</f>
        <v>સાંજ સુધીમાં મીઠો થાક</v>
      </c>
      <c r="AN148" s="5" t="str">
        <f ca="1">IFERROR(__xludf.DUMMYFUNCTION("IF(AB148 = """", """", GOOGLETRANSLATE(AB148, ""en"", ""gu""))"),"")</f>
        <v/>
      </c>
      <c r="AO148" s="5" t="str">
        <f ca="1">IFERROR(__xludf.DUMMYFUNCTION("IF(Y148 = """", """", GOOGLETRANSLATE(Y148, ""en"", ""bn""))"),"অতিরিক্ত কাজের চাপ")</f>
        <v>অতিরিক্ত কাজের চাপ</v>
      </c>
      <c r="AP148" s="5" t="str">
        <f ca="1">IFERROR(__xludf.DUMMYFUNCTION("IF(Z148 = """", """", GOOGLETRANSLATE(Z148, ""en"", ""bn""))"),"মানসিক প্রস্তুতি প্রয়োজন")</f>
        <v>মানসিক প্রস্তুতি প্রয়োজন</v>
      </c>
      <c r="AQ148" s="5" t="str">
        <f ca="1">IFERROR(__xludf.DUMMYFUNCTION("IF(AA148 = """", """", GOOGLETRANSLATE(AA148, ""en"", ""bn""))"),"সন্ধ্যায় মিষ্টি ক্লান্তি")</f>
        <v>সন্ধ্যায় মিষ্টি ক্লান্তি</v>
      </c>
      <c r="AR148" s="5" t="str">
        <f ca="1">IFERROR(__xludf.DUMMYFUNCTION("IF(AB148 = """", """", GOOGLETRANSLATE(AB148, ""en"", ""bn""))"),"")</f>
        <v/>
      </c>
      <c r="AU148" s="5" t="str">
        <f ca="1">IFERROR(__xludf.DUMMYFUNCTION("IF(Y148 = """", """", GOOGLETRANSLATE(Y148, ""en"", ""te""))"),"అదనపు పనిభారం")</f>
        <v>అదనపు పనిభారం</v>
      </c>
      <c r="AV148" s="5" t="str">
        <f ca="1">IFERROR(__xludf.DUMMYFUNCTION("IF(Z148 = """", """", GOOGLETRANSLATE(Z148, ""en"", ""te""))"),"మానసిక ప్రిపరేషన్ అవసరం")</f>
        <v>మానసిక ప్రిపరేషన్ అవసరం</v>
      </c>
      <c r="AW148" s="5" t="str">
        <f ca="1">IFERROR(__xludf.DUMMYFUNCTION("IF(AA148 = """", """", GOOGLETRANSLATE(AA148, ""en"", ""te""))"),"సాయంత్రం నాటికి తీపి అలసట")</f>
        <v>సాయంత్రం నాటికి తీపి అలసట</v>
      </c>
      <c r="AX148" s="5" t="str">
        <f ca="1">IFERROR(__xludf.DUMMYFUNCTION("IF(AB148 = """", """", GOOGLETRANSLATE(AB148, ""en"", ""te""))"),"")</f>
        <v/>
      </c>
    </row>
    <row r="149" spans="1:50" x14ac:dyDescent="0.25">
      <c r="A149" s="1">
        <v>162</v>
      </c>
      <c r="B149" s="1" t="s">
        <v>56</v>
      </c>
      <c r="C149" s="8">
        <v>45835</v>
      </c>
      <c r="D149" s="8">
        <v>45835</v>
      </c>
      <c r="E149" s="1">
        <v>8</v>
      </c>
      <c r="F149" s="1">
        <v>1</v>
      </c>
      <c r="G149" s="3" t="s">
        <v>489</v>
      </c>
      <c r="H149" s="4">
        <v>1.0011574074074074E-2</v>
      </c>
      <c r="I149" s="4">
        <v>5.092592592592593E-3</v>
      </c>
      <c r="J149" s="4">
        <v>5.5324074074074078E-3</v>
      </c>
      <c r="K149" s="1" t="s">
        <v>58</v>
      </c>
      <c r="L149" s="1" t="s">
        <v>68</v>
      </c>
      <c r="M149" s="1" t="s">
        <v>14</v>
      </c>
      <c r="O149" s="1" t="s">
        <v>61</v>
      </c>
      <c r="P149" s="1" t="s">
        <v>61</v>
      </c>
      <c r="Q149" s="1" t="s">
        <v>61</v>
      </c>
      <c r="R149" s="1" t="s">
        <v>61</v>
      </c>
      <c r="S149" s="1" t="s">
        <v>61</v>
      </c>
      <c r="T149" s="1" t="s">
        <v>61</v>
      </c>
      <c r="V149" s="1" t="s">
        <v>61</v>
      </c>
      <c r="W149" s="1" t="s">
        <v>61</v>
      </c>
      <c r="X149" s="1" t="s">
        <v>61</v>
      </c>
      <c r="Y149" s="1" t="s">
        <v>509</v>
      </c>
      <c r="Z149" s="1" t="s">
        <v>510</v>
      </c>
      <c r="AA149" s="1" t="s">
        <v>511</v>
      </c>
      <c r="AB149" s="1"/>
      <c r="AC149" s="5" t="str">
        <f ca="1">IFERROR(__xludf.DUMMYFUNCTION("IF(Y149 = """", """", GOOGLETRANSLATE(Y149, ""en"", ""hi""))
"),"अटके हुए कार्यों के लिए अच्छा दिन")</f>
        <v>अटके हुए कार्यों के लिए अच्छा दिन</v>
      </c>
      <c r="AD149" s="5" t="str">
        <f ca="1">IFERROR(__xludf.DUMMYFUNCTION("IF(Z149 = """", """", GOOGLETRANSLATE(Z149, ""en"", ""hi""))"),"उचित योजना बनानी चाहिए")</f>
        <v>उचित योजना बनानी चाहिए</v>
      </c>
      <c r="AE149" s="5" t="str">
        <f ca="1">IFERROR(__xludf.DUMMYFUNCTION("IF(AA149 = """", """", GOOGLETRANSLATE(AA149, ""en"", ""hi""))"),"आवेगपूर्ण कार्यों से बचें")</f>
        <v>आवेगपूर्ण कार्यों से बचें</v>
      </c>
      <c r="AF149" s="5" t="str">
        <f ca="1">IFERROR(__xludf.DUMMYFUNCTION("IF(AB149 = """", """", GOOGLETRANSLATE(AB149, ""en"", ""hi""))"),"")</f>
        <v/>
      </c>
      <c r="AG149" s="5" t="str">
        <f ca="1">IFERROR(__xludf.DUMMYFUNCTION("IF(Y149 = """", """", GOOGLETRANSLATE(Y149, ""en"", ""mr""))"),"रखडलेल्या कामांसाठी दिवस चांगला आहे")</f>
        <v>रखडलेल्या कामांसाठी दिवस चांगला आहे</v>
      </c>
      <c r="AH149" s="5" t="str">
        <f ca="1">IFERROR(__xludf.DUMMYFUNCTION("IF(Z149 = """", """", GOOGLETRANSLATE(Z149, ""en"", ""mr""))"),"योग्य नियोजन करावे")</f>
        <v>योग्य नियोजन करावे</v>
      </c>
      <c r="AI149" s="5" t="str">
        <f ca="1">IFERROR(__xludf.DUMMYFUNCTION("IF(AA149 = """", """", GOOGLETRANSLATE(AA149, ""en"", ""mr""))"),"आवेगपूर्ण कृती टाळा")</f>
        <v>आवेगपूर्ण कृती टाळा</v>
      </c>
      <c r="AJ149" s="5" t="str">
        <f ca="1">IFERROR(__xludf.DUMMYFUNCTION("IF(AB149 = """", """", GOOGLETRANSLATE(AB149, ""en"", ""mr""))"),"")</f>
        <v/>
      </c>
      <c r="AK149" s="5" t="str">
        <f ca="1">IFERROR(__xludf.DUMMYFUNCTION("IF(Y149 = """", """", GOOGLETRANSLATE(Y149, ""en"", ""gu""))"),"અટકેલા કાર્યો માટે સારો દિવસ")</f>
        <v>અટકેલા કાર્યો માટે સારો દિવસ</v>
      </c>
      <c r="AL149" s="5" t="str">
        <f ca="1">IFERROR(__xludf.DUMMYFUNCTION("IF(Z149 = """", """", GOOGLETRANSLATE(Z149, ""en"", ""gu""))"),"યોગ્ય આયોજન કરવું જોઈએ")</f>
        <v>યોગ્ય આયોજન કરવું જોઈએ</v>
      </c>
      <c r="AM149" s="5" t="str">
        <f ca="1">IFERROR(__xludf.DUMMYFUNCTION("IF(AA149 = """", """", GOOGLETRANSLATE(AA149, ""en"", ""gu""))"),"આવેગજન્ય ક્રિયાઓ ટાળો")</f>
        <v>આવેગજન્ય ક્રિયાઓ ટાળો</v>
      </c>
      <c r="AN149" s="5" t="str">
        <f ca="1">IFERROR(__xludf.DUMMYFUNCTION("IF(AB149 = """", """", GOOGLETRANSLATE(AB149, ""en"", ""gu""))"),"")</f>
        <v/>
      </c>
      <c r="AO149" s="5" t="str">
        <f ca="1">IFERROR(__xludf.DUMMYFUNCTION("IF(Y149 = """", """", GOOGLETRANSLATE(Y149, ""en"", ""bn""))"),"আটকে থাকা কাজের জন্য দিনটি শুভ")</f>
        <v>আটকে থাকা কাজের জন্য দিনটি শুভ</v>
      </c>
      <c r="AP149" s="5" t="str">
        <f ca="1">IFERROR(__xludf.DUMMYFUNCTION("IF(Z149 = """", """", GOOGLETRANSLATE(Z149, ""en"", ""bn""))"),"সঠিকভাবে পরিকল্পনা করতে হবে")</f>
        <v>সঠিকভাবে পরিকল্পনা করতে হবে</v>
      </c>
      <c r="AQ149" s="5" t="str">
        <f ca="1">IFERROR(__xludf.DUMMYFUNCTION("IF(AA149 = """", """", GOOGLETRANSLATE(AA149, ""en"", ""bn""))"),"আবেগপ্রবণ কাজ এড়িয়ে চলুন")</f>
        <v>আবেগপ্রবণ কাজ এড়িয়ে চলুন</v>
      </c>
      <c r="AR149" s="5" t="str">
        <f ca="1">IFERROR(__xludf.DUMMYFUNCTION("IF(AB149 = """", """", GOOGLETRANSLATE(AB149, ""en"", ""bn""))"),"")</f>
        <v/>
      </c>
      <c r="AU149" s="5" t="str">
        <f ca="1">IFERROR(__xludf.DUMMYFUNCTION("IF(Y149 = """", """", GOOGLETRANSLATE(Y149, ""en"", ""te""))"),"నిలిచిపోయిన పనులకు మంచి రోజు")</f>
        <v>నిలిచిపోయిన పనులకు మంచి రోజు</v>
      </c>
      <c r="AV149" s="5" t="str">
        <f ca="1">IFERROR(__xludf.DUMMYFUNCTION("IF(Z149 = """", """", GOOGLETRANSLATE(Z149, ""en"", ""te""))"),"పక్కాగా ప్లాన్ చేసుకోవాలి")</f>
        <v>పక్కాగా ప్లాన్ చేసుకోవాలి</v>
      </c>
      <c r="AW149" s="5" t="str">
        <f ca="1">IFERROR(__xludf.DUMMYFUNCTION("IF(AA149 = """", """", GOOGLETRANSLATE(AA149, ""en"", ""te""))"),"ఆకస్మిక చర్యలను నివారించండి")</f>
        <v>ఆకస్మిక చర్యలను నివారించండి</v>
      </c>
      <c r="AX149" s="5" t="str">
        <f ca="1">IFERROR(__xludf.DUMMYFUNCTION("IF(AB149 = """", """", GOOGLETRANSLATE(AB149, ""en"", ""te""))"),"")</f>
        <v/>
      </c>
    </row>
    <row r="150" spans="1:50" x14ac:dyDescent="0.25">
      <c r="A150" s="1">
        <v>163</v>
      </c>
      <c r="B150" s="1" t="s">
        <v>56</v>
      </c>
      <c r="C150" s="8">
        <v>45835</v>
      </c>
      <c r="D150" s="8">
        <v>45835</v>
      </c>
      <c r="E150" s="1">
        <v>9</v>
      </c>
      <c r="F150" s="1">
        <v>1</v>
      </c>
      <c r="G150" s="3" t="s">
        <v>489</v>
      </c>
      <c r="H150" s="4">
        <v>1.0011574074074074E-2</v>
      </c>
      <c r="I150" s="4">
        <v>5.5324074074074078E-3</v>
      </c>
      <c r="J150" s="4">
        <v>5.9490740740740745E-3</v>
      </c>
      <c r="K150" s="1" t="s">
        <v>58</v>
      </c>
      <c r="L150" s="1" t="s">
        <v>72</v>
      </c>
      <c r="M150" s="1" t="s">
        <v>490</v>
      </c>
      <c r="O150" s="1" t="s">
        <v>61</v>
      </c>
      <c r="P150" s="1" t="s">
        <v>61</v>
      </c>
      <c r="Q150" s="1" t="s">
        <v>61</v>
      </c>
      <c r="R150" s="1" t="s">
        <v>61</v>
      </c>
      <c r="S150" s="1" t="s">
        <v>61</v>
      </c>
      <c r="T150" s="1" t="s">
        <v>61</v>
      </c>
      <c r="V150" s="1" t="s">
        <v>61</v>
      </c>
      <c r="W150" s="1" t="s">
        <v>61</v>
      </c>
      <c r="X150" s="1" t="s">
        <v>61</v>
      </c>
      <c r="Y150" s="1" t="s">
        <v>512</v>
      </c>
      <c r="Z150" s="1" t="s">
        <v>513</v>
      </c>
      <c r="AA150" s="1" t="s">
        <v>514</v>
      </c>
      <c r="AB150" s="1" t="s">
        <v>434</v>
      </c>
      <c r="AC150" s="5" t="str">
        <f ca="1">IFERROR(__xludf.DUMMYFUNCTION("IF(Y150 = """", """", GOOGLETRANSLATE(Y150, ""en"", ""hi""))
"),"निराशा")</f>
        <v>निराशा</v>
      </c>
      <c r="AD150" s="5" t="str">
        <f ca="1">IFERROR(__xludf.DUMMYFUNCTION("IF(Z150 = """", """", GOOGLETRANSLATE(Z150, ""en"", ""hi""))"),"आत्मविश्वास कम")</f>
        <v>आत्मविश्वास कम</v>
      </c>
      <c r="AE150" s="5" t="str">
        <f ca="1">IFERROR(__xludf.DUMMYFUNCTION("IF(AA150 = """", """", GOOGLETRANSLATE(AA150, ""en"", ""hi""))"),"स्वास्थ्य संबंधी समस्याएँ संभव")</f>
        <v>स्वास्थ्य संबंधी समस्याएँ संभव</v>
      </c>
      <c r="AF150" s="5" t="str">
        <f ca="1">IFERROR(__xludf.DUMMYFUNCTION("IF(AB150 = """", """", GOOGLETRANSLATE(AB150, ""en"", ""hi""))"),"शांत रहें")</f>
        <v>शांत रहें</v>
      </c>
      <c r="AG150" s="5" t="str">
        <f ca="1">IFERROR(__xludf.DUMMYFUNCTION("IF(Y150 = """", """", GOOGLETRANSLATE(Y150, ""en"", ""mr""))"),"निराशा")</f>
        <v>निराशा</v>
      </c>
      <c r="AH150" s="5" t="str">
        <f ca="1">IFERROR(__xludf.DUMMYFUNCTION("IF(Z150 = """", """", GOOGLETRANSLATE(Z150, ""en"", ""mr""))"),"आत्मविश्वास कमी")</f>
        <v>आत्मविश्वास कमी</v>
      </c>
      <c r="AI150" s="5" t="str">
        <f ca="1">IFERROR(__xludf.DUMMYFUNCTION("IF(AA150 = """", """", GOOGLETRANSLATE(AA150, ""en"", ""mr""))"),"आरोग्याच्या समस्या संभवतात")</f>
        <v>आरोग्याच्या समस्या संभवतात</v>
      </c>
      <c r="AJ150" s="5" t="str">
        <f ca="1">IFERROR(__xludf.DUMMYFUNCTION("IF(AB150 = """", """", GOOGLETRANSLATE(AB150, ""en"", ""mr""))"),"शांत राहा")</f>
        <v>शांत राहा</v>
      </c>
      <c r="AK150" s="5" t="str">
        <f ca="1">IFERROR(__xludf.DUMMYFUNCTION("IF(Y150 = """", """", GOOGLETRANSLATE(Y150, ""en"", ""gu""))"),"હતાશા")</f>
        <v>હતાશા</v>
      </c>
      <c r="AL150" s="5" t="str">
        <f ca="1">IFERROR(__xludf.DUMMYFUNCTION("IF(Z150 = """", """", GOOGLETRANSLATE(Z150, ""en"", ""gu""))"),"આત્મવિશ્વાસ ઓછો")</f>
        <v>આત્મવિશ્વાસ ઓછો</v>
      </c>
      <c r="AM150" s="5" t="str">
        <f ca="1">IFERROR(__xludf.DUMMYFUNCTION("IF(AA150 = """", """", GOOGLETRANSLATE(AA150, ""en"", ""gu""))"),"સ્વાસ્થ્ય સંબંધી સમસ્યાઓ શક્ય છે")</f>
        <v>સ્વાસ્થ્ય સંબંધી સમસ્યાઓ શક્ય છે</v>
      </c>
      <c r="AN150" s="5" t="str">
        <f ca="1">IFERROR(__xludf.DUMMYFUNCTION("IF(AB150 = """", """", GOOGLETRANSLATE(AB150, ""en"", ""gu""))"),"શાંત રહો")</f>
        <v>શાંત રહો</v>
      </c>
      <c r="AO150" s="5" t="str">
        <f ca="1">IFERROR(__xludf.DUMMYFUNCTION("IF(Y150 = """", """", GOOGLETRANSLATE(Y150, ""en"", ""bn""))"),"হতাশা")</f>
        <v>হতাশা</v>
      </c>
      <c r="AP150" s="5" t="str">
        <f ca="1">IFERROR(__xludf.DUMMYFUNCTION("IF(Z150 = """", """", GOOGLETRANSLATE(Z150, ""en"", ""bn""))"),"আত্মবিশ্বাস কম")</f>
        <v>আত্মবিশ্বাস কম</v>
      </c>
      <c r="AQ150" s="5" t="str">
        <f ca="1">IFERROR(__xludf.DUMMYFUNCTION("IF(AA150 = """", """", GOOGLETRANSLATE(AA150, ""en"", ""bn""))"),"স্বাস্থ্য সমস্যা সম্ভব")</f>
        <v>স্বাস্থ্য সমস্যা সম্ভব</v>
      </c>
      <c r="AR150" s="5" t="str">
        <f ca="1">IFERROR(__xludf.DUMMYFUNCTION("IF(AB150 = """", """", GOOGLETRANSLATE(AB150, ""en"", ""bn""))"),"শান্ত থাকুন")</f>
        <v>শান্ত থাকুন</v>
      </c>
      <c r="AU150" s="5" t="str">
        <f ca="1">IFERROR(__xludf.DUMMYFUNCTION("IF(Y150 = """", """", GOOGLETRANSLATE(Y150, ""en"", ""te""))"),"నిరాశ")</f>
        <v>నిరాశ</v>
      </c>
      <c r="AV150" s="5" t="str">
        <f ca="1">IFERROR(__xludf.DUMMYFUNCTION("IF(Z150 = """", """", GOOGLETRANSLATE(Z150, ""en"", ""te""))"),"ఆత్మవిశ్వాసం తక్కువ")</f>
        <v>ఆత్మవిశ్వాసం తక్కువ</v>
      </c>
      <c r="AW150" s="5" t="str">
        <f ca="1">IFERROR(__xludf.DUMMYFUNCTION("IF(AA150 = """", """", GOOGLETRANSLATE(AA150, ""en"", ""te""))"),"ఆరోగ్య సమస్యలు వచ్చే అవకాశం ఉంది")</f>
        <v>ఆరోగ్య సమస్యలు వచ్చే అవకాశం ఉంది</v>
      </c>
      <c r="AX150" s="5" t="str">
        <f ca="1">IFERROR(__xludf.DUMMYFUNCTION("IF(AB150 = """", """", GOOGLETRANSLATE(AB150, ""en"", ""te""))"),"ప్రశాంతంగా ఉండు")</f>
        <v>ప్రశాంతంగా ఉండు</v>
      </c>
    </row>
    <row r="151" spans="1:50" x14ac:dyDescent="0.25">
      <c r="A151" s="1">
        <v>164</v>
      </c>
      <c r="B151" s="1" t="s">
        <v>56</v>
      </c>
      <c r="C151" s="8">
        <v>45835</v>
      </c>
      <c r="D151" s="8">
        <v>45835</v>
      </c>
      <c r="E151" s="1">
        <v>10</v>
      </c>
      <c r="F151" s="1">
        <v>1</v>
      </c>
      <c r="G151" s="3" t="s">
        <v>489</v>
      </c>
      <c r="H151" s="4">
        <v>1.0011574074074074E-2</v>
      </c>
      <c r="I151" s="4">
        <v>5.9490740740740745E-3</v>
      </c>
      <c r="J151" s="4">
        <v>6.4467592592592588E-3</v>
      </c>
      <c r="K151" s="1" t="s">
        <v>58</v>
      </c>
      <c r="L151" s="1" t="s">
        <v>76</v>
      </c>
      <c r="M151" s="1" t="s">
        <v>14</v>
      </c>
      <c r="O151" s="1" t="s">
        <v>61</v>
      </c>
      <c r="P151" s="1" t="s">
        <v>61</v>
      </c>
      <c r="Q151" s="1" t="s">
        <v>61</v>
      </c>
      <c r="R151" s="1" t="s">
        <v>61</v>
      </c>
      <c r="S151" s="1" t="s">
        <v>61</v>
      </c>
      <c r="T151" s="1" t="s">
        <v>61</v>
      </c>
      <c r="V151" s="1" t="s">
        <v>61</v>
      </c>
      <c r="W151" s="1" t="s">
        <v>61</v>
      </c>
      <c r="X151" s="1" t="s">
        <v>61</v>
      </c>
      <c r="Y151" s="1" t="s">
        <v>515</v>
      </c>
      <c r="Z151" s="1" t="s">
        <v>516</v>
      </c>
      <c r="AA151" s="1" t="s">
        <v>178</v>
      </c>
      <c r="AB151" s="1"/>
      <c r="AC151" s="5" t="str">
        <f ca="1">IFERROR(__xludf.DUMMYFUNCTION("IF(Y151 = """", """", GOOGLETRANSLATE(Y151, ""en"", ""hi""))
"),"बड़े निर्णयों के लिए बढ़िया")</f>
        <v>बड़े निर्णयों के लिए बढ़िया</v>
      </c>
      <c r="AD151" s="5" t="str">
        <f ca="1">IFERROR(__xludf.DUMMYFUNCTION("IF(Z151 = """", """", GOOGLETRANSLATE(Z151, ""en"", ""hi""))"),"सरकारी काम को तरजीह दी गई")</f>
        <v>सरकारी काम को तरजीह दी गई</v>
      </c>
      <c r="AE151" s="5" t="str">
        <f ca="1">IFERROR(__xludf.DUMMYFUNCTION("IF(AA151 = """", """", GOOGLETRANSLATE(AA151, ""en"", ""hi""))"),"वाणी पर नियंत्रण रखें")</f>
        <v>वाणी पर नियंत्रण रखें</v>
      </c>
      <c r="AF151" s="5" t="str">
        <f ca="1">IFERROR(__xludf.DUMMYFUNCTION("IF(AB151 = """", """", GOOGLETRANSLATE(AB151, ""en"", ""hi""))"),"")</f>
        <v/>
      </c>
      <c r="AG151" s="5" t="str">
        <f ca="1">IFERROR(__xludf.DUMMYFUNCTION("IF(Y151 = """", """", GOOGLETRANSLATE(Y151, ""en"", ""mr""))"),"मोठ्या निर्णयांसाठी उत्तम")</f>
        <v>मोठ्या निर्णयांसाठी उत्तम</v>
      </c>
      <c r="AH151" s="5" t="str">
        <f ca="1">IFERROR(__xludf.DUMMYFUNCTION("IF(Z151 = """", """", GOOGLETRANSLATE(Z151, ""en"", ""mr""))"),"सरकारी कामाला अनुकूलता")</f>
        <v>सरकारी कामाला अनुकूलता</v>
      </c>
      <c r="AI151" s="5" t="str">
        <f ca="1">IFERROR(__xludf.DUMMYFUNCTION("IF(AA151 = """", """", GOOGLETRANSLATE(AA151, ""en"", ""mr""))"),"वाणीवर नियंत्रण ठेवा")</f>
        <v>वाणीवर नियंत्रण ठेवा</v>
      </c>
      <c r="AJ151" s="5" t="str">
        <f ca="1">IFERROR(__xludf.DUMMYFUNCTION("IF(AB151 = """", """", GOOGLETRANSLATE(AB151, ""en"", ""mr""))"),"")</f>
        <v/>
      </c>
      <c r="AK151" s="5" t="str">
        <f ca="1">IFERROR(__xludf.DUMMYFUNCTION("IF(Y151 = """", """", GOOGLETRANSLATE(Y151, ""en"", ""gu""))"),"મોટા નિર્ણયો માટે ઉત્તમ")</f>
        <v>મોટા નિર્ણયો માટે ઉત્તમ</v>
      </c>
      <c r="AL151" s="5" t="str">
        <f ca="1">IFERROR(__xludf.DUMMYFUNCTION("IF(Z151 = """", """", GOOGLETRANSLATE(Z151, ""en"", ""gu""))"),"સરકારી કામો તરફી")</f>
        <v>સરકારી કામો તરફી</v>
      </c>
      <c r="AM151" s="5" t="str">
        <f ca="1">IFERROR(__xludf.DUMMYFUNCTION("IF(AA151 = """", """", GOOGLETRANSLATE(AA151, ""en"", ""gu""))"),"વાણી પર નિયંત્રણ રાખો")</f>
        <v>વાણી પર નિયંત્રણ રાખો</v>
      </c>
      <c r="AN151" s="5" t="str">
        <f ca="1">IFERROR(__xludf.DUMMYFUNCTION("IF(AB151 = """", """", GOOGLETRANSLATE(AB151, ""en"", ""gu""))"),"")</f>
        <v/>
      </c>
      <c r="AO151" s="5" t="str">
        <f ca="1">IFERROR(__xludf.DUMMYFUNCTION("IF(Y151 = """", """", GOOGLETRANSLATE(Y151, ""en"", ""bn""))"),"বড় সিদ্ধান্তের জন্য দুর্দান্ত")</f>
        <v>বড় সিদ্ধান্তের জন্য দুর্দান্ত</v>
      </c>
      <c r="AP151" s="5" t="str">
        <f ca="1">IFERROR(__xludf.DUMMYFUNCTION("IF(Z151 = """", """", GOOGLETRANSLATE(Z151, ""en"", ""bn""))"),"সরকারী কাজ সুবিধাজনক")</f>
        <v>সরকারী কাজ সুবিধাজনক</v>
      </c>
      <c r="AQ151" s="5" t="str">
        <f ca="1">IFERROR(__xludf.DUMMYFUNCTION("IF(AA151 = """", """", GOOGLETRANSLATE(AA151, ""en"", ""bn""))"),"বক্তৃতা নিয়ন্ত্রণ করুন")</f>
        <v>বক্তৃতা নিয়ন্ত্রণ করুন</v>
      </c>
      <c r="AR151" s="5" t="str">
        <f ca="1">IFERROR(__xludf.DUMMYFUNCTION("IF(AB151 = """", """", GOOGLETRANSLATE(AB151, ""en"", ""bn""))"),"")</f>
        <v/>
      </c>
      <c r="AU151" s="5" t="str">
        <f ca="1">IFERROR(__xludf.DUMMYFUNCTION("IF(Y151 = """", """", GOOGLETRANSLATE(Y151, ""en"", ""te""))"),"ముఖ్య నిర్ణయాలకు అనుకూలం")</f>
        <v>ముఖ్య నిర్ణయాలకు అనుకూలం</v>
      </c>
      <c r="AV151" s="5" t="str">
        <f ca="1">IFERROR(__xludf.DUMMYFUNCTION("IF(Z151 = """", """", GOOGLETRANSLATE(Z151, ""en"", ""te""))"),"ప్రభుత్వ పనులు అనుకూలిస్తాయి")</f>
        <v>ప్రభుత్వ పనులు అనుకూలిస్తాయి</v>
      </c>
      <c r="AW151" s="5" t="str">
        <f ca="1">IFERROR(__xludf.DUMMYFUNCTION("IF(AA151 = """", """", GOOGLETRANSLATE(AA151, ""en"", ""te""))"),"ప్రసంగాన్ని నియంత్రించండి")</f>
        <v>ప్రసంగాన్ని నియంత్రించండి</v>
      </c>
      <c r="AX151" s="5" t="str">
        <f ca="1">IFERROR(__xludf.DUMMYFUNCTION("IF(AB151 = """", """", GOOGLETRANSLATE(AB151, ""en"", ""te""))"),"")</f>
        <v/>
      </c>
    </row>
    <row r="152" spans="1:50" x14ac:dyDescent="0.25">
      <c r="A152" s="1">
        <v>165</v>
      </c>
      <c r="B152" s="1" t="s">
        <v>56</v>
      </c>
      <c r="C152" s="8">
        <v>45835</v>
      </c>
      <c r="D152" s="8">
        <v>45835</v>
      </c>
      <c r="E152" s="1">
        <v>11</v>
      </c>
      <c r="F152" s="1">
        <v>1</v>
      </c>
      <c r="G152" s="3" t="s">
        <v>489</v>
      </c>
      <c r="H152" s="4">
        <v>1.0011574074074074E-2</v>
      </c>
      <c r="I152" s="4">
        <v>6.4467592592592588E-3</v>
      </c>
      <c r="J152" s="4">
        <v>6.9675925925925929E-3</v>
      </c>
      <c r="K152" s="1" t="s">
        <v>58</v>
      </c>
      <c r="L152" s="1" t="s">
        <v>79</v>
      </c>
      <c r="M152" s="1" t="s">
        <v>14</v>
      </c>
      <c r="O152" s="1" t="s">
        <v>61</v>
      </c>
      <c r="P152" s="1" t="s">
        <v>61</v>
      </c>
      <c r="Q152" s="1" t="s">
        <v>61</v>
      </c>
      <c r="R152" s="1" t="s">
        <v>61</v>
      </c>
      <c r="S152" s="1" t="s">
        <v>61</v>
      </c>
      <c r="T152" s="1" t="s">
        <v>61</v>
      </c>
      <c r="V152" s="1" t="s">
        <v>61</v>
      </c>
      <c r="W152" s="1" t="s">
        <v>61</v>
      </c>
      <c r="X152" s="1" t="s">
        <v>61</v>
      </c>
      <c r="Y152" s="1" t="s">
        <v>517</v>
      </c>
      <c r="Z152" s="1" t="s">
        <v>518</v>
      </c>
      <c r="AA152" s="1" t="s">
        <v>519</v>
      </c>
      <c r="AB152" s="1"/>
      <c r="AC152" s="5" t="str">
        <f ca="1">IFERROR(__xludf.DUMMYFUNCTION("IF(Y152 = """", """", GOOGLETRANSLATE(Y152, ""en"", ""hi""))
"),"परिवार से समर्थन")</f>
        <v>परिवार से समर्थन</v>
      </c>
      <c r="AD152" s="5" t="str">
        <f ca="1">IFERROR(__xludf.DUMMYFUNCTION("IF(Z152 = """", """", GOOGLETRANSLATE(Z152, ""en"", ""hi""))"),"छिपे हुए दुश्मनों का खुलासा")</f>
        <v>छिपे हुए दुश्मनों का खुलासा</v>
      </c>
      <c r="AE152" s="5" t="str">
        <f ca="1">IFERROR(__xludf.DUMMYFUNCTION("IF(AA152 = """", """", GOOGLETRANSLATE(AA152, ""en"", ""hi""))"),"तुरंत प्रतिक्रिया न करें")</f>
        <v>तुरंत प्रतिक्रिया न करें</v>
      </c>
      <c r="AF152" s="5" t="str">
        <f ca="1">IFERROR(__xludf.DUMMYFUNCTION("IF(AB152 = """", """", GOOGLETRANSLATE(AB152, ""en"", ""hi""))"),"")</f>
        <v/>
      </c>
      <c r="AG152" s="5" t="str">
        <f ca="1">IFERROR(__xludf.DUMMYFUNCTION("IF(Y152 = """", """", GOOGLETRANSLATE(Y152, ""en"", ""mr""))"),"कुटुंबाकडून सहकार्य मिळेल")</f>
        <v>कुटुंबाकडून सहकार्य मिळेल</v>
      </c>
      <c r="AH152" s="5" t="str">
        <f ca="1">IFERROR(__xludf.DUMMYFUNCTION("IF(Z152 = """", """", GOOGLETRANSLATE(Z152, ""en"", ""mr""))"),"लपलेले शत्रू उघड झाले")</f>
        <v>लपलेले शत्रू उघड झाले</v>
      </c>
      <c r="AI152" s="5" t="str">
        <f ca="1">IFERROR(__xludf.DUMMYFUNCTION("IF(AA152 = """", """", GOOGLETRANSLATE(AA152, ""en"", ""mr""))"),"लगेच प्रतिक्रिया देऊ नका")</f>
        <v>लगेच प्रतिक्रिया देऊ नका</v>
      </c>
      <c r="AJ152" s="5" t="str">
        <f ca="1">IFERROR(__xludf.DUMMYFUNCTION("IF(AB152 = """", """", GOOGLETRANSLATE(AB152, ""en"", ""mr""))"),"")</f>
        <v/>
      </c>
      <c r="AK152" s="5" t="str">
        <f ca="1">IFERROR(__xludf.DUMMYFUNCTION("IF(Y152 = """", """", GOOGLETRANSLATE(Y152, ""en"", ""gu""))"),"પરિવાર તરફથી સહયોગ મળશે")</f>
        <v>પરિવાર તરફથી સહયોગ મળશે</v>
      </c>
      <c r="AL152" s="5" t="str">
        <f ca="1">IFERROR(__xludf.DUMMYFUNCTION("IF(Z152 = """", """", GOOGLETRANSLATE(Z152, ""en"", ""gu""))"),"છુપાયેલા દુશ્મનો જાહેર")</f>
        <v>છુપાયેલા દુશ્મનો જાહેર</v>
      </c>
      <c r="AM152" s="5" t="str">
        <f ca="1">IFERROR(__xludf.DUMMYFUNCTION("IF(AA152 = """", """", GOOGLETRANSLATE(AA152, ""en"", ""gu""))"),"તરત જ પ્રતિક્રિયા આપશો નહીં")</f>
        <v>તરત જ પ્રતિક્રિયા આપશો નહીં</v>
      </c>
      <c r="AN152" s="5" t="str">
        <f ca="1">IFERROR(__xludf.DUMMYFUNCTION("IF(AB152 = """", """", GOOGLETRANSLATE(AB152, ""en"", ""gu""))"),"")</f>
        <v/>
      </c>
      <c r="AO152" s="5" t="str">
        <f ca="1">IFERROR(__xludf.DUMMYFUNCTION("IF(Y152 = """", """", GOOGLETRANSLATE(Y152, ""en"", ""bn""))"),"পরিবার থেকে সমর্থন")</f>
        <v>পরিবার থেকে সমর্থন</v>
      </c>
      <c r="AP152" s="5" t="str">
        <f ca="1">IFERROR(__xludf.DUMMYFUNCTION("IF(Z152 = """", """", GOOGLETRANSLATE(Z152, ""en"", ""bn""))"),"লুকানো শত্রু প্রকাশ")</f>
        <v>লুকানো শত্রু প্রকাশ</v>
      </c>
      <c r="AQ152" s="5" t="str">
        <f ca="1">IFERROR(__xludf.DUMMYFUNCTION("IF(AA152 = """", """", GOOGLETRANSLATE(AA152, ""en"", ""bn""))"),"অবিলম্বে প্রতিক্রিয়া করবেন না")</f>
        <v>অবিলম্বে প্রতিক্রিয়া করবেন না</v>
      </c>
      <c r="AR152" s="5" t="str">
        <f ca="1">IFERROR(__xludf.DUMMYFUNCTION("IF(AB152 = """", """", GOOGLETRANSLATE(AB152, ""en"", ""bn""))"),"")</f>
        <v/>
      </c>
      <c r="AU152" s="5" t="str">
        <f ca="1">IFERROR(__xludf.DUMMYFUNCTION("IF(Y152 = """", """", GOOGLETRANSLATE(Y152, ""en"", ""te""))"),"కుటుంబం నుండి మద్దతు")</f>
        <v>కుటుంబం నుండి మద్దతు</v>
      </c>
      <c r="AV152" s="5" t="str">
        <f ca="1">IFERROR(__xludf.DUMMYFUNCTION("IF(Z152 = """", """", GOOGLETRANSLATE(Z152, ""en"", ""te""))"),"దాగి ఉన్న శత్రువులు బయటపడ్డారు")</f>
        <v>దాగి ఉన్న శత్రువులు బయటపడ్డారు</v>
      </c>
      <c r="AW152" s="5" t="str">
        <f ca="1">IFERROR(__xludf.DUMMYFUNCTION("IF(AA152 = """", """", GOOGLETRANSLATE(AA152, ""en"", ""te""))"),"వెంటనే స్పందించవద్దు")</f>
        <v>వెంటనే స్పందించవద్దు</v>
      </c>
      <c r="AX152" s="5" t="str">
        <f ca="1">IFERROR(__xludf.DUMMYFUNCTION("IF(AB152 = """", """", GOOGLETRANSLATE(AB152, ""en"", ""te""))"),"")</f>
        <v/>
      </c>
    </row>
    <row r="153" spans="1:50" x14ac:dyDescent="0.25">
      <c r="A153" s="1">
        <v>166</v>
      </c>
      <c r="B153" s="1" t="s">
        <v>56</v>
      </c>
      <c r="C153" s="8">
        <v>45835</v>
      </c>
      <c r="D153" s="8">
        <v>45835</v>
      </c>
      <c r="E153" s="1">
        <v>12</v>
      </c>
      <c r="F153" s="1">
        <v>1</v>
      </c>
      <c r="G153" s="3" t="s">
        <v>489</v>
      </c>
      <c r="H153" s="4">
        <v>1.0011574074074074E-2</v>
      </c>
      <c r="I153" s="4">
        <v>6.9675925925925929E-3</v>
      </c>
      <c r="J153" s="4">
        <v>7.2106481481481483E-3</v>
      </c>
      <c r="K153" s="1" t="s">
        <v>58</v>
      </c>
      <c r="L153" s="1" t="s">
        <v>81</v>
      </c>
      <c r="M153" s="1" t="s">
        <v>14</v>
      </c>
      <c r="O153" s="1" t="s">
        <v>61</v>
      </c>
      <c r="P153" s="1" t="s">
        <v>61</v>
      </c>
      <c r="Q153" s="1" t="s">
        <v>61</v>
      </c>
      <c r="R153" s="1" t="s">
        <v>61</v>
      </c>
      <c r="S153" s="1" t="s">
        <v>61</v>
      </c>
      <c r="T153" s="1" t="s">
        <v>61</v>
      </c>
      <c r="V153" s="1" t="s">
        <v>61</v>
      </c>
      <c r="W153" s="1" t="s">
        <v>61</v>
      </c>
      <c r="X153" s="1" t="s">
        <v>61</v>
      </c>
      <c r="Y153" s="1" t="s">
        <v>520</v>
      </c>
      <c r="Z153" s="1" t="s">
        <v>521</v>
      </c>
      <c r="AA153" s="1" t="s">
        <v>522</v>
      </c>
      <c r="AB153" s="1" t="s">
        <v>494</v>
      </c>
      <c r="AC153" s="5" t="str">
        <f ca="1">IFERROR(__xludf.DUMMYFUNCTION("IF(Y153 = """", """", GOOGLETRANSLATE(Y153, ""en"", ""hi""))
"),"आनंदमय दिन")</f>
        <v>आनंदमय दिन</v>
      </c>
      <c r="AD153" s="5" t="str">
        <f ca="1">IFERROR(__xludf.DUMMYFUNCTION("IF(Z153 = """", """", GOOGLETRANSLATE(Z153, ""en"", ""hi""))"),"पुराने कार्यों को साफ़ करें")</f>
        <v>पुराने कार्यों को साफ़ करें</v>
      </c>
      <c r="AE153" s="5" t="str">
        <f ca="1">IFERROR(__xludf.DUMMYFUNCTION("IF(AA153 = """", """", GOOGLETRANSLATE(AA153, ""en"", ""hi""))"),"अच्छे करियर के विचार")</f>
        <v>अच्छे करियर के विचार</v>
      </c>
      <c r="AF153" s="5" t="str">
        <f ca="1">IFERROR(__xludf.DUMMYFUNCTION("IF(AB153 = """", """", GOOGLETRANSLATE(AB153, ""en"", ""hi""))"),"परिवार का समर्थन")</f>
        <v>परिवार का समर्थन</v>
      </c>
      <c r="AG153" s="5" t="str">
        <f ca="1">IFERROR(__xludf.DUMMYFUNCTION("IF(Y153 = """", """", GOOGLETRANSLATE(Y153, ""en"", ""mr""))"),"आनंदाचा दिवस")</f>
        <v>आनंदाचा दिवस</v>
      </c>
      <c r="AH153" s="5" t="str">
        <f ca="1">IFERROR(__xludf.DUMMYFUNCTION("IF(Z153 = """", """", GOOGLETRANSLATE(Z153, ""en"", ""mr""))"),"जुनी कामे मार्गी लावा")</f>
        <v>जुनी कामे मार्गी लावा</v>
      </c>
      <c r="AI153" s="5" t="str">
        <f ca="1">IFERROR(__xludf.DUMMYFUNCTION("IF(AA153 = """", """", GOOGLETRANSLATE(AA153, ""en"", ""mr""))"),"उत्तम करिअर कल्पना")</f>
        <v>उत्तम करिअर कल्पना</v>
      </c>
      <c r="AJ153" s="5" t="str">
        <f ca="1">IFERROR(__xludf.DUMMYFUNCTION("IF(AB153 = """", """", GOOGLETRANSLATE(AB153, ""en"", ""mr""))"),"कुटुंबाचा आधार मिळेल")</f>
        <v>कुटुंबाचा आधार मिळेल</v>
      </c>
      <c r="AK153" s="5" t="str">
        <f ca="1">IFERROR(__xludf.DUMMYFUNCTION("IF(Y153 = """", """", GOOGLETRANSLATE(Y153, ""en"", ""gu""))"),"આનંદદાયક દિવસ")</f>
        <v>આનંદદાયક દિવસ</v>
      </c>
      <c r="AL153" s="5" t="str">
        <f ca="1">IFERROR(__xludf.DUMMYFUNCTION("IF(Z153 = """", """", GOOGLETRANSLATE(Z153, ""en"", ""gu""))"),"જૂના કાર્યો સાફ કરો")</f>
        <v>જૂના કાર્યો સાફ કરો</v>
      </c>
      <c r="AM153" s="5" t="str">
        <f ca="1">IFERROR(__xludf.DUMMYFUNCTION("IF(AA153 = """", """", GOOGLETRANSLATE(AA153, ""en"", ""gu""))"),"કારકિર્દીના સારા વિચારો")</f>
        <v>કારકિર્દીના સારા વિચારો</v>
      </c>
      <c r="AN153" s="5" t="str">
        <f ca="1">IFERROR(__xludf.DUMMYFUNCTION("IF(AB153 = """", """", GOOGLETRANSLATE(AB153, ""en"", ""gu""))"),"પરિવારનો સહયોગ મળે")</f>
        <v>પરિવારનો સહયોગ મળે</v>
      </c>
      <c r="AO153" s="5" t="str">
        <f ca="1">IFERROR(__xludf.DUMMYFUNCTION("IF(Y153 = """", """", GOOGLETRANSLATE(Y153, ""en"", ""bn""))"),"আনন্দের দিন")</f>
        <v>আনন্দের দিন</v>
      </c>
      <c r="AP153" s="5" t="str">
        <f ca="1">IFERROR(__xludf.DUMMYFUNCTION("IF(Z153 = """", """", GOOGLETRANSLATE(Z153, ""en"", ""bn""))"),"পুরানো কাজগুলি পরিষ্কার করুন")</f>
        <v>পুরানো কাজগুলি পরিষ্কার করুন</v>
      </c>
      <c r="AQ153" s="5" t="str">
        <f ca="1">IFERROR(__xludf.DUMMYFUNCTION("IF(AA153 = """", """", GOOGLETRANSLATE(AA153, ""en"", ""bn""))"),"ভালো ক্যারিয়ারের আইডিয়া")</f>
        <v>ভালো ক্যারিয়ারের আইডিয়া</v>
      </c>
      <c r="AR153" s="5" t="str">
        <f ca="1">IFERROR(__xludf.DUMMYFUNCTION("IF(AB153 = """", """", GOOGLETRANSLATE(AB153, ""en"", ""bn""))"),"পরিবারের সমর্থন")</f>
        <v>পরিবারের সমর্থন</v>
      </c>
      <c r="AU153" s="5" t="str">
        <f ca="1">IFERROR(__xludf.DUMMYFUNCTION("IF(Y153 = """", """", GOOGLETRANSLATE(Y153, ""en"", ""te""))"),"సంతోషకరమైన రోజు")</f>
        <v>సంతోషకరమైన రోజు</v>
      </c>
      <c r="AV153" s="5" t="str">
        <f ca="1">IFERROR(__xludf.DUMMYFUNCTION("IF(Z153 = """", """", GOOGLETRANSLATE(Z153, ""en"", ""te""))"),"పాత పనులను క్లియర్ చేయండి")</f>
        <v>పాత పనులను క్లియర్ చేయండి</v>
      </c>
      <c r="AW153" s="5" t="str">
        <f ca="1">IFERROR(__xludf.DUMMYFUNCTION("IF(AA153 = """", """", GOOGLETRANSLATE(AA153, ""en"", ""te""))"),"మంచి కెరీర్ ఆలోచనలు")</f>
        <v>మంచి కెరీర్ ఆలోచనలు</v>
      </c>
      <c r="AX153" s="5" t="str">
        <f ca="1">IFERROR(__xludf.DUMMYFUNCTION("IF(AB153 = """", """", GOOGLETRANSLATE(AB153, ""en"", ""te""))"),"కుటుంబ మద్దతు")</f>
        <v>కుటుంబ మద్దతు</v>
      </c>
    </row>
    <row r="154" spans="1:50" x14ac:dyDescent="0.25">
      <c r="A154" s="1">
        <v>167</v>
      </c>
      <c r="B154" s="1" t="s">
        <v>56</v>
      </c>
      <c r="C154" s="8">
        <v>45835</v>
      </c>
      <c r="D154" s="8">
        <v>45835</v>
      </c>
      <c r="E154" s="1">
        <v>13</v>
      </c>
      <c r="F154" s="1">
        <v>1</v>
      </c>
      <c r="G154" s="3" t="s">
        <v>489</v>
      </c>
      <c r="H154" s="4">
        <v>1.0011574074074074E-2</v>
      </c>
      <c r="I154" s="4">
        <v>7.2106481481481483E-3</v>
      </c>
      <c r="J154" s="4">
        <v>1.0011574074074074E-2</v>
      </c>
      <c r="K154" s="1" t="s">
        <v>58</v>
      </c>
      <c r="L154" s="1" t="s">
        <v>137</v>
      </c>
      <c r="O154" s="1" t="s">
        <v>61</v>
      </c>
      <c r="P154" s="1" t="s">
        <v>61</v>
      </c>
      <c r="Q154" s="1" t="s">
        <v>61</v>
      </c>
      <c r="R154" s="1" t="s">
        <v>61</v>
      </c>
      <c r="S154" s="1" t="s">
        <v>61</v>
      </c>
      <c r="T154" s="1" t="s">
        <v>61</v>
      </c>
      <c r="V154" s="1" t="s">
        <v>61</v>
      </c>
      <c r="W154" s="1" t="s">
        <v>61</v>
      </c>
      <c r="X154" s="1" t="s">
        <v>61</v>
      </c>
      <c r="AB154" s="1"/>
      <c r="AC154" s="5" t="str">
        <f ca="1">IFERROR(__xludf.DUMMYFUNCTION("IF(Y154 = """", """", GOOGLETRANSLATE(Y154, ""en"", ""hi""))
"),"")</f>
        <v/>
      </c>
      <c r="AD154" s="5" t="str">
        <f ca="1">IFERROR(__xludf.DUMMYFUNCTION("IF(Z154 = """", """", GOOGLETRANSLATE(Z154, ""en"", ""hi""))"),"")</f>
        <v/>
      </c>
      <c r="AE154" s="5" t="str">
        <f ca="1">IFERROR(__xludf.DUMMYFUNCTION("IF(AA154 = """", """", GOOGLETRANSLATE(AA154, ""en"", ""hi""))"),"")</f>
        <v/>
      </c>
      <c r="AF154" s="5" t="str">
        <f ca="1">IFERROR(__xludf.DUMMYFUNCTION("IF(AB154 = """", """", GOOGLETRANSLATE(AB154, ""en"", ""hi""))"),"")</f>
        <v/>
      </c>
      <c r="AG154" s="5" t="str">
        <f ca="1">IFERROR(__xludf.DUMMYFUNCTION("IF(Y154 = """", """", GOOGLETRANSLATE(Y154, ""en"", ""mr""))"),"")</f>
        <v/>
      </c>
      <c r="AH154" s="5" t="str">
        <f ca="1">IFERROR(__xludf.DUMMYFUNCTION("IF(Z154 = """", """", GOOGLETRANSLATE(Z154, ""en"", ""mr""))"),"")</f>
        <v/>
      </c>
      <c r="AI154" s="5" t="str">
        <f ca="1">IFERROR(__xludf.DUMMYFUNCTION("IF(AA154 = """", """", GOOGLETRANSLATE(AA154, ""en"", ""mr""))"),"")</f>
        <v/>
      </c>
      <c r="AJ154" s="5" t="str">
        <f ca="1">IFERROR(__xludf.DUMMYFUNCTION("IF(AB154 = """", """", GOOGLETRANSLATE(AB154, ""en"", ""mr""))"),"")</f>
        <v/>
      </c>
      <c r="AK154" s="5" t="str">
        <f ca="1">IFERROR(__xludf.DUMMYFUNCTION("IF(Y154 = """", """", GOOGLETRANSLATE(Y154, ""en"", ""gu""))"),"")</f>
        <v/>
      </c>
      <c r="AL154" s="5" t="str">
        <f ca="1">IFERROR(__xludf.DUMMYFUNCTION("IF(Z154 = """", """", GOOGLETRANSLATE(Z154, ""en"", ""gu""))"),"")</f>
        <v/>
      </c>
      <c r="AM154" s="5" t="str">
        <f ca="1">IFERROR(__xludf.DUMMYFUNCTION("IF(AA154 = """", """", GOOGLETRANSLATE(AA154, ""en"", ""gu""))"),"")</f>
        <v/>
      </c>
      <c r="AN154" s="5" t="str">
        <f ca="1">IFERROR(__xludf.DUMMYFUNCTION("IF(AB154 = """", """", GOOGLETRANSLATE(AB154, ""en"", ""gu""))"),"")</f>
        <v/>
      </c>
      <c r="AO154" s="5" t="str">
        <f ca="1">IFERROR(__xludf.DUMMYFUNCTION("IF(Y154 = """", """", GOOGLETRANSLATE(Y154, ""en"", ""bn""))"),"")</f>
        <v/>
      </c>
      <c r="AP154" s="5" t="str">
        <f ca="1">IFERROR(__xludf.DUMMYFUNCTION("IF(Z154 = """", """", GOOGLETRANSLATE(Z154, ""en"", ""bn""))"),"")</f>
        <v/>
      </c>
      <c r="AQ154" s="5" t="str">
        <f ca="1">IFERROR(__xludf.DUMMYFUNCTION("IF(AA154 = """", """", GOOGLETRANSLATE(AA154, ""en"", ""bn""))"),"")</f>
        <v/>
      </c>
      <c r="AR154" s="5" t="str">
        <f ca="1">IFERROR(__xludf.DUMMYFUNCTION("IF(AB154 = """", """", GOOGLETRANSLATE(AB154, ""en"", ""bn""))"),"")</f>
        <v/>
      </c>
      <c r="AU154" s="5" t="str">
        <f ca="1">IFERROR(__xludf.DUMMYFUNCTION("IF(Y154 = """", """", GOOGLETRANSLATE(Y154, ""en"", ""te""))"),"")</f>
        <v/>
      </c>
      <c r="AV154" s="5" t="str">
        <f ca="1">IFERROR(__xludf.DUMMYFUNCTION("IF(Z154 = """", """", GOOGLETRANSLATE(Z154, ""en"", ""te""))"),"")</f>
        <v/>
      </c>
      <c r="AW154" s="5" t="str">
        <f ca="1">IFERROR(__xludf.DUMMYFUNCTION("IF(AA154 = """", """", GOOGLETRANSLATE(AA154, ""en"", ""te""))"),"")</f>
        <v/>
      </c>
      <c r="AX154" s="5" t="str">
        <f ca="1">IFERROR(__xludf.DUMMYFUNCTION("IF(AB154 = """", """", GOOGLETRANSLATE(AB154, ""en"", ""te""))"),"")</f>
        <v/>
      </c>
    </row>
    <row r="155" spans="1:50" x14ac:dyDescent="0.25">
      <c r="A155" s="1">
        <v>168</v>
      </c>
      <c r="B155" s="1" t="s">
        <v>56</v>
      </c>
      <c r="C155" s="8">
        <v>45836</v>
      </c>
      <c r="D155" s="8">
        <v>45836</v>
      </c>
      <c r="E155" s="1">
        <v>0</v>
      </c>
      <c r="F155" s="1">
        <v>1</v>
      </c>
      <c r="G155" s="3" t="s">
        <v>170</v>
      </c>
      <c r="H155" s="4">
        <v>1.0648148148148148E-2</v>
      </c>
      <c r="I155" s="4">
        <v>0</v>
      </c>
      <c r="J155" s="4">
        <v>8.3333333333333339E-4</v>
      </c>
      <c r="K155" s="1" t="s">
        <v>58</v>
      </c>
      <c r="L155" s="1" t="s">
        <v>59</v>
      </c>
      <c r="O155" s="1" t="s">
        <v>61</v>
      </c>
      <c r="P155" s="1" t="s">
        <v>61</v>
      </c>
      <c r="Q155" s="1" t="s">
        <v>61</v>
      </c>
      <c r="R155" s="1" t="s">
        <v>61</v>
      </c>
      <c r="S155" s="1" t="s">
        <v>61</v>
      </c>
      <c r="T155" s="1" t="s">
        <v>61</v>
      </c>
      <c r="V155" s="1" t="s">
        <v>61</v>
      </c>
      <c r="W155" s="1" t="s">
        <v>61</v>
      </c>
      <c r="X155" s="1" t="s">
        <v>61</v>
      </c>
      <c r="AB155" s="1"/>
      <c r="AC155" s="5" t="str">
        <f ca="1">IFERROR(__xludf.DUMMYFUNCTION("IF(Y155 = """", """", GOOGLETRANSLATE(Y155, ""en"", ""hi""))
"),"")</f>
        <v/>
      </c>
      <c r="AD155" s="5" t="str">
        <f ca="1">IFERROR(__xludf.DUMMYFUNCTION("IF(Z155 = """", """", GOOGLETRANSLATE(Z155, ""en"", ""hi""))"),"")</f>
        <v/>
      </c>
      <c r="AE155" s="5" t="str">
        <f ca="1">IFERROR(__xludf.DUMMYFUNCTION("IF(AA155 = """", """", GOOGLETRANSLATE(AA155, ""en"", ""hi""))"),"")</f>
        <v/>
      </c>
      <c r="AF155" s="5" t="str">
        <f ca="1">IFERROR(__xludf.DUMMYFUNCTION("IF(AB155 = """", """", GOOGLETRANSLATE(AB155, ""en"", ""hi""))"),"")</f>
        <v/>
      </c>
      <c r="AG155" s="5" t="str">
        <f ca="1">IFERROR(__xludf.DUMMYFUNCTION("IF(Y155 = """", """", GOOGLETRANSLATE(Y155, ""en"", ""mr""))"),"")</f>
        <v/>
      </c>
      <c r="AH155" s="5" t="str">
        <f ca="1">IFERROR(__xludf.DUMMYFUNCTION("IF(Z155 = """", """", GOOGLETRANSLATE(Z155, ""en"", ""mr""))"),"")</f>
        <v/>
      </c>
      <c r="AI155" s="5" t="str">
        <f ca="1">IFERROR(__xludf.DUMMYFUNCTION("IF(AA155 = """", """", GOOGLETRANSLATE(AA155, ""en"", ""mr""))"),"")</f>
        <v/>
      </c>
      <c r="AJ155" s="5" t="str">
        <f ca="1">IFERROR(__xludf.DUMMYFUNCTION("IF(AB155 = """", """", GOOGLETRANSLATE(AB155, ""en"", ""mr""))"),"")</f>
        <v/>
      </c>
      <c r="AK155" s="5" t="str">
        <f ca="1">IFERROR(__xludf.DUMMYFUNCTION("IF(Y155 = """", """", GOOGLETRANSLATE(Y155, ""en"", ""gu""))"),"")</f>
        <v/>
      </c>
      <c r="AL155" s="5" t="str">
        <f ca="1">IFERROR(__xludf.DUMMYFUNCTION("IF(Z155 = """", """", GOOGLETRANSLATE(Z155, ""en"", ""gu""))"),"")</f>
        <v/>
      </c>
      <c r="AM155" s="5" t="str">
        <f ca="1">IFERROR(__xludf.DUMMYFUNCTION("IF(AA155 = """", """", GOOGLETRANSLATE(AA155, ""en"", ""gu""))"),"")</f>
        <v/>
      </c>
      <c r="AN155" s="5" t="str">
        <f ca="1">IFERROR(__xludf.DUMMYFUNCTION("IF(AB155 = """", """", GOOGLETRANSLATE(AB155, ""en"", ""gu""))"),"")</f>
        <v/>
      </c>
      <c r="AO155" s="5" t="str">
        <f ca="1">IFERROR(__xludf.DUMMYFUNCTION("IF(Y155 = """", """", GOOGLETRANSLATE(Y155, ""en"", ""bn""))"),"")</f>
        <v/>
      </c>
      <c r="AP155" s="5" t="str">
        <f ca="1">IFERROR(__xludf.DUMMYFUNCTION("IF(Z155 = """", """", GOOGLETRANSLATE(Z155, ""en"", ""bn""))"),"")</f>
        <v/>
      </c>
      <c r="AQ155" s="5" t="str">
        <f ca="1">IFERROR(__xludf.DUMMYFUNCTION("IF(AA155 = """", """", GOOGLETRANSLATE(AA155, ""en"", ""bn""))"),"")</f>
        <v/>
      </c>
      <c r="AR155" s="5" t="str">
        <f ca="1">IFERROR(__xludf.DUMMYFUNCTION("IF(AB155 = """", """", GOOGLETRANSLATE(AB155, ""en"", ""bn""))"),"")</f>
        <v/>
      </c>
      <c r="AU155" s="5" t="str">
        <f ca="1">IFERROR(__xludf.DUMMYFUNCTION("IF(Y155 = """", """", GOOGLETRANSLATE(Y155, ""en"", ""te""))"),"")</f>
        <v/>
      </c>
      <c r="AV155" s="5" t="str">
        <f ca="1">IFERROR(__xludf.DUMMYFUNCTION("IF(Z155 = """", """", GOOGLETRANSLATE(Z155, ""en"", ""te""))"),"")</f>
        <v/>
      </c>
      <c r="AW155" s="5" t="str">
        <f ca="1">IFERROR(__xludf.DUMMYFUNCTION("IF(AA155 = """", """", GOOGLETRANSLATE(AA155, ""en"", ""te""))"),"")</f>
        <v/>
      </c>
      <c r="AX155" s="5" t="str">
        <f ca="1">IFERROR(__xludf.DUMMYFUNCTION("IF(AB155 = """", """", GOOGLETRANSLATE(AB155, ""en"", ""te""))"),"")</f>
        <v/>
      </c>
    </row>
    <row r="156" spans="1:50" x14ac:dyDescent="0.25">
      <c r="A156" s="1">
        <v>169</v>
      </c>
      <c r="B156" s="1" t="s">
        <v>56</v>
      </c>
      <c r="C156" s="8">
        <v>45836</v>
      </c>
      <c r="D156" s="8">
        <v>45836</v>
      </c>
      <c r="E156" s="1">
        <v>1</v>
      </c>
      <c r="F156" s="1">
        <v>1</v>
      </c>
      <c r="G156" s="3" t="s">
        <v>170</v>
      </c>
      <c r="H156" s="4">
        <v>1.0648148148148148E-2</v>
      </c>
      <c r="I156" s="4">
        <v>8.3333333333333339E-4</v>
      </c>
      <c r="J156" s="4">
        <v>1.6666666666666668E-3</v>
      </c>
      <c r="K156" s="1" t="s">
        <v>58</v>
      </c>
      <c r="L156" s="1" t="s">
        <v>142</v>
      </c>
      <c r="M156" s="1" t="s">
        <v>19</v>
      </c>
      <c r="O156" s="1" t="s">
        <v>61</v>
      </c>
      <c r="P156" s="1" t="s">
        <v>61</v>
      </c>
      <c r="Q156" s="1" t="s">
        <v>61</v>
      </c>
      <c r="R156" s="1" t="s">
        <v>61</v>
      </c>
      <c r="S156" s="1" t="s">
        <v>61</v>
      </c>
      <c r="T156" s="1" t="s">
        <v>61</v>
      </c>
      <c r="V156" s="1" t="s">
        <v>61</v>
      </c>
      <c r="W156" s="1" t="s">
        <v>61</v>
      </c>
      <c r="X156" s="1" t="s">
        <v>61</v>
      </c>
      <c r="Y156" s="1" t="s">
        <v>514</v>
      </c>
      <c r="Z156" s="1" t="s">
        <v>153</v>
      </c>
      <c r="AA156" s="1" t="s">
        <v>523</v>
      </c>
      <c r="AB156" s="1"/>
      <c r="AC156" s="5" t="str">
        <f ca="1">IFERROR(__xludf.DUMMYFUNCTION("IF(Y156 = """", """", GOOGLETRANSLATE(Y156, ""en"", ""hi""))
"),"स्वास्थ्य संबंधी समस्याएँ संभव")</f>
        <v>स्वास्थ्य संबंधी समस्याएँ संभव</v>
      </c>
      <c r="AD156" s="5" t="str">
        <f ca="1">IFERROR(__xludf.DUMMYFUNCTION("IF(Z156 = """", """", GOOGLETRANSLATE(Z156, ""en"", ""hi""))"),"बड़े फैसले लेने से बचें")</f>
        <v>बड़े फैसले लेने से बचें</v>
      </c>
      <c r="AE156" s="5" t="str">
        <f ca="1">IFERROR(__xludf.DUMMYFUNCTION("IF(AA156 = """", """", GOOGLETRANSLATE(AA156, ""en"", ""hi""))"),"दिन अनुकूल नहीं है")</f>
        <v>दिन अनुकूल नहीं है</v>
      </c>
      <c r="AF156" s="5" t="str">
        <f ca="1">IFERROR(__xludf.DUMMYFUNCTION("IF(AB156 = """", """", GOOGLETRANSLATE(AB156, ""en"", ""hi""))"),"")</f>
        <v/>
      </c>
      <c r="AG156" s="5" t="str">
        <f ca="1">IFERROR(__xludf.DUMMYFUNCTION("IF(Y156 = """", """", GOOGLETRANSLATE(Y156, ""en"", ""mr""))"),"आरोग्याच्या समस्या संभवतात")</f>
        <v>आरोग्याच्या समस्या संभवतात</v>
      </c>
      <c r="AH156" s="5" t="str">
        <f ca="1">IFERROR(__xludf.DUMMYFUNCTION("IF(Z156 = """", """", GOOGLETRANSLATE(Z156, ""en"", ""mr""))"),"मोठे निर्णय टाळा")</f>
        <v>मोठे निर्णय टाळा</v>
      </c>
      <c r="AI156" s="5" t="str">
        <f ca="1">IFERROR(__xludf.DUMMYFUNCTION("IF(AA156 = """", """", GOOGLETRANSLATE(AA156, ""en"", ""mr""))"),"दिवस अनुकूल नाही")</f>
        <v>दिवस अनुकूल नाही</v>
      </c>
      <c r="AJ156" s="5" t="str">
        <f ca="1">IFERROR(__xludf.DUMMYFUNCTION("IF(AB156 = """", """", GOOGLETRANSLATE(AB156, ""en"", ""mr""))"),"")</f>
        <v/>
      </c>
      <c r="AK156" s="5" t="str">
        <f ca="1">IFERROR(__xludf.DUMMYFUNCTION("IF(Y156 = """", """", GOOGLETRANSLATE(Y156, ""en"", ""gu""))"),"સ્વાસ્થ્ય સંબંધી સમસ્યાઓ શક્ય છે")</f>
        <v>સ્વાસ્થ્ય સંબંધી સમસ્યાઓ શક્ય છે</v>
      </c>
      <c r="AL156" s="5" t="str">
        <f ca="1">IFERROR(__xludf.DUMMYFUNCTION("IF(Z156 = """", """", GOOGLETRANSLATE(Z156, ""en"", ""gu""))"),"મોટા નિર્ણયો ટાળો")</f>
        <v>મોટા નિર્ણયો ટાળો</v>
      </c>
      <c r="AM156" s="5" t="str">
        <f ca="1">IFERROR(__xludf.DUMMYFUNCTION("IF(AA156 = """", """", GOOGLETRANSLATE(AA156, ""en"", ""gu""))"),"દિવસ અનુકૂળ નથી")</f>
        <v>દિવસ અનુકૂળ નથી</v>
      </c>
      <c r="AN156" s="5" t="str">
        <f ca="1">IFERROR(__xludf.DUMMYFUNCTION("IF(AB156 = """", """", GOOGLETRANSLATE(AB156, ""en"", ""gu""))"),"")</f>
        <v/>
      </c>
      <c r="AO156" s="5" t="str">
        <f ca="1">IFERROR(__xludf.DUMMYFUNCTION("IF(Y156 = """", """", GOOGLETRANSLATE(Y156, ""en"", ""bn""))"),"স্বাস্থ্য সমস্যা সম্ভব")</f>
        <v>স্বাস্থ্য সমস্যা সম্ভব</v>
      </c>
      <c r="AP156" s="5" t="str">
        <f ca="1">IFERROR(__xludf.DUMMYFUNCTION("IF(Z156 = """", """", GOOGLETRANSLATE(Z156, ""en"", ""bn""))"),"বড় সিদ্ধান্ত এড়িয়ে চলুন")</f>
        <v>বড় সিদ্ধান্ত এড়িয়ে চলুন</v>
      </c>
      <c r="AQ156" s="5" t="str">
        <f ca="1">IFERROR(__xludf.DUMMYFUNCTION("IF(AA156 = """", """", GOOGLETRANSLATE(AA156, ""en"", ""bn""))"),"দিনটি অনুকূল নয়")</f>
        <v>দিনটি অনুকূল নয়</v>
      </c>
      <c r="AR156" s="5" t="str">
        <f ca="1">IFERROR(__xludf.DUMMYFUNCTION("IF(AB156 = """", """", GOOGLETRANSLATE(AB156, ""en"", ""bn""))"),"")</f>
        <v/>
      </c>
      <c r="AU156" s="5" t="str">
        <f ca="1">IFERROR(__xludf.DUMMYFUNCTION("IF(Y156 = """", """", GOOGLETRANSLATE(Y156, ""en"", ""te""))"),"ఆరోగ్య సమస్యలు వచ్చే అవకాశం ఉంది")</f>
        <v>ఆరోగ్య సమస్యలు వచ్చే అవకాశం ఉంది</v>
      </c>
      <c r="AV156" s="5" t="str">
        <f ca="1">IFERROR(__xludf.DUMMYFUNCTION("IF(Z156 = """", """", GOOGLETRANSLATE(Z156, ""en"", ""te""))"),"ప్రధాన నిర్ణయాలకు దూరంగా ఉండండి")</f>
        <v>ప్రధాన నిర్ణయాలకు దూరంగా ఉండండి</v>
      </c>
      <c r="AW156" s="5" t="str">
        <f ca="1">IFERROR(__xludf.DUMMYFUNCTION("IF(AA156 = """", """", GOOGLETRANSLATE(AA156, ""en"", ""te""))"),"రోజు అనుకూలంగా లేదు")</f>
        <v>రోజు అనుకూలంగా లేదు</v>
      </c>
      <c r="AX156" s="5" t="str">
        <f ca="1">IFERROR(__xludf.DUMMYFUNCTION("IF(AB156 = """", """", GOOGLETRANSLATE(AB156, ""en"", ""te""))"),"")</f>
        <v/>
      </c>
    </row>
    <row r="157" spans="1:50" x14ac:dyDescent="0.25">
      <c r="A157" s="1">
        <v>170</v>
      </c>
      <c r="B157" s="1" t="s">
        <v>56</v>
      </c>
      <c r="C157" s="8">
        <v>45836</v>
      </c>
      <c r="D157" s="8">
        <v>45836</v>
      </c>
      <c r="E157" s="1">
        <v>2</v>
      </c>
      <c r="F157" s="1">
        <v>1</v>
      </c>
      <c r="G157" s="3" t="s">
        <v>170</v>
      </c>
      <c r="H157" s="4">
        <v>1.0648148148148148E-2</v>
      </c>
      <c r="I157" s="4">
        <v>1.6666666666666668E-3</v>
      </c>
      <c r="J157" s="4">
        <v>2.0601851851851853E-3</v>
      </c>
      <c r="K157" s="1" t="s">
        <v>58</v>
      </c>
      <c r="L157" s="1" t="s">
        <v>90</v>
      </c>
      <c r="M157" s="1" t="s">
        <v>14</v>
      </c>
      <c r="O157" s="1" t="s">
        <v>61</v>
      </c>
      <c r="P157" s="1" t="s">
        <v>61</v>
      </c>
      <c r="Q157" s="1" t="s">
        <v>61</v>
      </c>
      <c r="R157" s="1" t="s">
        <v>61</v>
      </c>
      <c r="S157" s="1" t="s">
        <v>61</v>
      </c>
      <c r="T157" s="1" t="s">
        <v>61</v>
      </c>
      <c r="V157" s="1" t="s">
        <v>61</v>
      </c>
      <c r="W157" s="1" t="s">
        <v>61</v>
      </c>
      <c r="X157" s="1" t="s">
        <v>61</v>
      </c>
      <c r="Y157" s="1" t="s">
        <v>458</v>
      </c>
      <c r="Z157" s="1" t="s">
        <v>494</v>
      </c>
      <c r="AA157" s="1" t="s">
        <v>524</v>
      </c>
      <c r="AB157" s="1"/>
      <c r="AC157" s="5" t="str">
        <f ca="1">IFERROR(__xludf.DUMMYFUNCTION("IF(Y157 = """", """", GOOGLETRANSLATE(Y157, ""en"", ""hi""))
"),"लंबित कार्य पूरा करें")</f>
        <v>लंबित कार्य पूरा करें</v>
      </c>
      <c r="AD157" s="5" t="str">
        <f ca="1">IFERROR(__xludf.DUMMYFUNCTION("IF(Z157 = """", """", GOOGLETRANSLATE(Z157, ""en"", ""hi""))"),"परिवार का समर्थन")</f>
        <v>परिवार का समर्थन</v>
      </c>
      <c r="AE157" s="5" t="str">
        <f ca="1">IFERROR(__xludf.DUMMYFUNCTION("IF(AA157 = """", """", GOOGLETRANSLATE(AA157, ""en"", ""hi""))"),"अचानक खर्च संभव")</f>
        <v>अचानक खर्च संभव</v>
      </c>
      <c r="AF157" s="5" t="str">
        <f ca="1">IFERROR(__xludf.DUMMYFUNCTION("IF(AB157 = """", """", GOOGLETRANSLATE(AB157, ""en"", ""hi""))"),"")</f>
        <v/>
      </c>
      <c r="AG157" s="5" t="str">
        <f ca="1">IFERROR(__xludf.DUMMYFUNCTION("IF(Y157 = """", """", GOOGLETRANSLATE(Y157, ""en"", ""mr""))"),"प्रलंबित कामे पूर्ण करा")</f>
        <v>प्रलंबित कामे पूर्ण करा</v>
      </c>
      <c r="AH157" s="5" t="str">
        <f ca="1">IFERROR(__xludf.DUMMYFUNCTION("IF(Z157 = """", """", GOOGLETRANSLATE(Z157, ""en"", ""mr""))"),"कुटुंबाचा आधार मिळेल")</f>
        <v>कुटुंबाचा आधार मिळेल</v>
      </c>
      <c r="AI157" s="5" t="str">
        <f ca="1">IFERROR(__xludf.DUMMYFUNCTION("IF(AA157 = """", """", GOOGLETRANSLATE(AA157, ""en"", ""mr""))"),"अचानक खर्च होण्याची शक्यता")</f>
        <v>अचानक खर्च होण्याची शक्यता</v>
      </c>
      <c r="AJ157" s="5" t="str">
        <f ca="1">IFERROR(__xludf.DUMMYFUNCTION("IF(AB157 = """", """", GOOGLETRANSLATE(AB157, ""en"", ""mr""))"),"")</f>
        <v/>
      </c>
      <c r="AK157" s="5" t="str">
        <f ca="1">IFERROR(__xludf.DUMMYFUNCTION("IF(Y157 = """", """", GOOGLETRANSLATE(Y157, ""en"", ""gu""))"),"પેન્ડિંગ કામ પૂરું કરો")</f>
        <v>પેન્ડિંગ કામ પૂરું કરો</v>
      </c>
      <c r="AL157" s="5" t="str">
        <f ca="1">IFERROR(__xludf.DUMMYFUNCTION("IF(Z157 = """", """", GOOGLETRANSLATE(Z157, ""en"", ""gu""))"),"પરિવારનો સહયોગ મળે")</f>
        <v>પરિવારનો સહયોગ મળે</v>
      </c>
      <c r="AM157" s="5" t="str">
        <f ca="1">IFERROR(__xludf.DUMMYFUNCTION("IF(AA157 = """", """", GOOGLETRANSLATE(AA157, ""en"", ""gu""))"),"અચાનક ખર્ચ થવાની શક્યતા")</f>
        <v>અચાનક ખર્ચ થવાની શક્યતા</v>
      </c>
      <c r="AN157" s="5" t="str">
        <f ca="1">IFERROR(__xludf.DUMMYFUNCTION("IF(AB157 = """", """", GOOGLETRANSLATE(AB157, ""en"", ""gu""))"),"")</f>
        <v/>
      </c>
      <c r="AO157" s="5" t="str">
        <f ca="1">IFERROR(__xludf.DUMMYFUNCTION("IF(Y157 = """", """", GOOGLETRANSLATE(Y157, ""en"", ""bn""))"),"অমীমাংসিত কাজ শেষ করুন")</f>
        <v>অমীমাংসিত কাজ শেষ করুন</v>
      </c>
      <c r="AP157" s="5" t="str">
        <f ca="1">IFERROR(__xludf.DUMMYFUNCTION("IF(Z157 = """", """", GOOGLETRANSLATE(Z157, ""en"", ""bn""))"),"পরিবারের সমর্থন")</f>
        <v>পরিবারের সমর্থন</v>
      </c>
      <c r="AQ157" s="5" t="str">
        <f ca="1">IFERROR(__xludf.DUMMYFUNCTION("IF(AA157 = """", """", GOOGLETRANSLATE(AA157, ""en"", ""bn""))"),"আকস্মিক খরচ সম্ভব")</f>
        <v>আকস্মিক খরচ সম্ভব</v>
      </c>
      <c r="AR157" s="5" t="str">
        <f ca="1">IFERROR(__xludf.DUMMYFUNCTION("IF(AB157 = """", """", GOOGLETRANSLATE(AB157, ""en"", ""bn""))"),"")</f>
        <v/>
      </c>
      <c r="AU157" s="5" t="str">
        <f ca="1">IFERROR(__xludf.DUMMYFUNCTION("IF(Y157 = """", """", GOOGLETRANSLATE(Y157, ""en"", ""te""))"),"పెండింగ్‌లో ఉన్న పనిని పూర్తి చేయండి")</f>
        <v>పెండింగ్‌లో ఉన్న పనిని పూర్తి చేయండి</v>
      </c>
      <c r="AV157" s="5" t="str">
        <f ca="1">IFERROR(__xludf.DUMMYFUNCTION("IF(Z157 = """", """", GOOGLETRANSLATE(Z157, ""en"", ""te""))"),"కుటుంబ మద్దతు")</f>
        <v>కుటుంబ మద్దతు</v>
      </c>
      <c r="AW157" s="5" t="str">
        <f ca="1">IFERROR(__xludf.DUMMYFUNCTION("IF(AA157 = """", """", GOOGLETRANSLATE(AA157, ""en"", ""te""))"),"ఆకస్మిక ఖర్చులు సాధ్యమే")</f>
        <v>ఆకస్మిక ఖర్చులు సాధ్యమే</v>
      </c>
      <c r="AX157" s="5" t="str">
        <f ca="1">IFERROR(__xludf.DUMMYFUNCTION("IF(AB157 = """", """", GOOGLETRANSLATE(AB157, ""en"", ""te""))"),"")</f>
        <v/>
      </c>
    </row>
    <row r="158" spans="1:50" x14ac:dyDescent="0.25">
      <c r="A158" s="1">
        <v>171</v>
      </c>
      <c r="B158" s="1" t="s">
        <v>56</v>
      </c>
      <c r="C158" s="8">
        <v>45836</v>
      </c>
      <c r="D158" s="8">
        <v>45836</v>
      </c>
      <c r="E158" s="1">
        <v>3</v>
      </c>
      <c r="F158" s="1">
        <v>1</v>
      </c>
      <c r="G158" s="3" t="s">
        <v>170</v>
      </c>
      <c r="H158" s="4">
        <v>1.0648148148148148E-2</v>
      </c>
      <c r="I158" s="4">
        <v>2.0601851851851853E-3</v>
      </c>
      <c r="J158" s="4">
        <v>2.5462962962962965E-3</v>
      </c>
      <c r="K158" s="1" t="s">
        <v>58</v>
      </c>
      <c r="L158" s="1" t="s">
        <v>97</v>
      </c>
      <c r="M158" s="1" t="s">
        <v>14</v>
      </c>
      <c r="O158" s="1" t="s">
        <v>61</v>
      </c>
      <c r="P158" s="1" t="s">
        <v>61</v>
      </c>
      <c r="Q158" s="1" t="s">
        <v>61</v>
      </c>
      <c r="R158" s="1" t="s">
        <v>61</v>
      </c>
      <c r="S158" s="1" t="s">
        <v>61</v>
      </c>
      <c r="T158" s="1" t="s">
        <v>61</v>
      </c>
      <c r="V158" s="1" t="s">
        <v>61</v>
      </c>
      <c r="W158" s="1" t="s">
        <v>61</v>
      </c>
      <c r="X158" s="1" t="s">
        <v>61</v>
      </c>
      <c r="Y158" s="1" t="s">
        <v>525</v>
      </c>
      <c r="Z158" s="1" t="s">
        <v>526</v>
      </c>
      <c r="AA158" s="1" t="s">
        <v>527</v>
      </c>
      <c r="AB158" s="1"/>
      <c r="AC158" s="5" t="str">
        <f ca="1">IFERROR(__xludf.DUMMYFUNCTION("IF(Y158 = """", """", GOOGLETRANSLATE(Y158, ""en"", ""hi""))
"),"तनाव के बाद सकारात्मक बदलाव")</f>
        <v>तनाव के बाद सकारात्मक बदलाव</v>
      </c>
      <c r="AD158" s="5" t="str">
        <f ca="1">IFERROR(__xludf.DUMMYFUNCTION("IF(Z158 = """", """", GOOGLETRANSLATE(Z158, ""en"", ""hi""))"),"स्पष्टता प्राप्त करना शुरू करें")</f>
        <v>स्पष्टता प्राप्त करना शुरू करें</v>
      </c>
      <c r="AE158" s="5" t="str">
        <f ca="1">IFERROR(__xludf.DUMMYFUNCTION("IF(AA158 = """", """", GOOGLETRANSLATE(AA158, ""en"", ""hi""))"),"दिन अनुकूल है")</f>
        <v>दिन अनुकूल है</v>
      </c>
      <c r="AF158" s="5" t="str">
        <f ca="1">IFERROR(__xludf.DUMMYFUNCTION("IF(AB158 = """", """", GOOGLETRANSLATE(AB158, ""en"", ""hi""))"),"")</f>
        <v/>
      </c>
      <c r="AG158" s="5" t="str">
        <f ca="1">IFERROR(__xludf.DUMMYFUNCTION("IF(Y158 = """", """", GOOGLETRANSLATE(Y158, ""en"", ""mr""))"),"तणावानंतर सकारात्मक बदल")</f>
        <v>तणावानंतर सकारात्मक बदल</v>
      </c>
      <c r="AH158" s="5" t="str">
        <f ca="1">IFERROR(__xludf.DUMMYFUNCTION("IF(Z158 = """", """", GOOGLETRANSLATE(Z158, ""en"", ""mr""))"),"स्पष्टता मिळणे सुरू करा")</f>
        <v>स्पष्टता मिळणे सुरू करा</v>
      </c>
      <c r="AI158" s="5" t="str">
        <f ca="1">IFERROR(__xludf.DUMMYFUNCTION("IF(AA158 = """", """", GOOGLETRANSLATE(AA158, ""en"", ""mr""))"),"दिवस अनुकूल आहे")</f>
        <v>दिवस अनुकूल आहे</v>
      </c>
      <c r="AJ158" s="5" t="str">
        <f ca="1">IFERROR(__xludf.DUMMYFUNCTION("IF(AB158 = """", """", GOOGLETRANSLATE(AB158, ""en"", ""mr""))"),"")</f>
        <v/>
      </c>
      <c r="AK158" s="5" t="str">
        <f ca="1">IFERROR(__xludf.DUMMYFUNCTION("IF(Y158 = """", """", GOOGLETRANSLATE(Y158, ""en"", ""gu""))"),"તણાવ પછી સકારાત્મક પરિવર્તન")</f>
        <v>તણાવ પછી સકારાત્મક પરિવર્તન</v>
      </c>
      <c r="AL158" s="5" t="str">
        <f ca="1">IFERROR(__xludf.DUMMYFUNCTION("IF(Z158 = """", """", GOOGLETRANSLATE(Z158, ""en"", ""gu""))"),"સ્પષ્ટતા મેળવવાનું શરૂ કરો")</f>
        <v>સ્પષ્ટતા મેળવવાનું શરૂ કરો</v>
      </c>
      <c r="AM158" s="5" t="str">
        <f ca="1">IFERROR(__xludf.DUMMYFUNCTION("IF(AA158 = """", """", GOOGLETRANSLATE(AA158, ""en"", ""gu""))"),"દિવસ અનુકૂળ છે")</f>
        <v>દિવસ અનુકૂળ છે</v>
      </c>
      <c r="AN158" s="5" t="str">
        <f ca="1">IFERROR(__xludf.DUMMYFUNCTION("IF(AB158 = """", """", GOOGLETRANSLATE(AB158, ""en"", ""gu""))"),"")</f>
        <v/>
      </c>
      <c r="AO158" s="5" t="str">
        <f ca="1">IFERROR(__xludf.DUMMYFUNCTION("IF(Y158 = """", """", GOOGLETRANSLATE(Y158, ""en"", ""bn""))"),"মানসিক চাপের পরে ইতিবাচক পরিবর্তন")</f>
        <v>মানসিক চাপের পরে ইতিবাচক পরিবর্তন</v>
      </c>
      <c r="AP158" s="5" t="str">
        <f ca="1">IFERROR(__xludf.DUMMYFUNCTION("IF(Z158 = """", """", GOOGLETRANSLATE(Z158, ""en"", ""bn""))"),"স্পষ্টতা পেতে শুরু করুন")</f>
        <v>স্পষ্টতা পেতে শুরু করুন</v>
      </c>
      <c r="AQ158" s="5" t="str">
        <f ca="1">IFERROR(__xludf.DUMMYFUNCTION("IF(AA158 = """", """", GOOGLETRANSLATE(AA158, ""en"", ""bn""))"),"দিনটি অনুকূল")</f>
        <v>দিনটি অনুকূল</v>
      </c>
      <c r="AR158" s="5" t="str">
        <f ca="1">IFERROR(__xludf.DUMMYFUNCTION("IF(AB158 = """", """", GOOGLETRANSLATE(AB158, ""en"", ""bn""))"),"")</f>
        <v/>
      </c>
      <c r="AU158" s="5" t="str">
        <f ca="1">IFERROR(__xludf.DUMMYFUNCTION("IF(Y158 = """", """", GOOGLETRANSLATE(Y158, ""en"", ""te""))"),"ఒత్తిడి తర్వాత సానుకూల మార్పు")</f>
        <v>ఒత్తిడి తర్వాత సానుకూల మార్పు</v>
      </c>
      <c r="AV158" s="5" t="str">
        <f ca="1">IFERROR(__xludf.DUMMYFUNCTION("IF(Z158 = """", """", GOOGLETRANSLATE(Z158, ""en"", ""te""))"),"స్పష్టత పొందడం ప్రారంభించండి")</f>
        <v>స్పష్టత పొందడం ప్రారంభించండి</v>
      </c>
      <c r="AW158" s="5" t="str">
        <f ca="1">IFERROR(__xludf.DUMMYFUNCTION("IF(AA158 = """", """", GOOGLETRANSLATE(AA158, ""en"", ""te""))"),"రోజు అనుకూలంగా ఉంటుంది")</f>
        <v>రోజు అనుకూలంగా ఉంటుంది</v>
      </c>
      <c r="AX158" s="5" t="str">
        <f ca="1">IFERROR(__xludf.DUMMYFUNCTION("IF(AB158 = """", """", GOOGLETRANSLATE(AB158, ""en"", ""te""))"),"")</f>
        <v/>
      </c>
    </row>
    <row r="159" spans="1:50" x14ac:dyDescent="0.25">
      <c r="A159" s="1">
        <v>172</v>
      </c>
      <c r="B159" s="1" t="s">
        <v>56</v>
      </c>
      <c r="C159" s="8">
        <v>45836</v>
      </c>
      <c r="D159" s="8">
        <v>45836</v>
      </c>
      <c r="E159" s="1">
        <v>4</v>
      </c>
      <c r="F159" s="1">
        <v>1</v>
      </c>
      <c r="G159" s="3" t="s">
        <v>170</v>
      </c>
      <c r="H159" s="4">
        <v>1.0648148148148148E-2</v>
      </c>
      <c r="I159" s="4">
        <v>2.5462962962962965E-3</v>
      </c>
      <c r="J159" s="4">
        <v>2.8356481481481483E-3</v>
      </c>
      <c r="K159" s="1" t="s">
        <v>58</v>
      </c>
      <c r="L159" s="1" t="s">
        <v>102</v>
      </c>
      <c r="M159" s="1" t="s">
        <v>14</v>
      </c>
      <c r="O159" s="1" t="s">
        <v>61</v>
      </c>
      <c r="P159" s="1" t="s">
        <v>61</v>
      </c>
      <c r="Q159" s="1" t="s">
        <v>61</v>
      </c>
      <c r="R159" s="1" t="s">
        <v>61</v>
      </c>
      <c r="S159" s="1" t="s">
        <v>61</v>
      </c>
      <c r="T159" s="1" t="s">
        <v>61</v>
      </c>
      <c r="V159" s="1" t="s">
        <v>61</v>
      </c>
      <c r="W159" s="1" t="s">
        <v>61</v>
      </c>
      <c r="X159" s="1" t="s">
        <v>61</v>
      </c>
      <c r="Y159" s="1" t="s">
        <v>528</v>
      </c>
      <c r="Z159" s="1" t="s">
        <v>529</v>
      </c>
      <c r="AA159" s="1" t="s">
        <v>530</v>
      </c>
      <c r="AB159" s="1"/>
      <c r="AC159" s="5" t="str">
        <f ca="1">IFERROR(__xludf.DUMMYFUNCTION("IF(Y159 = """", """", GOOGLETRANSLATE(Y159, ""en"", ""hi""))
"),"कार्यभार अधिक")</f>
        <v>कार्यभार अधिक</v>
      </c>
      <c r="AD159" s="5" t="str">
        <f ca="1">IFERROR(__xludf.DUMMYFUNCTION("IF(Z159 = """", """", GOOGLETRANSLATE(Z159, ""en"", ""hi""))"),"मानसिक रूप से तैयार रहें")</f>
        <v>मानसिक रूप से तैयार रहें</v>
      </c>
      <c r="AE159" s="5" t="str">
        <f ca="1">IFERROR(__xludf.DUMMYFUNCTION("IF(AA159 = """", """", GOOGLETRANSLATE(AA159, ""en"", ""hi""))"),"शाम को थकान की संभावना")</f>
        <v>शाम को थकान की संभावना</v>
      </c>
      <c r="AF159" s="5" t="str">
        <f ca="1">IFERROR(__xludf.DUMMYFUNCTION("IF(AB159 = """", """", GOOGLETRANSLATE(AB159, ""en"", ""hi""))"),"")</f>
        <v/>
      </c>
      <c r="AG159" s="5" t="str">
        <f ca="1">IFERROR(__xludf.DUMMYFUNCTION("IF(Y159 = """", """", GOOGLETRANSLATE(Y159, ""en"", ""mr""))"),"कामाचा ताण जास्त")</f>
        <v>कामाचा ताण जास्त</v>
      </c>
      <c r="AH159" s="5" t="str">
        <f ca="1">IFERROR(__xludf.DUMMYFUNCTION("IF(Z159 = """", """", GOOGLETRANSLATE(Z159, ""en"", ""mr""))"),"मानसिक तयारी ठेवा")</f>
        <v>मानसिक तयारी ठेवा</v>
      </c>
      <c r="AI159" s="5" t="str">
        <f ca="1">IFERROR(__xludf.DUMMYFUNCTION("IF(AA159 = """", """", GOOGLETRANSLATE(AA159, ""en"", ""mr""))"),"संध्याकाळी थकवा येण्याची शक्यता आहे")</f>
        <v>संध्याकाळी थकवा येण्याची शक्यता आहे</v>
      </c>
      <c r="AJ159" s="5" t="str">
        <f ca="1">IFERROR(__xludf.DUMMYFUNCTION("IF(AB159 = """", """", GOOGLETRANSLATE(AB159, ""en"", ""mr""))"),"")</f>
        <v/>
      </c>
      <c r="AK159" s="5" t="str">
        <f ca="1">IFERROR(__xludf.DUMMYFUNCTION("IF(Y159 = """", """", GOOGLETRANSLATE(Y159, ""en"", ""gu""))"),"કામનું ભારણ વધારે છે")</f>
        <v>કામનું ભારણ વધારે છે</v>
      </c>
      <c r="AL159" s="5" t="str">
        <f ca="1">IFERROR(__xludf.DUMMYFUNCTION("IF(Z159 = """", """", GOOGLETRANSLATE(Z159, ""en"", ""gu""))"),"માનસિક રીતે તૈયાર રહો")</f>
        <v>માનસિક રીતે તૈયાર રહો</v>
      </c>
      <c r="AM159" s="5" t="str">
        <f ca="1">IFERROR(__xludf.DUMMYFUNCTION("IF(AA159 = """", """", GOOGLETRANSLATE(AA159, ""en"", ""gu""))"),"સાંજે થાકની શક્યતા")</f>
        <v>સાંજે થાકની શક્યતા</v>
      </c>
      <c r="AN159" s="5" t="str">
        <f ca="1">IFERROR(__xludf.DUMMYFUNCTION("IF(AB159 = """", """", GOOGLETRANSLATE(AB159, ""en"", ""gu""))"),"")</f>
        <v/>
      </c>
      <c r="AO159" s="5" t="str">
        <f ca="1">IFERROR(__xludf.DUMMYFUNCTION("IF(Y159 = """", """", GOOGLETRANSLATE(Y159, ""en"", ""bn""))"),"কাজের চাপ বেশি")</f>
        <v>কাজের চাপ বেশি</v>
      </c>
      <c r="AP159" s="5" t="str">
        <f ca="1">IFERROR(__xludf.DUMMYFUNCTION("IF(Z159 = """", """", GOOGLETRANSLATE(Z159, ""en"", ""bn""))"),"মানসিকভাবে প্রস্তুত থাকুন")</f>
        <v>মানসিকভাবে প্রস্তুত থাকুন</v>
      </c>
      <c r="AQ159" s="5" t="str">
        <f ca="1">IFERROR(__xludf.DUMMYFUNCTION("IF(AA159 = """", """", GOOGLETRANSLATE(AA159, ""en"", ""bn""))"),"সন্ধ্যায় ক্লান্তির সম্ভাবনা")</f>
        <v>সন্ধ্যায় ক্লান্তির সম্ভাবনা</v>
      </c>
      <c r="AR159" s="5" t="str">
        <f ca="1">IFERROR(__xludf.DUMMYFUNCTION("IF(AB159 = """", """", GOOGLETRANSLATE(AB159, ""en"", ""bn""))"),"")</f>
        <v/>
      </c>
      <c r="AU159" s="5" t="str">
        <f ca="1">IFERROR(__xludf.DUMMYFUNCTION("IF(Y159 = """", """", GOOGLETRANSLATE(Y159, ""en"", ""te""))"),"పనిభారం ఎక్కువ")</f>
        <v>పనిభారం ఎక్కువ</v>
      </c>
      <c r="AV159" s="5" t="str">
        <f ca="1">IFERROR(__xludf.DUMMYFUNCTION("IF(Z159 = """", """", GOOGLETRANSLATE(Z159, ""en"", ""te""))"),"మానసికంగా సిద్ధంగా ఉండండి")</f>
        <v>మానసికంగా సిద్ధంగా ఉండండి</v>
      </c>
      <c r="AW159" s="5" t="str">
        <f ca="1">IFERROR(__xludf.DUMMYFUNCTION("IF(AA159 = """", """", GOOGLETRANSLATE(AA159, ""en"", ""te""))"),"సాయంత్రం అలసట వచ్చే అవకాశం ఉంది")</f>
        <v>సాయంత్రం అలసట వచ్చే అవకాశం ఉంది</v>
      </c>
      <c r="AX159" s="5" t="str">
        <f ca="1">IFERROR(__xludf.DUMMYFUNCTION("IF(AB159 = """", """", GOOGLETRANSLATE(AB159, ""en"", ""te""))"),"")</f>
        <v/>
      </c>
    </row>
    <row r="160" spans="1:50" x14ac:dyDescent="0.25">
      <c r="A160" s="1">
        <v>173</v>
      </c>
      <c r="B160" s="1" t="s">
        <v>56</v>
      </c>
      <c r="C160" s="8">
        <v>45836</v>
      </c>
      <c r="D160" s="8">
        <v>45836</v>
      </c>
      <c r="E160" s="1">
        <v>5</v>
      </c>
      <c r="F160" s="1">
        <v>1</v>
      </c>
      <c r="G160" s="3" t="s">
        <v>170</v>
      </c>
      <c r="H160" s="4">
        <v>1.0648148148148148E-2</v>
      </c>
      <c r="I160" s="4">
        <v>2.8356481481481483E-3</v>
      </c>
      <c r="J160" s="4">
        <v>3.2870370370370371E-3</v>
      </c>
      <c r="K160" s="1" t="s">
        <v>58</v>
      </c>
      <c r="L160" s="1" t="s">
        <v>108</v>
      </c>
      <c r="M160" s="1" t="s">
        <v>19</v>
      </c>
      <c r="O160" s="1" t="s">
        <v>61</v>
      </c>
      <c r="P160" s="1" t="s">
        <v>61</v>
      </c>
      <c r="Q160" s="1" t="s">
        <v>61</v>
      </c>
      <c r="R160" s="1" t="s">
        <v>61</v>
      </c>
      <c r="S160" s="1" t="s">
        <v>61</v>
      </c>
      <c r="T160" s="1" t="s">
        <v>61</v>
      </c>
      <c r="V160" s="1" t="s">
        <v>61</v>
      </c>
      <c r="W160" s="1" t="s">
        <v>61</v>
      </c>
      <c r="X160" s="1" t="s">
        <v>61</v>
      </c>
      <c r="Y160" s="1" t="s">
        <v>531</v>
      </c>
      <c r="Z160" s="1" t="s">
        <v>287</v>
      </c>
      <c r="AA160" s="1" t="s">
        <v>532</v>
      </c>
      <c r="AB160" s="1"/>
      <c r="AC160" s="5" t="str">
        <f ca="1">IFERROR(__xludf.DUMMYFUNCTION("IF(Y160 = """", """", GOOGLETRANSLATE(Y160, ""en"", ""hi""))
"),"उकसावे से बचें")</f>
        <v>उकसावे से बचें</v>
      </c>
      <c r="AD160" s="5" t="str">
        <f ca="1">IFERROR(__xludf.DUMMYFUNCTION("IF(Z160 = """", """", GOOGLETRANSLATE(Z160, ""en"", ""hi""))"),"क्रोध और वाणी पर नियंत्रण रखें")</f>
        <v>क्रोध और वाणी पर नियंत्रण रखें</v>
      </c>
      <c r="AE160" s="5" t="str">
        <f ca="1">IFERROR(__xludf.DUMMYFUNCTION("IF(AA160 = """", """", GOOGLETRANSLATE(AA160, ""en"", ""hi""))"),"पिशाच योग का प्रभाव")</f>
        <v>पिशाच योग का प्रभाव</v>
      </c>
      <c r="AF160" s="5" t="str">
        <f ca="1">IFERROR(__xludf.DUMMYFUNCTION("IF(AB160 = """", """", GOOGLETRANSLATE(AB160, ""en"", ""hi""))"),"")</f>
        <v/>
      </c>
      <c r="AG160" s="5" t="str">
        <f ca="1">IFERROR(__xludf.DUMMYFUNCTION("IF(Y160 = """", """", GOOGLETRANSLATE(Y160, ""en"", ""mr""))"),"चिथावणी देणे टाळा")</f>
        <v>चिथावणी देणे टाळा</v>
      </c>
      <c r="AH160" s="5" t="str">
        <f ca="1">IFERROR(__xludf.DUMMYFUNCTION("IF(Z160 = """", """", GOOGLETRANSLATE(Z160, ""en"", ""mr""))"),"राग आणि वाणीवर नियंत्रण ठेवा")</f>
        <v>राग आणि वाणीवर नियंत्रण ठेवा</v>
      </c>
      <c r="AI160" s="5" t="str">
        <f ca="1">IFERROR(__xludf.DUMMYFUNCTION("IF(AA160 = """", """", GOOGLETRANSLATE(AA160, ""en"", ""mr""))"),"पिशाच योगाचा प्रभाव")</f>
        <v>पिशाच योगाचा प्रभाव</v>
      </c>
      <c r="AJ160" s="5" t="str">
        <f ca="1">IFERROR(__xludf.DUMMYFUNCTION("IF(AB160 = """", """", GOOGLETRANSLATE(AB160, ""en"", ""mr""))"),"")</f>
        <v/>
      </c>
      <c r="AK160" s="5" t="str">
        <f ca="1">IFERROR(__xludf.DUMMYFUNCTION("IF(Y160 = """", """", GOOGLETRANSLATE(Y160, ""en"", ""gu""))"),"ઉશ્કેરણી ટાળો")</f>
        <v>ઉશ્કેરણી ટાળો</v>
      </c>
      <c r="AL160" s="5" t="str">
        <f ca="1">IFERROR(__xludf.DUMMYFUNCTION("IF(Z160 = """", """", GOOGLETRANSLATE(Z160, ""en"", ""gu""))"),"ગુસ્સા અને વાણી પર નિયંત્રણ રાખો")</f>
        <v>ગુસ્સા અને વાણી પર નિયંત્રણ રાખો</v>
      </c>
      <c r="AM160" s="5" t="str">
        <f ca="1">IFERROR(__xludf.DUMMYFUNCTION("IF(AA160 = """", """", GOOGLETRANSLATE(AA160, ""en"", ""gu""))"),"પિશાચ યોગ પ્રભાવ")</f>
        <v>પિશાચ યોગ પ્રભાવ</v>
      </c>
      <c r="AN160" s="5" t="str">
        <f ca="1">IFERROR(__xludf.DUMMYFUNCTION("IF(AB160 = """", """", GOOGLETRANSLATE(AB160, ""en"", ""gu""))"),"")</f>
        <v/>
      </c>
      <c r="AO160" s="5" t="str">
        <f ca="1">IFERROR(__xludf.DUMMYFUNCTION("IF(Y160 = """", """", GOOGLETRANSLATE(Y160, ""en"", ""bn""))"),"উস্কানি এড়িয়ে চলুন")</f>
        <v>উস্কানি এড়িয়ে চলুন</v>
      </c>
      <c r="AP160" s="5" t="str">
        <f ca="1">IFERROR(__xludf.DUMMYFUNCTION("IF(Z160 = """", """", GOOGLETRANSLATE(Z160, ""en"", ""bn""))"),"রাগ ও কথাবার্তা নিয়ন্ত্রণ করুন")</f>
        <v>রাগ ও কথাবার্তা নিয়ন্ত্রণ করুন</v>
      </c>
      <c r="AQ160" s="5" t="str">
        <f ca="1">IFERROR(__xludf.DUMMYFUNCTION("IF(AA160 = """", """", GOOGLETRANSLATE(AA160, ""en"", ""bn""))"),"পিশাচ যোগের প্রভাব")</f>
        <v>পিশাচ যোগের প্রভাব</v>
      </c>
      <c r="AR160" s="5" t="str">
        <f ca="1">IFERROR(__xludf.DUMMYFUNCTION("IF(AB160 = """", """", GOOGLETRANSLATE(AB160, ""en"", ""bn""))"),"")</f>
        <v/>
      </c>
      <c r="AU160" s="5" t="str">
        <f ca="1">IFERROR(__xludf.DUMMYFUNCTION("IF(Y160 = """", """", GOOGLETRANSLATE(Y160, ""en"", ""te""))"),"రెచ్చగొట్టడం మానుకోండి")</f>
        <v>రెచ్చగొట్టడం మానుకోండి</v>
      </c>
      <c r="AV160" s="5" t="str">
        <f ca="1">IFERROR(__xludf.DUMMYFUNCTION("IF(Z160 = """", """", GOOGLETRANSLATE(Z160, ""en"", ""te""))"),"కోపం మరియు మాటలను నియంత్రించండి")</f>
        <v>కోపం మరియు మాటలను నియంత్రించండి</v>
      </c>
      <c r="AW160" s="5" t="str">
        <f ca="1">IFERROR(__xludf.DUMMYFUNCTION("IF(AA160 = """", """", GOOGLETRANSLATE(AA160, ""en"", ""te""))"),"పిశాచ యోగ ప్రభావం")</f>
        <v>పిశాచ యోగ ప్రభావం</v>
      </c>
      <c r="AX160" s="5" t="str">
        <f ca="1">IFERROR(__xludf.DUMMYFUNCTION("IF(AB160 = """", """", GOOGLETRANSLATE(AB160, ""en"", ""te""))"),"")</f>
        <v/>
      </c>
    </row>
    <row r="161" spans="1:50" x14ac:dyDescent="0.25">
      <c r="A161" s="1">
        <v>174</v>
      </c>
      <c r="B161" s="1" t="s">
        <v>56</v>
      </c>
      <c r="C161" s="8">
        <v>45836</v>
      </c>
      <c r="D161" s="8">
        <v>45836</v>
      </c>
      <c r="E161" s="1">
        <v>6</v>
      </c>
      <c r="F161" s="1">
        <v>1</v>
      </c>
      <c r="G161" s="3" t="s">
        <v>170</v>
      </c>
      <c r="H161" s="4">
        <v>1.0648148148148148E-2</v>
      </c>
      <c r="I161" s="4">
        <v>3.2870370370370371E-3</v>
      </c>
      <c r="J161" s="4">
        <v>3.5648148148148149E-3</v>
      </c>
      <c r="K161" s="1" t="s">
        <v>58</v>
      </c>
      <c r="L161" s="1" t="s">
        <v>113</v>
      </c>
      <c r="M161" s="1" t="s">
        <v>14</v>
      </c>
      <c r="O161" s="1" t="s">
        <v>61</v>
      </c>
      <c r="P161" s="1" t="s">
        <v>61</v>
      </c>
      <c r="Q161" s="1" t="s">
        <v>61</v>
      </c>
      <c r="R161" s="1" t="s">
        <v>61</v>
      </c>
      <c r="S161" s="1" t="s">
        <v>61</v>
      </c>
      <c r="T161" s="1" t="s">
        <v>61</v>
      </c>
      <c r="V161" s="1" t="s">
        <v>61</v>
      </c>
      <c r="W161" s="1" t="s">
        <v>61</v>
      </c>
      <c r="X161" s="1" t="s">
        <v>61</v>
      </c>
      <c r="Y161" s="1" t="s">
        <v>533</v>
      </c>
      <c r="Z161" s="1" t="s">
        <v>534</v>
      </c>
      <c r="AA161" s="1" t="s">
        <v>535</v>
      </c>
      <c r="AB161" s="1"/>
      <c r="AC161" s="5" t="str">
        <f ca="1">IFERROR(__xludf.DUMMYFUNCTION("IF(Y161 = """", """", GOOGLETRANSLATE(Y161, ""en"", ""hi""))
"),"ऊर्जावान दिन")</f>
        <v>ऊर्जावान दिन</v>
      </c>
      <c r="AD161" s="5" t="str">
        <f ca="1">IFERROR(__xludf.DUMMYFUNCTION("IF(Z161 = """", """", GOOGLETRANSLATE(Z161, ""en"", ""hi""))"),"स्वास्थ्य संबंधी सावधानी बरतने की सलाह दी गई")</f>
        <v>स्वास्थ्य संबंधी सावधानी बरतने की सलाह दी गई</v>
      </c>
      <c r="AE161" s="5" t="str">
        <f ca="1">IFERROR(__xludf.DUMMYFUNCTION("IF(AA161 = """", """", GOOGLETRANSLATE(AA161, ""en"", ""hi""))"),"चीजों को योजना के साथ संभालें")</f>
        <v>चीजों को योजना के साथ संभालें</v>
      </c>
      <c r="AF161" s="5" t="str">
        <f ca="1">IFERROR(__xludf.DUMMYFUNCTION("IF(AB161 = """", """", GOOGLETRANSLATE(AB161, ""en"", ""hi""))"),"")</f>
        <v/>
      </c>
      <c r="AG161" s="5" t="str">
        <f ca="1">IFERROR(__xludf.DUMMYFUNCTION("IF(Y161 = """", """", GOOGLETRANSLATE(Y161, ""en"", ""mr""))"),"उत्साही दिवस")</f>
        <v>उत्साही दिवस</v>
      </c>
      <c r="AH161" s="5" t="str">
        <f ca="1">IFERROR(__xludf.DUMMYFUNCTION("IF(Z161 = """", """", GOOGLETRANSLATE(Z161, ""en"", ""mr""))"),"आरोग्याची काळजी घेण्याचा सल्ला दिला आहे")</f>
        <v>आरोग्याची काळजी घेण्याचा सल्ला दिला आहे</v>
      </c>
      <c r="AI161" s="5" t="str">
        <f ca="1">IFERROR(__xludf.DUMMYFUNCTION("IF(AA161 = """", """", GOOGLETRANSLATE(AA161, ""en"", ""mr""))"),"नियोजनपूर्वक गोष्टी हाताळा")</f>
        <v>नियोजनपूर्वक गोष्टी हाताळा</v>
      </c>
      <c r="AJ161" s="5" t="str">
        <f ca="1">IFERROR(__xludf.DUMMYFUNCTION("IF(AB161 = """", """", GOOGLETRANSLATE(AB161, ""en"", ""mr""))"),"")</f>
        <v/>
      </c>
      <c r="AK161" s="5" t="str">
        <f ca="1">IFERROR(__xludf.DUMMYFUNCTION("IF(Y161 = """", """", GOOGLETRANSLATE(Y161, ""en"", ""gu""))"),"ઊર્જાસભર દિવસ")</f>
        <v>ઊર્જાસભર દિવસ</v>
      </c>
      <c r="AL161" s="5" t="str">
        <f ca="1">IFERROR(__xludf.DUMMYFUNCTION("IF(Z161 = """", """", GOOGLETRANSLATE(Z161, ""en"", ""gu""))"),"આરોગ્ય અંગે સાવચેતી રાખવાની સલાહ આપી છે")</f>
        <v>આરોગ્ય અંગે સાવચેતી રાખવાની સલાહ આપી છે</v>
      </c>
      <c r="AM161" s="5" t="str">
        <f ca="1">IFERROR(__xludf.DUMMYFUNCTION("IF(AA161 = """", """", GOOGLETRANSLATE(AA161, ""en"", ""gu""))"),"આયોજન સાથે વસ્તુઓ સંભાળો")</f>
        <v>આયોજન સાથે વસ્તુઓ સંભાળો</v>
      </c>
      <c r="AN161" s="5" t="str">
        <f ca="1">IFERROR(__xludf.DUMMYFUNCTION("IF(AB161 = """", """", GOOGLETRANSLATE(AB161, ""en"", ""gu""))"),"")</f>
        <v/>
      </c>
      <c r="AO161" s="5" t="str">
        <f ca="1">IFERROR(__xludf.DUMMYFUNCTION("IF(Y161 = """", """", GOOGLETRANSLATE(Y161, ""en"", ""bn""))"),"উদ্যমী দিন")</f>
        <v>উদ্যমী দিন</v>
      </c>
      <c r="AP161" s="5" t="str">
        <f ca="1">IFERROR(__xludf.DUMMYFUNCTION("IF(Z161 = """", """", GOOGLETRANSLATE(Z161, ""en"", ""bn""))"),"স্বাস্থ্য সতর্কতার পরামর্শ দিয়েছেন")</f>
        <v>স্বাস্থ্য সতর্কতার পরামর্শ দিয়েছেন</v>
      </c>
      <c r="AQ161" s="5" t="str">
        <f ca="1">IFERROR(__xludf.DUMMYFUNCTION("IF(AA161 = """", """", GOOGLETRANSLATE(AA161, ""en"", ""bn""))"),"পরিকল্পনার সাথে জিনিসগুলি পরিচালনা করুন")</f>
        <v>পরিকল্পনার সাথে জিনিসগুলি পরিচালনা করুন</v>
      </c>
      <c r="AR161" s="5" t="str">
        <f ca="1">IFERROR(__xludf.DUMMYFUNCTION("IF(AB161 = """", """", GOOGLETRANSLATE(AB161, ""en"", ""bn""))"),"")</f>
        <v/>
      </c>
      <c r="AU161" s="5" t="str">
        <f ca="1">IFERROR(__xludf.DUMMYFUNCTION("IF(Y161 = """", """", GOOGLETRANSLATE(Y161, ""en"", ""te""))"),"ఎనర్జిటిక్ డే")</f>
        <v>ఎనర్జిటిక్ డే</v>
      </c>
      <c r="AV161" s="5" t="str">
        <f ca="1">IFERROR(__xludf.DUMMYFUNCTION("IF(Z161 = """", """", GOOGLETRANSLATE(Z161, ""en"", ""te""))"),"ఆరోగ్యం పట్ల అప్రమత్తంగా ఉండాలని సూచించారు")</f>
        <v>ఆరోగ్యం పట్ల అప్రమత్తంగా ఉండాలని సూచించారు</v>
      </c>
      <c r="AW161" s="5" t="str">
        <f ca="1">IFERROR(__xludf.DUMMYFUNCTION("IF(AA161 = """", """", GOOGLETRANSLATE(AA161, ""en"", ""te""))"),"ప్రణాళికతో పనులు నిర్వహించండి")</f>
        <v>ప్రణాళికతో పనులు నిర్వహించండి</v>
      </c>
      <c r="AX161" s="5" t="str">
        <f ca="1">IFERROR(__xludf.DUMMYFUNCTION("IF(AB161 = """", """", GOOGLETRANSLATE(AB161, ""en"", ""te""))"),"")</f>
        <v/>
      </c>
    </row>
    <row r="162" spans="1:50" x14ac:dyDescent="0.25">
      <c r="A162" s="1">
        <v>175</v>
      </c>
      <c r="B162" s="1" t="s">
        <v>56</v>
      </c>
      <c r="C162" s="8">
        <v>45836</v>
      </c>
      <c r="D162" s="8">
        <v>45836</v>
      </c>
      <c r="E162" s="1">
        <v>7</v>
      </c>
      <c r="F162" s="1">
        <v>1</v>
      </c>
      <c r="G162" s="3" t="s">
        <v>170</v>
      </c>
      <c r="H162" s="4">
        <v>1.0648148148148148E-2</v>
      </c>
      <c r="I162" s="4">
        <v>3.5648148148148149E-3</v>
      </c>
      <c r="J162" s="4">
        <v>4.2361111111111115E-3</v>
      </c>
      <c r="K162" s="1" t="s">
        <v>58</v>
      </c>
      <c r="L162" s="1" t="s">
        <v>64</v>
      </c>
      <c r="M162" s="1" t="s">
        <v>17</v>
      </c>
      <c r="O162" s="1" t="s">
        <v>61</v>
      </c>
      <c r="P162" s="1" t="s">
        <v>61</v>
      </c>
      <c r="Q162" s="1" t="s">
        <v>61</v>
      </c>
      <c r="R162" s="1" t="s">
        <v>61</v>
      </c>
      <c r="S162" s="1" t="s">
        <v>61</v>
      </c>
      <c r="T162" s="1" t="s">
        <v>61</v>
      </c>
      <c r="V162" s="1" t="s">
        <v>61</v>
      </c>
      <c r="W162" s="1" t="s">
        <v>61</v>
      </c>
      <c r="X162" s="1" t="s">
        <v>61</v>
      </c>
      <c r="Y162" s="1" t="s">
        <v>536</v>
      </c>
      <c r="Z162" s="1" t="s">
        <v>537</v>
      </c>
      <c r="AA162" s="1" t="s">
        <v>153</v>
      </c>
      <c r="AB162" s="1"/>
      <c r="AC162" s="5" t="str">
        <f ca="1">IFERROR(__xludf.DUMMYFUNCTION("IF(Y162 = """", """", GOOGLETRANSLATE(Y162, ""en"", ""hi""))
"),"निर्णय लेने में भ्रम")</f>
        <v>निर्णय लेने में भ्रम</v>
      </c>
      <c r="AD162" s="5" t="str">
        <f ca="1">IFERROR(__xludf.DUMMYFUNCTION("IF(Z162 = """", """", GOOGLETRANSLATE(Z162, ""en"", ""hi""))"),"परिवार से परामर्श करें")</f>
        <v>परिवार से परामर्श करें</v>
      </c>
      <c r="AE162" s="5" t="str">
        <f ca="1">IFERROR(__xludf.DUMMYFUNCTION("IF(AA162 = """", """", GOOGLETRANSLATE(AA162, ""en"", ""hi""))"),"बड़े फैसले लेने से बचें")</f>
        <v>बड़े फैसले लेने से बचें</v>
      </c>
      <c r="AF162" s="5" t="str">
        <f ca="1">IFERROR(__xludf.DUMMYFUNCTION("IF(AB162 = """", """", GOOGLETRANSLATE(AB162, ""en"", ""hi""))"),"")</f>
        <v/>
      </c>
      <c r="AG162" s="5" t="str">
        <f ca="1">IFERROR(__xludf.DUMMYFUNCTION("IF(Y162 = """", """", GOOGLETRANSLATE(Y162, ""en"", ""mr""))"),"निर्णय घेताना गोंधळ")</f>
        <v>निर्णय घेताना गोंधळ</v>
      </c>
      <c r="AH162" s="5" t="str">
        <f ca="1">IFERROR(__xludf.DUMMYFUNCTION("IF(Z162 = """", """", GOOGLETRANSLATE(Z162, ""en"", ""mr""))"),"कुटुंबाचा सल्ला घ्या")</f>
        <v>कुटुंबाचा सल्ला घ्या</v>
      </c>
      <c r="AI162" s="5" t="str">
        <f ca="1">IFERROR(__xludf.DUMMYFUNCTION("IF(AA162 = """", """", GOOGLETRANSLATE(AA162, ""en"", ""mr""))"),"मोठे निर्णय टाळा")</f>
        <v>मोठे निर्णय टाळा</v>
      </c>
      <c r="AJ162" s="5" t="str">
        <f ca="1">IFERROR(__xludf.DUMMYFUNCTION("IF(AB162 = """", """", GOOGLETRANSLATE(AB162, ""en"", ""mr""))"),"")</f>
        <v/>
      </c>
      <c r="AK162" s="5" t="str">
        <f ca="1">IFERROR(__xludf.DUMMYFUNCTION("IF(Y162 = """", """", GOOGLETRANSLATE(Y162, ""en"", ""gu""))"),"નિર્ણય લેવામાં મૂંઝવણ")</f>
        <v>નિર્ણય લેવામાં મૂંઝવણ</v>
      </c>
      <c r="AL162" s="5" t="str">
        <f ca="1">IFERROR(__xludf.DUMMYFUNCTION("IF(Z162 = """", """", GOOGLETRANSLATE(Z162, ""en"", ""gu""))"),"પરિવારની સલાહ લો")</f>
        <v>પરિવારની સલાહ લો</v>
      </c>
      <c r="AM162" s="5" t="str">
        <f ca="1">IFERROR(__xludf.DUMMYFUNCTION("IF(AA162 = """", """", GOOGLETRANSLATE(AA162, ""en"", ""gu""))"),"મોટા નિર્ણયો ટાળો")</f>
        <v>મોટા નિર્ણયો ટાળો</v>
      </c>
      <c r="AN162" s="5" t="str">
        <f ca="1">IFERROR(__xludf.DUMMYFUNCTION("IF(AB162 = """", """", GOOGLETRANSLATE(AB162, ""en"", ""gu""))"),"")</f>
        <v/>
      </c>
      <c r="AO162" s="5" t="str">
        <f ca="1">IFERROR(__xludf.DUMMYFUNCTION("IF(Y162 = """", """", GOOGLETRANSLATE(Y162, ""en"", ""bn""))"),"সিদ্ধান্ত গ্রহণে বিভ্রান্তি")</f>
        <v>সিদ্ধান্ত গ্রহণে বিভ্রান্তি</v>
      </c>
      <c r="AP162" s="5" t="str">
        <f ca="1">IFERROR(__xludf.DUMMYFUNCTION("IF(Z162 = """", """", GOOGLETRANSLATE(Z162, ""en"", ""bn""))"),"পরিবারের সাথে পরামর্শ করুন")</f>
        <v>পরিবারের সাথে পরামর্শ করুন</v>
      </c>
      <c r="AQ162" s="5" t="str">
        <f ca="1">IFERROR(__xludf.DUMMYFUNCTION("IF(AA162 = """", """", GOOGLETRANSLATE(AA162, ""en"", ""bn""))"),"বড় সিদ্ধান্ত এড়িয়ে চলুন")</f>
        <v>বড় সিদ্ধান্ত এড়িয়ে চলুন</v>
      </c>
      <c r="AR162" s="5" t="str">
        <f ca="1">IFERROR(__xludf.DUMMYFUNCTION("IF(AB162 = """", """", GOOGLETRANSLATE(AB162, ""en"", ""bn""))"),"")</f>
        <v/>
      </c>
      <c r="AU162" s="5" t="str">
        <f ca="1">IFERROR(__xludf.DUMMYFUNCTION("IF(Y162 = """", """", GOOGLETRANSLATE(Y162, ""en"", ""te""))"),"నిర్ణయం తీసుకోవడంలో గందరగోళం")</f>
        <v>నిర్ణయం తీసుకోవడంలో గందరగోళం</v>
      </c>
      <c r="AV162" s="5" t="str">
        <f ca="1">IFERROR(__xludf.DUMMYFUNCTION("IF(Z162 = """", """", GOOGLETRANSLATE(Z162, ""en"", ""te""))"),"కుటుంబాన్ని సంప్రదించండి")</f>
        <v>కుటుంబాన్ని సంప్రదించండి</v>
      </c>
      <c r="AW162" s="5" t="str">
        <f ca="1">IFERROR(__xludf.DUMMYFUNCTION("IF(AA162 = """", """", GOOGLETRANSLATE(AA162, ""en"", ""te""))"),"ప్రధాన నిర్ణయాలకు దూరంగా ఉండండి")</f>
        <v>ప్రధాన నిర్ణయాలకు దూరంగా ఉండండి</v>
      </c>
      <c r="AX162" s="5" t="str">
        <f ca="1">IFERROR(__xludf.DUMMYFUNCTION("IF(AB162 = """", """", GOOGLETRANSLATE(AB162, ""en"", ""te""))"),"")</f>
        <v/>
      </c>
    </row>
    <row r="163" spans="1:50" x14ac:dyDescent="0.25">
      <c r="A163" s="1">
        <v>176</v>
      </c>
      <c r="B163" s="1" t="s">
        <v>56</v>
      </c>
      <c r="C163" s="8">
        <v>45836</v>
      </c>
      <c r="D163" s="8">
        <v>45836</v>
      </c>
      <c r="E163" s="1">
        <v>8</v>
      </c>
      <c r="F163" s="1">
        <v>1</v>
      </c>
      <c r="G163" s="3" t="s">
        <v>170</v>
      </c>
      <c r="H163" s="4">
        <v>1.0648148148148148E-2</v>
      </c>
      <c r="I163" s="4">
        <v>4.2361111111111115E-3</v>
      </c>
      <c r="J163" s="4">
        <v>4.6990740740740743E-3</v>
      </c>
      <c r="K163" s="1" t="s">
        <v>58</v>
      </c>
      <c r="L163" s="1" t="s">
        <v>68</v>
      </c>
      <c r="M163" s="1" t="s">
        <v>14</v>
      </c>
      <c r="O163" s="1" t="s">
        <v>61</v>
      </c>
      <c r="P163" s="1" t="s">
        <v>61</v>
      </c>
      <c r="Q163" s="1" t="s">
        <v>61</v>
      </c>
      <c r="R163" s="1" t="s">
        <v>61</v>
      </c>
      <c r="S163" s="1" t="s">
        <v>61</v>
      </c>
      <c r="T163" s="1" t="s">
        <v>61</v>
      </c>
      <c r="V163" s="1" t="s">
        <v>61</v>
      </c>
      <c r="W163" s="1" t="s">
        <v>61</v>
      </c>
      <c r="X163" s="1" t="s">
        <v>61</v>
      </c>
      <c r="Y163" s="1" t="s">
        <v>538</v>
      </c>
      <c r="Z163" s="1" t="s">
        <v>539</v>
      </c>
      <c r="AA163" s="1" t="s">
        <v>540</v>
      </c>
      <c r="AB163" s="1"/>
      <c r="AC163" s="5" t="str">
        <f ca="1">IFERROR(__xludf.DUMMYFUNCTION("IF(Y163 = """", """", GOOGLETRANSLATE(Y163, ""en"", ""hi""))
"),"पुराने मुद्दों का समाधान")</f>
        <v>पुराने मुद्दों का समाधान</v>
      </c>
      <c r="AD163" s="5" t="str">
        <f ca="1">IFERROR(__xludf.DUMMYFUNCTION("IF(Z163 = """", """", GOOGLETRANSLATE(Z163, ""en"", ""hi""))"),"स्वास्थ्य पर अभी भी ध्यान देने की आवश्यकता है")</f>
        <v>स्वास्थ्य पर अभी भी ध्यान देने की आवश्यकता है</v>
      </c>
      <c r="AE163" s="5" t="str">
        <f ca="1">IFERROR(__xludf.DUMMYFUNCTION("IF(AA163 = """", """", GOOGLETRANSLATE(AA163, ""en"", ""hi""))"),"कार्यों के लिए अनुकूल")</f>
        <v>कार्यों के लिए अनुकूल</v>
      </c>
      <c r="AF163" s="5" t="str">
        <f ca="1">IFERROR(__xludf.DUMMYFUNCTION("IF(AB163 = """", """", GOOGLETRANSLATE(AB163, ""en"", ""hi""))"),"")</f>
        <v/>
      </c>
      <c r="AG163" s="5" t="str">
        <f ca="1">IFERROR(__xludf.DUMMYFUNCTION("IF(Y163 = """", """", GOOGLETRANSLATE(Y163, ""en"", ""mr""))"),"जुने मुद्दे क्लिअरिंग")</f>
        <v>जुने मुद्दे क्लिअरिंग</v>
      </c>
      <c r="AH163" s="5" t="str">
        <f ca="1">IFERROR(__xludf.DUMMYFUNCTION("IF(Z163 = """", """", GOOGLETRANSLATE(Z163, ""en"", ""mr""))"),"आरोग्याकडे अजूनही लक्ष देण्याची गरज आहे")</f>
        <v>आरोग्याकडे अजूनही लक्ष देण्याची गरज आहे</v>
      </c>
      <c r="AI163" s="5" t="str">
        <f ca="1">IFERROR(__xludf.DUMMYFUNCTION("IF(AA163 = """", """", GOOGLETRANSLATE(AA163, ""en"", ""mr""))"),"कामांसाठी अनुकूल")</f>
        <v>कामांसाठी अनुकूल</v>
      </c>
      <c r="AJ163" s="5" t="str">
        <f ca="1">IFERROR(__xludf.DUMMYFUNCTION("IF(AB163 = """", """", GOOGLETRANSLATE(AB163, ""en"", ""mr""))"),"")</f>
        <v/>
      </c>
      <c r="AK163" s="5" t="str">
        <f ca="1">IFERROR(__xludf.DUMMYFUNCTION("IF(Y163 = """", """", GOOGLETRANSLATE(Y163, ""en"", ""gu""))"),"જૂની સમસ્યાઓનું નિરાકરણ")</f>
        <v>જૂની સમસ્યાઓનું નિરાકરણ</v>
      </c>
      <c r="AL163" s="5" t="str">
        <f ca="1">IFERROR(__xludf.DUMMYFUNCTION("IF(Z163 = """", """", GOOGLETRANSLATE(Z163, ""en"", ""gu""))"),"સ્વાસ્થ્ય પર હજુ ધ્યાન આપવાની જરૂર છે")</f>
        <v>સ્વાસ્થ્ય પર હજુ ધ્યાન આપવાની જરૂર છે</v>
      </c>
      <c r="AM163" s="5" t="str">
        <f ca="1">IFERROR(__xludf.DUMMYFUNCTION("IF(AA163 = """", """", GOOGLETRANSLATE(AA163, ""en"", ""gu""))"),"કાર્યો માટે અનુકૂળ")</f>
        <v>કાર્યો માટે અનુકૂળ</v>
      </c>
      <c r="AN163" s="5" t="str">
        <f ca="1">IFERROR(__xludf.DUMMYFUNCTION("IF(AB163 = """", """", GOOGLETRANSLATE(AB163, ""en"", ""gu""))"),"")</f>
        <v/>
      </c>
      <c r="AO163" s="5" t="str">
        <f ca="1">IFERROR(__xludf.DUMMYFUNCTION("IF(Y163 = """", """", GOOGLETRANSLATE(Y163, ""en"", ""bn""))"),"পুরানো সমস্যা ক্লিয়ারিং")</f>
        <v>পুরানো সমস্যা ক্লিয়ারিং</v>
      </c>
      <c r="AP163" s="5" t="str">
        <f ca="1">IFERROR(__xludf.DUMMYFUNCTION("IF(Z163 = """", """", GOOGLETRANSLATE(Z163, ""en"", ""bn""))"),"স্বাস্থ্য এখনও মনোযোগ প্রয়োজন")</f>
        <v>স্বাস্থ্য এখনও মনোযোগ প্রয়োজন</v>
      </c>
      <c r="AQ163" s="5" t="str">
        <f ca="1">IFERROR(__xludf.DUMMYFUNCTION("IF(AA163 = """", """", GOOGLETRANSLATE(AA163, ""en"", ""bn""))"),"কাজের জন্য অনুকূল")</f>
        <v>কাজের জন্য অনুকূল</v>
      </c>
      <c r="AR163" s="5" t="str">
        <f ca="1">IFERROR(__xludf.DUMMYFUNCTION("IF(AB163 = """", """", GOOGLETRANSLATE(AB163, ""en"", ""bn""))"),"")</f>
        <v/>
      </c>
      <c r="AU163" s="5" t="str">
        <f ca="1">IFERROR(__xludf.DUMMYFUNCTION("IF(Y163 = """", """", GOOGLETRANSLATE(Y163, ""en"", ""te""))"),"పాత సమస్యలకు పరిష్కారం")</f>
        <v>పాత సమస్యలకు పరిష్కారం</v>
      </c>
      <c r="AV163" s="5" t="str">
        <f ca="1">IFERROR(__xludf.DUMMYFUNCTION("IF(Z163 = """", """", GOOGLETRANSLATE(Z163, ""en"", ""te""))"),"ఆరోగ్యంపై ఇంకా శ్రద్ధ అవసరం")</f>
        <v>ఆరోగ్యంపై ఇంకా శ్రద్ధ అవసరం</v>
      </c>
      <c r="AW163" s="5" t="str">
        <f ca="1">IFERROR(__xludf.DUMMYFUNCTION("IF(AA163 = """", """", GOOGLETRANSLATE(AA163, ""en"", ""te""))"),"పనులకు అనుకూలం")</f>
        <v>పనులకు అనుకూలం</v>
      </c>
      <c r="AX163" s="5" t="str">
        <f ca="1">IFERROR(__xludf.DUMMYFUNCTION("IF(AB163 = """", """", GOOGLETRANSLATE(AB163, ""en"", ""te""))"),"")</f>
        <v/>
      </c>
    </row>
    <row r="164" spans="1:50" x14ac:dyDescent="0.25">
      <c r="A164" s="1">
        <v>177</v>
      </c>
      <c r="B164" s="1" t="s">
        <v>56</v>
      </c>
      <c r="C164" s="8">
        <v>45836</v>
      </c>
      <c r="D164" s="8">
        <v>45836</v>
      </c>
      <c r="E164" s="1">
        <v>9</v>
      </c>
      <c r="F164" s="1">
        <v>1</v>
      </c>
      <c r="G164" s="3" t="s">
        <v>170</v>
      </c>
      <c r="H164" s="4">
        <v>1.0648148148148148E-2</v>
      </c>
      <c r="I164" s="4">
        <v>4.6990740740740743E-3</v>
      </c>
      <c r="J164" s="4">
        <v>5.1967592592592595E-3</v>
      </c>
      <c r="K164" s="1" t="s">
        <v>58</v>
      </c>
      <c r="L164" s="1" t="s">
        <v>72</v>
      </c>
      <c r="M164" s="1" t="s">
        <v>19</v>
      </c>
      <c r="O164" s="1" t="s">
        <v>61</v>
      </c>
      <c r="P164" s="1" t="s">
        <v>61</v>
      </c>
      <c r="Q164" s="1" t="s">
        <v>61</v>
      </c>
      <c r="R164" s="1" t="s">
        <v>61</v>
      </c>
      <c r="S164" s="1" t="s">
        <v>61</v>
      </c>
      <c r="T164" s="1" t="s">
        <v>61</v>
      </c>
      <c r="V164" s="1" t="s">
        <v>61</v>
      </c>
      <c r="W164" s="1" t="s">
        <v>61</v>
      </c>
      <c r="X164" s="1" t="s">
        <v>61</v>
      </c>
      <c r="AB164" s="1"/>
      <c r="AC164" s="5" t="str">
        <f ca="1">IFERROR(__xludf.DUMMYFUNCTION("IF(Y164 = """", """", GOOGLETRANSLATE(Y164, ""en"", ""hi""))
"),"")</f>
        <v/>
      </c>
      <c r="AD164" s="5" t="str">
        <f ca="1">IFERROR(__xludf.DUMMYFUNCTION("IF(Z164 = """", """", GOOGLETRANSLATE(Z164, ""en"", ""hi""))"),"")</f>
        <v/>
      </c>
      <c r="AE164" s="5" t="str">
        <f ca="1">IFERROR(__xludf.DUMMYFUNCTION("IF(AA164 = """", """", GOOGLETRANSLATE(AA164, ""en"", ""hi""))"),"")</f>
        <v/>
      </c>
      <c r="AF164" s="5" t="str">
        <f ca="1">IFERROR(__xludf.DUMMYFUNCTION("IF(AB164 = """", """", GOOGLETRANSLATE(AB164, ""en"", ""hi""))"),"")</f>
        <v/>
      </c>
      <c r="AG164" s="5" t="str">
        <f ca="1">IFERROR(__xludf.DUMMYFUNCTION("IF(Y164 = """", """", GOOGLETRANSLATE(Y164, ""en"", ""mr""))"),"")</f>
        <v/>
      </c>
      <c r="AH164" s="5" t="str">
        <f ca="1">IFERROR(__xludf.DUMMYFUNCTION("IF(Z164 = """", """", GOOGLETRANSLATE(Z164, ""en"", ""mr""))"),"")</f>
        <v/>
      </c>
      <c r="AI164" s="5" t="str">
        <f ca="1">IFERROR(__xludf.DUMMYFUNCTION("IF(AA164 = """", """", GOOGLETRANSLATE(AA164, ""en"", ""mr""))"),"")</f>
        <v/>
      </c>
      <c r="AJ164" s="5" t="str">
        <f ca="1">IFERROR(__xludf.DUMMYFUNCTION("IF(AB164 = """", """", GOOGLETRANSLATE(AB164, ""en"", ""mr""))"),"")</f>
        <v/>
      </c>
      <c r="AK164" s="5" t="str">
        <f ca="1">IFERROR(__xludf.DUMMYFUNCTION("IF(Y164 = """", """", GOOGLETRANSLATE(Y164, ""en"", ""gu""))"),"")</f>
        <v/>
      </c>
      <c r="AL164" s="5" t="str">
        <f ca="1">IFERROR(__xludf.DUMMYFUNCTION("IF(Z164 = """", """", GOOGLETRANSLATE(Z164, ""en"", ""gu""))"),"")</f>
        <v/>
      </c>
      <c r="AM164" s="5" t="str">
        <f ca="1">IFERROR(__xludf.DUMMYFUNCTION("IF(AA164 = """", """", GOOGLETRANSLATE(AA164, ""en"", ""gu""))"),"")</f>
        <v/>
      </c>
      <c r="AN164" s="5" t="str">
        <f ca="1">IFERROR(__xludf.DUMMYFUNCTION("IF(AB164 = """", """", GOOGLETRANSLATE(AB164, ""en"", ""gu""))"),"")</f>
        <v/>
      </c>
      <c r="AO164" s="5" t="str">
        <f ca="1">IFERROR(__xludf.DUMMYFUNCTION("IF(Y164 = """", """", GOOGLETRANSLATE(Y164, ""en"", ""bn""))"),"")</f>
        <v/>
      </c>
      <c r="AP164" s="5" t="str">
        <f ca="1">IFERROR(__xludf.DUMMYFUNCTION("IF(Z164 = """", """", GOOGLETRANSLATE(Z164, ""en"", ""bn""))"),"")</f>
        <v/>
      </c>
      <c r="AQ164" s="5" t="str">
        <f ca="1">IFERROR(__xludf.DUMMYFUNCTION("IF(AA164 = """", """", GOOGLETRANSLATE(AA164, ""en"", ""bn""))"),"")</f>
        <v/>
      </c>
      <c r="AR164" s="5" t="str">
        <f ca="1">IFERROR(__xludf.DUMMYFUNCTION("IF(AB164 = """", """", GOOGLETRANSLATE(AB164, ""en"", ""bn""))"),"")</f>
        <v/>
      </c>
      <c r="AU164" s="5" t="str">
        <f ca="1">IFERROR(__xludf.DUMMYFUNCTION("IF(Y164 = """", """", GOOGLETRANSLATE(Y164, ""en"", ""te""))"),"")</f>
        <v/>
      </c>
      <c r="AV164" s="5" t="str">
        <f ca="1">IFERROR(__xludf.DUMMYFUNCTION("IF(Z164 = """", """", GOOGLETRANSLATE(Z164, ""en"", ""te""))"),"")</f>
        <v/>
      </c>
      <c r="AW164" s="5" t="str">
        <f ca="1">IFERROR(__xludf.DUMMYFUNCTION("IF(AA164 = """", """", GOOGLETRANSLATE(AA164, ""en"", ""te""))"),"")</f>
        <v/>
      </c>
      <c r="AX164" s="5" t="str">
        <f ca="1">IFERROR(__xludf.DUMMYFUNCTION("IF(AB164 = """", """", GOOGLETRANSLATE(AB164, ""en"", ""te""))"),"")</f>
        <v/>
      </c>
    </row>
    <row r="165" spans="1:50" x14ac:dyDescent="0.25">
      <c r="A165" s="1">
        <v>178</v>
      </c>
      <c r="B165" s="1" t="s">
        <v>56</v>
      </c>
      <c r="C165" s="8">
        <v>45836</v>
      </c>
      <c r="D165" s="8">
        <v>45836</v>
      </c>
      <c r="E165" s="1">
        <v>10</v>
      </c>
      <c r="F165" s="1">
        <v>1</v>
      </c>
      <c r="G165" s="3" t="s">
        <v>170</v>
      </c>
      <c r="H165" s="4">
        <v>1.0648148148148148E-2</v>
      </c>
      <c r="I165" s="4">
        <v>5.1967592592592595E-3</v>
      </c>
      <c r="J165" s="4">
        <v>5.3819444444444444E-3</v>
      </c>
      <c r="K165" s="1" t="s">
        <v>58</v>
      </c>
      <c r="L165" s="1" t="s">
        <v>76</v>
      </c>
      <c r="M165" s="1" t="s">
        <v>14</v>
      </c>
      <c r="O165" s="1" t="s">
        <v>61</v>
      </c>
      <c r="P165" s="1" t="s">
        <v>61</v>
      </c>
      <c r="Q165" s="1" t="s">
        <v>61</v>
      </c>
      <c r="R165" s="1" t="s">
        <v>61</v>
      </c>
      <c r="S165" s="1" t="s">
        <v>61</v>
      </c>
      <c r="T165" s="1" t="s">
        <v>61</v>
      </c>
      <c r="V165" s="1" t="s">
        <v>61</v>
      </c>
      <c r="W165" s="1" t="s">
        <v>61</v>
      </c>
      <c r="X165" s="1" t="s">
        <v>61</v>
      </c>
      <c r="Y165" s="1" t="s">
        <v>541</v>
      </c>
      <c r="Z165" s="1" t="s">
        <v>542</v>
      </c>
      <c r="AA165" s="1" t="s">
        <v>543</v>
      </c>
      <c r="AB165" s="1"/>
      <c r="AC165" s="5" t="str">
        <f ca="1">IFERROR(__xludf.DUMMYFUNCTION("IF(Y165 = """", """", GOOGLETRANSLATE(Y165, ""en"", ""hi""))
"),"पुराने लंबित कार्यों का समाधान करें")</f>
        <v>पुराने लंबित कार्यों का समाधान करें</v>
      </c>
      <c r="AD165" s="5" t="str">
        <f ca="1">IFERROR(__xludf.DUMMYFUNCTION("IF(Z165 = """", """", GOOGLETRANSLATE(Z165, ""en"", ""hi""))"),"अच्छी योजना मदद करती है")</f>
        <v>अच्छी योजना मदद करती है</v>
      </c>
      <c r="AE165" s="5" t="str">
        <f ca="1">IFERROR(__xludf.DUMMYFUNCTION("IF(AA165 = """", """", GOOGLETRANSLATE(AA165, ""en"", ""hi""))"),"सक्रिय लेकिन प्रबंधनीय दिन")</f>
        <v>सक्रिय लेकिन प्रबंधनीय दिन</v>
      </c>
      <c r="AF165" s="5" t="str">
        <f ca="1">IFERROR(__xludf.DUMMYFUNCTION("IF(AB165 = """", """", GOOGLETRANSLATE(AB165, ""en"", ""hi""))"),"")</f>
        <v/>
      </c>
      <c r="AG165" s="5" t="str">
        <f ca="1">IFERROR(__xludf.DUMMYFUNCTION("IF(Y165 = """", """", GOOGLETRANSLATE(Y165, ""en"", ""mr""))"),"जुनी प्रलंबित कामे मार्गी लावा")</f>
        <v>जुनी प्रलंबित कामे मार्गी लावा</v>
      </c>
      <c r="AH165" s="5" t="str">
        <f ca="1">IFERROR(__xludf.DUMMYFUNCTION("IF(Z165 = """", """", GOOGLETRANSLATE(Z165, ""en"", ""mr""))"),"चांगले नियोजन मदत करते")</f>
        <v>चांगले नियोजन मदत करते</v>
      </c>
      <c r="AI165" s="5" t="str">
        <f ca="1">IFERROR(__xludf.DUMMYFUNCTION("IF(AA165 = """", """", GOOGLETRANSLATE(AA165, ""en"", ""mr""))"),"सक्रिय पण आटोपशीर दिवस")</f>
        <v>सक्रिय पण आटोपशीर दिवस</v>
      </c>
      <c r="AJ165" s="5" t="str">
        <f ca="1">IFERROR(__xludf.DUMMYFUNCTION("IF(AB165 = """", """", GOOGLETRANSLATE(AB165, ""en"", ""mr""))"),"")</f>
        <v/>
      </c>
      <c r="AK165" s="5" t="str">
        <f ca="1">IFERROR(__xludf.DUMMYFUNCTION("IF(Y165 = """", """", GOOGLETRANSLATE(Y165, ""en"", ""gu""))"),"જૂના પડતર કામ ઉકેલો")</f>
        <v>જૂના પડતર કામ ઉકેલો</v>
      </c>
      <c r="AL165" s="5" t="str">
        <f ca="1">IFERROR(__xludf.DUMMYFUNCTION("IF(Z165 = """", """", GOOGLETRANSLATE(Z165, ""en"", ""gu""))"),"સારું આયોજન મદદ કરે છે")</f>
        <v>સારું આયોજન મદદ કરે છે</v>
      </c>
      <c r="AM165" s="5" t="str">
        <f ca="1">IFERROR(__xludf.DUMMYFUNCTION("IF(AA165 = """", """", GOOGLETRANSLATE(AA165, ""en"", ""gu""))"),"સક્રિય પરંતુ વ્યવસ્થિત દિવસ")</f>
        <v>સક્રિય પરંતુ વ્યવસ્થિત દિવસ</v>
      </c>
      <c r="AN165" s="5" t="str">
        <f ca="1">IFERROR(__xludf.DUMMYFUNCTION("IF(AB165 = """", """", GOOGLETRANSLATE(AB165, ""en"", ""gu""))"),"")</f>
        <v/>
      </c>
      <c r="AO165" s="5" t="str">
        <f ca="1">IFERROR(__xludf.DUMMYFUNCTION("IF(Y165 = """", """", GOOGLETRANSLATE(Y165, ""en"", ""bn""))"),"পুরানো অমীমাংসিত কাজ সমাধান করুন")</f>
        <v>পুরানো অমীমাংসিত কাজ সমাধান করুন</v>
      </c>
      <c r="AP165" s="5" t="str">
        <f ca="1">IFERROR(__xludf.DUMMYFUNCTION("IF(Z165 = """", """", GOOGLETRANSLATE(Z165, ""en"", ""bn""))"),"ভালো পরিকল্পনা সাহায্য করে")</f>
        <v>ভালো পরিকল্পনা সাহায্য করে</v>
      </c>
      <c r="AQ165" s="5" t="str">
        <f ca="1">IFERROR(__xludf.DUMMYFUNCTION("IF(AA165 = """", """", GOOGLETRANSLATE(AA165, ""en"", ""bn""))"),"সক্রিয় কিন্তু পরিচালনাযোগ্য দিন")</f>
        <v>সক্রিয় কিন্তু পরিচালনাযোগ্য দিন</v>
      </c>
      <c r="AR165" s="5" t="str">
        <f ca="1">IFERROR(__xludf.DUMMYFUNCTION("IF(AB165 = """", """", GOOGLETRANSLATE(AB165, ""en"", ""bn""))"),"")</f>
        <v/>
      </c>
      <c r="AU165" s="5" t="str">
        <f ca="1">IFERROR(__xludf.DUMMYFUNCTION("IF(Y165 = """", """", GOOGLETRANSLATE(Y165, ""en"", ""te""))"),"పాత పెండింగ్ పనులను పరిష్కరించండి")</f>
        <v>పాత పెండింగ్ పనులను పరిష్కరించండి</v>
      </c>
      <c r="AV165" s="5" t="str">
        <f ca="1">IFERROR(__xludf.DUMMYFUNCTION("IF(Z165 = """", """", GOOGLETRANSLATE(Z165, ""en"", ""te""))"),"మంచి ప్రణాళిక సహాయపడుతుంది")</f>
        <v>మంచి ప్రణాళిక సహాయపడుతుంది</v>
      </c>
      <c r="AW165" s="5" t="str">
        <f ca="1">IFERROR(__xludf.DUMMYFUNCTION("IF(AA165 = """", """", GOOGLETRANSLATE(AA165, ""en"", ""te""))"),"చురుకుగా కానీ నిర్వహించదగిన రోజు")</f>
        <v>చురుకుగా కానీ నిర్వహించదగిన రోజు</v>
      </c>
      <c r="AX165" s="5" t="str">
        <f ca="1">IFERROR(__xludf.DUMMYFUNCTION("IF(AB165 = """", """", GOOGLETRANSLATE(AB165, ""en"", ""te""))"),"")</f>
        <v/>
      </c>
    </row>
    <row r="166" spans="1:50" x14ac:dyDescent="0.25">
      <c r="A166" s="1">
        <v>179</v>
      </c>
      <c r="B166" s="1" t="s">
        <v>56</v>
      </c>
      <c r="C166" s="8">
        <v>45836</v>
      </c>
      <c r="D166" s="8">
        <v>45836</v>
      </c>
      <c r="E166" s="1">
        <v>11</v>
      </c>
      <c r="F166" s="1">
        <v>1</v>
      </c>
      <c r="G166" s="3" t="s">
        <v>170</v>
      </c>
      <c r="H166" s="4">
        <v>1.0648148148148148E-2</v>
      </c>
      <c r="I166" s="4">
        <v>5.3819444444444444E-3</v>
      </c>
      <c r="J166" s="4">
        <v>5.9953703703703705E-3</v>
      </c>
      <c r="K166" s="1" t="s">
        <v>58</v>
      </c>
      <c r="L166" s="1" t="s">
        <v>79</v>
      </c>
      <c r="M166" s="1" t="s">
        <v>17</v>
      </c>
      <c r="O166" s="1" t="s">
        <v>61</v>
      </c>
      <c r="P166" s="1" t="s">
        <v>61</v>
      </c>
      <c r="Q166" s="1" t="s">
        <v>61</v>
      </c>
      <c r="R166" s="1" t="s">
        <v>61</v>
      </c>
      <c r="S166" s="1" t="s">
        <v>61</v>
      </c>
      <c r="T166" s="1" t="s">
        <v>61</v>
      </c>
      <c r="V166" s="1" t="s">
        <v>61</v>
      </c>
      <c r="W166" s="1" t="s">
        <v>61</v>
      </c>
      <c r="X166" s="1" t="s">
        <v>61</v>
      </c>
      <c r="Y166" s="1" t="s">
        <v>544</v>
      </c>
      <c r="Z166" s="1" t="s">
        <v>448</v>
      </c>
      <c r="AA166" s="1" t="s">
        <v>545</v>
      </c>
      <c r="AB166" s="1"/>
      <c r="AC166" s="5" t="str">
        <f ca="1">IFERROR(__xludf.DUMMYFUNCTION("IF(Y166 = """", """", GOOGLETRANSLATE(Y166, ""en"", ""hi""))
"),"परिवार या बच्चों के कारण मानसिक तनाव")</f>
        <v>परिवार या बच्चों के कारण मानसिक तनाव</v>
      </c>
      <c r="AD166" s="5" t="str">
        <f ca="1">IFERROR(__xludf.DUMMYFUNCTION("IF(Z166 = """", """", GOOGLETRANSLATE(Z166, ""en"", ""hi""))"),"अधिक सोचने से बचें")</f>
        <v>अधिक सोचने से बचें</v>
      </c>
      <c r="AE166" s="5" t="str">
        <f ca="1">IFERROR(__xludf.DUMMYFUNCTION("IF(AA166 = """", """", GOOGLETRANSLATE(AA166, ""en"", ""hi""))"),"शांति से चिंतन करें")</f>
        <v>शांति से चिंतन करें</v>
      </c>
      <c r="AF166" s="5" t="str">
        <f ca="1">IFERROR(__xludf.DUMMYFUNCTION("IF(AB166 = """", """", GOOGLETRANSLATE(AB166, ""en"", ""hi""))"),"")</f>
        <v/>
      </c>
      <c r="AG166" s="5" t="str">
        <f ca="1">IFERROR(__xludf.DUMMYFUNCTION("IF(Y166 = """", """", GOOGLETRANSLATE(Y166, ""en"", ""mr""))"),"कुटुंब किंवा मुलांमुळे मानसिक ताण")</f>
        <v>कुटुंब किंवा मुलांमुळे मानसिक ताण</v>
      </c>
      <c r="AH166" s="5" t="str">
        <f ca="1">IFERROR(__xludf.DUMMYFUNCTION("IF(Z166 = """", """", GOOGLETRANSLATE(Z166, ""en"", ""mr""))"),"अतिविचार टाळा")</f>
        <v>अतिविचार टाळा</v>
      </c>
      <c r="AI166" s="5" t="str">
        <f ca="1">IFERROR(__xludf.DUMMYFUNCTION("IF(AA166 = """", """", GOOGLETRANSLATE(AA166, ""en"", ""mr""))"),"शांतपणे विचार करा")</f>
        <v>शांतपणे विचार करा</v>
      </c>
      <c r="AJ166" s="5" t="str">
        <f ca="1">IFERROR(__xludf.DUMMYFUNCTION("IF(AB166 = """", """", GOOGLETRANSLATE(AB166, ""en"", ""mr""))"),"")</f>
        <v/>
      </c>
      <c r="AK166" s="5" t="str">
        <f ca="1">IFERROR(__xludf.DUMMYFUNCTION("IF(Y166 = """", """", GOOGLETRANSLATE(Y166, ""en"", ""gu""))"),"પરિવાર કે બાળકોના કારણે માનસિક તણાવ")</f>
        <v>પરિવાર કે બાળકોના કારણે માનસિક તણાવ</v>
      </c>
      <c r="AL166" s="5" t="str">
        <f ca="1">IFERROR(__xludf.DUMMYFUNCTION("IF(Z166 = """", """", GOOGLETRANSLATE(Z166, ""en"", ""gu""))"),"વધારે વિચારવાનું ટાળો")</f>
        <v>વધારે વિચારવાનું ટાળો</v>
      </c>
      <c r="AM166" s="5" t="str">
        <f ca="1">IFERROR(__xludf.DUMMYFUNCTION("IF(AA166 = """", """", GOOGLETRANSLATE(AA166, ""en"", ""gu""))"),"શાંતિથી ચિંતન કરો")</f>
        <v>શાંતિથી ચિંતન કરો</v>
      </c>
      <c r="AN166" s="5" t="str">
        <f ca="1">IFERROR(__xludf.DUMMYFUNCTION("IF(AB166 = """", """", GOOGLETRANSLATE(AB166, ""en"", ""gu""))"),"")</f>
        <v/>
      </c>
      <c r="AO166" s="5" t="str">
        <f ca="1">IFERROR(__xludf.DUMMYFUNCTION("IF(Y166 = """", """", GOOGLETRANSLATE(Y166, ""en"", ""bn""))"),"পরিবার বা সন্তানের কারণে মানসিক চাপ")</f>
        <v>পরিবার বা সন্তানের কারণে মানসিক চাপ</v>
      </c>
      <c r="AP166" s="5" t="str">
        <f ca="1">IFERROR(__xludf.DUMMYFUNCTION("IF(Z166 = """", """", GOOGLETRANSLATE(Z166, ""en"", ""bn""))"),"অতিরিক্ত চিন্তা করা এড়িয়ে চলুন")</f>
        <v>অতিরিক্ত চিন্তা করা এড়িয়ে চলুন</v>
      </c>
      <c r="AQ166" s="5" t="str">
        <f ca="1">IFERROR(__xludf.DUMMYFUNCTION("IF(AA166 = """", """", GOOGLETRANSLATE(AA166, ""en"", ""bn""))"),"শান্তভাবে প্রতিফলিত করুন")</f>
        <v>শান্তভাবে প্রতিফলিত করুন</v>
      </c>
      <c r="AR166" s="5" t="str">
        <f ca="1">IFERROR(__xludf.DUMMYFUNCTION("IF(AB166 = """", """", GOOGLETRANSLATE(AB166, ""en"", ""bn""))"),"")</f>
        <v/>
      </c>
      <c r="AU166" s="5" t="str">
        <f ca="1">IFERROR(__xludf.DUMMYFUNCTION("IF(Y166 = """", """", GOOGLETRANSLATE(Y166, ""en"", ""te""))"),"కుటుంబం లేదా పిల్లల కారణంగా మానసిక ఒత్తిడి")</f>
        <v>కుటుంబం లేదా పిల్లల కారణంగా మానసిక ఒత్తిడి</v>
      </c>
      <c r="AV166" s="5" t="str">
        <f ca="1">IFERROR(__xludf.DUMMYFUNCTION("IF(Z166 = """", """", GOOGLETRANSLATE(Z166, ""en"", ""te""))"),"అతిగా ఆలోచించడం మానుకోండి")</f>
        <v>అతిగా ఆలోచించడం మానుకోండి</v>
      </c>
      <c r="AW166" s="5" t="str">
        <f ca="1">IFERROR(__xludf.DUMMYFUNCTION("IF(AA166 = """", """", GOOGLETRANSLATE(AA166, ""en"", ""te""))"),"ప్రశాంతంగా ప్రతిబింబించండి")</f>
        <v>ప్రశాంతంగా ప్రతిబింబించండి</v>
      </c>
      <c r="AX166" s="5" t="str">
        <f ca="1">IFERROR(__xludf.DUMMYFUNCTION("IF(AB166 = """", """", GOOGLETRANSLATE(AB166, ""en"", ""te""))"),"")</f>
        <v/>
      </c>
    </row>
    <row r="167" spans="1:50" x14ac:dyDescent="0.25">
      <c r="A167" s="1">
        <v>180</v>
      </c>
      <c r="B167" s="1" t="s">
        <v>56</v>
      </c>
      <c r="C167" s="8">
        <v>45836</v>
      </c>
      <c r="D167" s="8">
        <v>45836</v>
      </c>
      <c r="E167" s="1">
        <v>12</v>
      </c>
      <c r="F167" s="1">
        <v>1</v>
      </c>
      <c r="G167" s="3" t="s">
        <v>170</v>
      </c>
      <c r="H167" s="4">
        <v>1.0648148148148148E-2</v>
      </c>
      <c r="I167" s="4">
        <v>5.9953703703703705E-3</v>
      </c>
      <c r="J167" s="4">
        <v>6.5740740740740742E-3</v>
      </c>
      <c r="K167" s="1" t="s">
        <v>58</v>
      </c>
      <c r="L167" s="1" t="s">
        <v>81</v>
      </c>
      <c r="M167" s="1" t="s">
        <v>14</v>
      </c>
      <c r="O167" s="1" t="s">
        <v>61</v>
      </c>
      <c r="P167" s="1" t="s">
        <v>61</v>
      </c>
      <c r="Q167" s="1" t="s">
        <v>61</v>
      </c>
      <c r="R167" s="1" t="s">
        <v>61</v>
      </c>
      <c r="S167" s="1" t="s">
        <v>61</v>
      </c>
      <c r="T167" s="1" t="s">
        <v>61</v>
      </c>
      <c r="V167" s="1" t="s">
        <v>61</v>
      </c>
      <c r="W167" s="1" t="s">
        <v>61</v>
      </c>
      <c r="X167" s="1" t="s">
        <v>61</v>
      </c>
      <c r="Y167" s="1" t="s">
        <v>466</v>
      </c>
      <c r="Z167" s="1" t="s">
        <v>546</v>
      </c>
      <c r="AA167" s="1" t="s">
        <v>547</v>
      </c>
      <c r="AB167" s="1"/>
      <c r="AC167" s="5" t="str">
        <f ca="1">IFERROR(__xludf.DUMMYFUNCTION("IF(Y167 = """", """", GOOGLETRANSLATE(Y167, ""en"", ""hi""))
"),"मीठी वाणी सफलता लाती है")</f>
        <v>मीठी वाणी सफलता लाती है</v>
      </c>
      <c r="AD167" s="5" t="str">
        <f ca="1">IFERROR(__xludf.DUMMYFUNCTION("IF(Z167 = """", """", GOOGLETRANSLATE(Z167, ""en"", ""hi""))"),"क्रोध पर नियंत्रण रखें")</f>
        <v>क्रोध पर नियंत्रण रखें</v>
      </c>
      <c r="AE167" s="5" t="str">
        <f ca="1">IFERROR(__xludf.DUMMYFUNCTION("IF(AA167 = """", """", GOOGLETRANSLATE(AA167, ""en"", ""hi""))"),"शांत बातचीत से दीर्घकालिक लाभ")</f>
        <v>शांत बातचीत से दीर्घकालिक लाभ</v>
      </c>
      <c r="AF167" s="5" t="str">
        <f ca="1">IFERROR(__xludf.DUMMYFUNCTION("IF(AB167 = """", """", GOOGLETRANSLATE(AB167, ""en"", ""hi""))"),"")</f>
        <v/>
      </c>
      <c r="AG167" s="5" t="str">
        <f ca="1">IFERROR(__xludf.DUMMYFUNCTION("IF(Y167 = """", """", GOOGLETRANSLATE(Y167, ""en"", ""mr""))"),"गोड बोलण्याने यश मिळते")</f>
        <v>गोड बोलण्याने यश मिळते</v>
      </c>
      <c r="AH167" s="5" t="str">
        <f ca="1">IFERROR(__xludf.DUMMYFUNCTION("IF(Z167 = """", """", GOOGLETRANSLATE(Z167, ""en"", ""mr""))"),"रागावर नियंत्रण ठेवा")</f>
        <v>रागावर नियंत्रण ठेवा</v>
      </c>
      <c r="AI167" s="5" t="str">
        <f ca="1">IFERROR(__xludf.DUMMYFUNCTION("IF(AA167 = """", """", GOOGLETRANSLATE(AA167, ""en"", ""mr""))"),"शांत बोलण्याने दीर्घकालीन फायदा")</f>
        <v>शांत बोलण्याने दीर्घकालीन फायदा</v>
      </c>
      <c r="AJ167" s="5" t="str">
        <f ca="1">IFERROR(__xludf.DUMMYFUNCTION("IF(AB167 = """", """", GOOGLETRANSLATE(AB167, ""en"", ""mr""))"),"")</f>
        <v/>
      </c>
      <c r="AK167" s="5" t="str">
        <f ca="1">IFERROR(__xludf.DUMMYFUNCTION("IF(Y167 = """", """", GOOGLETRANSLATE(Y167, ""en"", ""gu""))"),"મીઠી વાણીથી સફળતા મળે")</f>
        <v>મીઠી વાણીથી સફળતા મળે</v>
      </c>
      <c r="AL167" s="5" t="str">
        <f ca="1">IFERROR(__xludf.DUMMYFUNCTION("IF(Z167 = """", """", GOOGLETRANSLATE(Z167, ""en"", ""gu""))"),"ગુસ્સા પર નિયંત્રણ રાખો")</f>
        <v>ગુસ્સા પર નિયંત્રણ રાખો</v>
      </c>
      <c r="AM167" s="5" t="str">
        <f ca="1">IFERROR(__xludf.DUMMYFUNCTION("IF(AA167 = """", """", GOOGLETRANSLATE(AA167, ""en"", ""gu""))"),"શાંત વાતોથી લાંબાગાળાનો ફાયદો")</f>
        <v>શાંત વાતોથી લાંબાગાળાનો ફાયદો</v>
      </c>
      <c r="AN167" s="5" t="str">
        <f ca="1">IFERROR(__xludf.DUMMYFUNCTION("IF(AB167 = """", """", GOOGLETRANSLATE(AB167, ""en"", ""gu""))"),"")</f>
        <v/>
      </c>
      <c r="AO167" s="5" t="str">
        <f ca="1">IFERROR(__xludf.DUMMYFUNCTION("IF(Y167 = """", """", GOOGLETRANSLATE(Y167, ""en"", ""bn""))"),"মিষ্টি কথাবার্তা সাফল্য এনে দেয়")</f>
        <v>মিষ্টি কথাবার্তা সাফল্য এনে দেয়</v>
      </c>
      <c r="AP167" s="5" t="str">
        <f ca="1">IFERROR(__xludf.DUMMYFUNCTION("IF(Z167 = """", """", GOOGLETRANSLATE(Z167, ""en"", ""bn""))"),"রাগ নিয়ন্ত্রণ করুন")</f>
        <v>রাগ নিয়ন্ত্রণ করুন</v>
      </c>
      <c r="AQ167" s="5" t="str">
        <f ca="1">IFERROR(__xludf.DUMMYFUNCTION("IF(AA167 = """", """", GOOGLETRANSLATE(AA167, ""en"", ""bn""))"),"শান্ত কথাবার্তায় দীর্ঘমেয়াদী লাভ")</f>
        <v>শান্ত কথাবার্তায় দীর্ঘমেয়াদী লাভ</v>
      </c>
      <c r="AR167" s="5" t="str">
        <f ca="1">IFERROR(__xludf.DUMMYFUNCTION("IF(AB167 = """", """", GOOGLETRANSLATE(AB167, ""en"", ""bn""))"),"")</f>
        <v/>
      </c>
      <c r="AU167" s="5" t="str">
        <f ca="1">IFERROR(__xludf.DUMMYFUNCTION("IF(Y167 = """", """", GOOGLETRANSLATE(Y167, ""en"", ""te""))"),"మధురమైన మాటలు విజయాన్ని అందిస్తాయి")</f>
        <v>మధురమైన మాటలు విజయాన్ని అందిస్తాయి</v>
      </c>
      <c r="AV167" s="5" t="str">
        <f ca="1">IFERROR(__xludf.DUMMYFUNCTION("IF(Z167 = """", """", GOOGLETRANSLATE(Z167, ""en"", ""te""))"),"కోపాన్ని అదుపులో పెట్టుకోండి")</f>
        <v>కోపాన్ని అదుపులో పెట్టుకోండి</v>
      </c>
      <c r="AW167" s="5" t="str">
        <f ca="1">IFERROR(__xludf.DUMMYFUNCTION("IF(AA167 = """", """", GOOGLETRANSLATE(AA167, ""en"", ""te""))"),"ప్రశాంతంగా మాట్లాడటం వల్ల దీర్ఘకాలిక ప్రయోజనం")</f>
        <v>ప్రశాంతంగా మాట్లాడటం వల్ల దీర్ఘకాలిక ప్రయోజనం</v>
      </c>
      <c r="AX167" s="5" t="str">
        <f ca="1">IFERROR(__xludf.DUMMYFUNCTION("IF(AB167 = """", """", GOOGLETRANSLATE(AB167, ""en"", ""te""))"),"")</f>
        <v/>
      </c>
    </row>
    <row r="168" spans="1:50" x14ac:dyDescent="0.25">
      <c r="A168" s="1">
        <v>182</v>
      </c>
      <c r="B168" s="1" t="s">
        <v>56</v>
      </c>
      <c r="C168" s="8">
        <v>45837</v>
      </c>
      <c r="D168" s="8">
        <v>45837</v>
      </c>
      <c r="E168" s="1">
        <v>0</v>
      </c>
      <c r="F168" s="1">
        <v>1</v>
      </c>
      <c r="G168" s="3" t="s">
        <v>548</v>
      </c>
      <c r="H168" s="4">
        <v>1.2581018518518519E-2</v>
      </c>
      <c r="I168" s="4">
        <v>0</v>
      </c>
      <c r="J168" s="4">
        <v>8.1018518518518516E-4</v>
      </c>
      <c r="K168" s="1" t="s">
        <v>58</v>
      </c>
      <c r="L168" s="1" t="s">
        <v>59</v>
      </c>
      <c r="O168" s="1" t="s">
        <v>61</v>
      </c>
      <c r="P168" s="1" t="s">
        <v>61</v>
      </c>
      <c r="Q168" s="1" t="s">
        <v>61</v>
      </c>
      <c r="R168" s="1" t="s">
        <v>61</v>
      </c>
      <c r="S168" s="1" t="s">
        <v>61</v>
      </c>
      <c r="T168" s="1" t="s">
        <v>61</v>
      </c>
      <c r="V168" s="1" t="s">
        <v>61</v>
      </c>
      <c r="W168" s="1" t="s">
        <v>61</v>
      </c>
      <c r="X168" s="1" t="s">
        <v>61</v>
      </c>
      <c r="AB168" s="1"/>
      <c r="AC168" s="5" t="str">
        <f ca="1">IFERROR(__xludf.DUMMYFUNCTION("IF(Y168 = """", """", GOOGLETRANSLATE(Y168, ""en"", ""hi""))
"),"")</f>
        <v/>
      </c>
      <c r="AD168" s="5" t="str">
        <f ca="1">IFERROR(__xludf.DUMMYFUNCTION("IF(Z168 = """", """", GOOGLETRANSLATE(Z168, ""en"", ""hi""))"),"")</f>
        <v/>
      </c>
      <c r="AE168" s="5" t="str">
        <f ca="1">IFERROR(__xludf.DUMMYFUNCTION("IF(AA168 = """", """", GOOGLETRANSLATE(AA168, ""en"", ""hi""))"),"")</f>
        <v/>
      </c>
      <c r="AF168" s="5" t="str">
        <f ca="1">IFERROR(__xludf.DUMMYFUNCTION("IF(AB168 = """", """", GOOGLETRANSLATE(AB168, ""en"", ""hi""))"),"")</f>
        <v/>
      </c>
      <c r="AG168" s="5" t="str">
        <f ca="1">IFERROR(__xludf.DUMMYFUNCTION("IF(Y168 = """", """", GOOGLETRANSLATE(Y168, ""en"", ""mr""))"),"")</f>
        <v/>
      </c>
      <c r="AH168" s="5" t="str">
        <f ca="1">IFERROR(__xludf.DUMMYFUNCTION("IF(Z168 = """", """", GOOGLETRANSLATE(Z168, ""en"", ""mr""))"),"")</f>
        <v/>
      </c>
      <c r="AI168" s="5" t="str">
        <f ca="1">IFERROR(__xludf.DUMMYFUNCTION("IF(AA168 = """", """", GOOGLETRANSLATE(AA168, ""en"", ""mr""))"),"")</f>
        <v/>
      </c>
      <c r="AJ168" s="5" t="str">
        <f ca="1">IFERROR(__xludf.DUMMYFUNCTION("IF(AB168 = """", """", GOOGLETRANSLATE(AB168, ""en"", ""mr""))"),"")</f>
        <v/>
      </c>
      <c r="AK168" s="5" t="str">
        <f ca="1">IFERROR(__xludf.DUMMYFUNCTION("IF(Y168 = """", """", GOOGLETRANSLATE(Y168, ""en"", ""gu""))"),"")</f>
        <v/>
      </c>
      <c r="AL168" s="5" t="str">
        <f ca="1">IFERROR(__xludf.DUMMYFUNCTION("IF(Z168 = """", """", GOOGLETRANSLATE(Z168, ""en"", ""gu""))"),"")</f>
        <v/>
      </c>
      <c r="AM168" s="5" t="str">
        <f ca="1">IFERROR(__xludf.DUMMYFUNCTION("IF(AA168 = """", """", GOOGLETRANSLATE(AA168, ""en"", ""gu""))"),"")</f>
        <v/>
      </c>
      <c r="AN168" s="5" t="str">
        <f ca="1">IFERROR(__xludf.DUMMYFUNCTION("IF(AB168 = """", """", GOOGLETRANSLATE(AB168, ""en"", ""gu""))"),"")</f>
        <v/>
      </c>
      <c r="AO168" s="5" t="str">
        <f ca="1">IFERROR(__xludf.DUMMYFUNCTION("IF(Y168 = """", """", GOOGLETRANSLATE(Y168, ""en"", ""bn""))"),"")</f>
        <v/>
      </c>
      <c r="AP168" s="5" t="str">
        <f ca="1">IFERROR(__xludf.DUMMYFUNCTION("IF(Z168 = """", """", GOOGLETRANSLATE(Z168, ""en"", ""bn""))"),"")</f>
        <v/>
      </c>
      <c r="AQ168" s="5" t="str">
        <f ca="1">IFERROR(__xludf.DUMMYFUNCTION("IF(AA168 = """", """", GOOGLETRANSLATE(AA168, ""en"", ""bn""))"),"")</f>
        <v/>
      </c>
      <c r="AR168" s="5" t="str">
        <f ca="1">IFERROR(__xludf.DUMMYFUNCTION("IF(AB168 = """", """", GOOGLETRANSLATE(AB168, ""en"", ""bn""))"),"")</f>
        <v/>
      </c>
      <c r="AU168" s="5" t="str">
        <f ca="1">IFERROR(__xludf.DUMMYFUNCTION("IF(Y168 = """", """", GOOGLETRANSLATE(Y168, ""en"", ""te""))"),"")</f>
        <v/>
      </c>
      <c r="AV168" s="5" t="str">
        <f ca="1">IFERROR(__xludf.DUMMYFUNCTION("IF(Z168 = """", """", GOOGLETRANSLATE(Z168, ""en"", ""te""))"),"")</f>
        <v/>
      </c>
      <c r="AW168" s="5" t="str">
        <f ca="1">IFERROR(__xludf.DUMMYFUNCTION("IF(AA168 = """", """", GOOGLETRANSLATE(AA168, ""en"", ""te""))"),"")</f>
        <v/>
      </c>
      <c r="AX168" s="5" t="str">
        <f ca="1">IFERROR(__xludf.DUMMYFUNCTION("IF(AB168 = """", """", GOOGLETRANSLATE(AB168, ""en"", ""te""))"),"")</f>
        <v/>
      </c>
    </row>
    <row r="169" spans="1:50" x14ac:dyDescent="0.25">
      <c r="A169" s="1">
        <v>183</v>
      </c>
      <c r="B169" s="1" t="s">
        <v>56</v>
      </c>
      <c r="C169" s="8">
        <v>45837</v>
      </c>
      <c r="D169" s="8">
        <v>45837</v>
      </c>
      <c r="E169" s="1">
        <v>1</v>
      </c>
      <c r="F169" s="1">
        <v>1</v>
      </c>
      <c r="G169" s="3" t="s">
        <v>548</v>
      </c>
      <c r="H169" s="4">
        <v>1.2581018518518519E-2</v>
      </c>
      <c r="I169" s="4">
        <v>8.1018518518518516E-4</v>
      </c>
      <c r="J169" s="4">
        <v>1.9675925925925924E-3</v>
      </c>
      <c r="K169" s="1" t="s">
        <v>58</v>
      </c>
      <c r="L169" s="1" t="s">
        <v>142</v>
      </c>
      <c r="M169" s="1" t="s">
        <v>14</v>
      </c>
      <c r="O169" s="1" t="s">
        <v>61</v>
      </c>
      <c r="P169" s="1" t="s">
        <v>61</v>
      </c>
      <c r="Q169" s="1" t="s">
        <v>61</v>
      </c>
      <c r="R169" s="1" t="s">
        <v>61</v>
      </c>
      <c r="S169" s="1" t="s">
        <v>61</v>
      </c>
      <c r="T169" s="1" t="s">
        <v>61</v>
      </c>
      <c r="V169" s="1" t="s">
        <v>61</v>
      </c>
      <c r="W169" s="1" t="s">
        <v>61</v>
      </c>
      <c r="X169" s="1" t="s">
        <v>61</v>
      </c>
      <c r="Y169" s="1" t="s">
        <v>549</v>
      </c>
      <c r="AB169" s="1"/>
      <c r="AC169" s="5" t="str">
        <f ca="1">IFERROR(__xludf.DUMMYFUNCTION("IF(Y169 = """", """", GOOGLETRANSLATE(Y169, ""en"", ""hi""))
"),"तनाव की अवधि समाप्त, लंबित कार्यों को पूरा करना, परिवार के साथ गुणवत्तापूर्ण समय बिताना, छोटे-मोटे खर्च")</f>
        <v>तनाव की अवधि समाप्त, लंबित कार्यों को पूरा करना, परिवार के साथ गुणवत्तापूर्ण समय बिताना, छोटे-मोटे खर्च</v>
      </c>
      <c r="AD169" s="5" t="str">
        <f ca="1">IFERROR(__xludf.DUMMYFUNCTION("IF(Z169 = """", """", GOOGLETRANSLATE(Z169, ""en"", ""hi""))"),"")</f>
        <v/>
      </c>
      <c r="AE169" s="5" t="str">
        <f ca="1">IFERROR(__xludf.DUMMYFUNCTION("IF(AA169 = """", """", GOOGLETRANSLATE(AA169, ""en"", ""hi""))"),"")</f>
        <v/>
      </c>
      <c r="AF169" s="5" t="str">
        <f ca="1">IFERROR(__xludf.DUMMYFUNCTION("IF(AB169 = """", """", GOOGLETRANSLATE(AB169, ""en"", ""hi""))"),"")</f>
        <v/>
      </c>
      <c r="AG169" s="5" t="str">
        <f ca="1">IFERROR(__xludf.DUMMYFUNCTION("IF(Y169 = """", """", GOOGLETRANSLATE(Y169, ""en"", ""mr""))"),"तणावाचा कालावधी संपणे, प्रलंबित कामे पूर्ण करणे, दर्जेदार कौटुंबिक वेळ, किरकोळ खर्च")</f>
        <v>तणावाचा कालावधी संपणे, प्रलंबित कामे पूर्ण करणे, दर्जेदार कौटुंबिक वेळ, किरकोळ खर्च</v>
      </c>
      <c r="AH169" s="5" t="str">
        <f ca="1">IFERROR(__xludf.DUMMYFUNCTION("IF(Z169 = """", """", GOOGLETRANSLATE(Z169, ""en"", ""mr""))"),"")</f>
        <v/>
      </c>
      <c r="AI169" s="5" t="str">
        <f ca="1">IFERROR(__xludf.DUMMYFUNCTION("IF(AA169 = """", """", GOOGLETRANSLATE(AA169, ""en"", ""mr""))"),"")</f>
        <v/>
      </c>
      <c r="AJ169" s="5" t="str">
        <f ca="1">IFERROR(__xludf.DUMMYFUNCTION("IF(AB169 = """", """", GOOGLETRANSLATE(AB169, ""en"", ""mr""))"),"")</f>
        <v/>
      </c>
      <c r="AK169" s="5" t="str">
        <f ca="1">IFERROR(__xludf.DUMMYFUNCTION("IF(Y169 = """", """", GOOGLETRANSLATE(Y169, ""en"", ""gu""))"),"તણાવનો સમયગાળો સમાપ્ત, બાકી રહેલા કાર્યો પૂર્ણ, ગુણવત્તાયુક્ત કુટુંબ સમય, નજીવો ખર્ચ")</f>
        <v>તણાવનો સમયગાળો સમાપ્ત, બાકી રહેલા કાર્યો પૂર્ણ, ગુણવત્તાયુક્ત કુટુંબ સમય, નજીવો ખર્ચ</v>
      </c>
      <c r="AL169" s="5" t="str">
        <f ca="1">IFERROR(__xludf.DUMMYFUNCTION("IF(Z169 = """", """", GOOGLETRANSLATE(Z169, ""en"", ""gu""))"),"")</f>
        <v/>
      </c>
      <c r="AM169" s="5" t="str">
        <f ca="1">IFERROR(__xludf.DUMMYFUNCTION("IF(AA169 = """", """", GOOGLETRANSLATE(AA169, ""en"", ""gu""))"),"")</f>
        <v/>
      </c>
      <c r="AN169" s="5" t="str">
        <f ca="1">IFERROR(__xludf.DUMMYFUNCTION("IF(AB169 = """", """", GOOGLETRANSLATE(AB169, ""en"", ""gu""))"),"")</f>
        <v/>
      </c>
      <c r="AO169" s="5" t="str">
        <f ca="1">IFERROR(__xludf.DUMMYFUNCTION("IF(Y169 = """", """", GOOGLETRANSLATE(Y169, ""en"", ""bn""))"),"স্ট্রেস পিরিয়ডের সমাপ্তি, মুলতুবি থাকা কাজগুলি সম্পূর্ণ, মানসম্পন্ন পারিবারিক সময়, সামান্য খরচ")</f>
        <v>স্ট্রেস পিরিয়ডের সমাপ্তি, মুলতুবি থাকা কাজগুলি সম্পূর্ণ, মানসম্পন্ন পারিবারিক সময়, সামান্য খরচ</v>
      </c>
      <c r="AP169" s="5" t="str">
        <f ca="1">IFERROR(__xludf.DUMMYFUNCTION("IF(Z169 = """", """", GOOGLETRANSLATE(Z169, ""en"", ""bn""))"),"")</f>
        <v/>
      </c>
      <c r="AQ169" s="5" t="str">
        <f ca="1">IFERROR(__xludf.DUMMYFUNCTION("IF(AA169 = """", """", GOOGLETRANSLATE(AA169, ""en"", ""bn""))"),"")</f>
        <v/>
      </c>
      <c r="AR169" s="5" t="str">
        <f ca="1">IFERROR(__xludf.DUMMYFUNCTION("IF(AB169 = """", """", GOOGLETRANSLATE(AB169, ""en"", ""bn""))"),"")</f>
        <v/>
      </c>
      <c r="AU169" s="5" t="str">
        <f ca="1">IFERROR(__xludf.DUMMYFUNCTION("IF(Y169 = """", """", GOOGLETRANSLATE(Y169, ""en"", ""te""))"),"ఒత్తిడి కాలం ముగియడం, పెండింగ్ పనులు పూర్తి చేయడం, నాణ్యమైన కుటుంబ సమయం, చిన్న ఖర్చులు")</f>
        <v>ఒత్తిడి కాలం ముగియడం, పెండింగ్ పనులు పూర్తి చేయడం, నాణ్యమైన కుటుంబ సమయం, చిన్న ఖర్చులు</v>
      </c>
      <c r="AV169" s="5" t="str">
        <f ca="1">IFERROR(__xludf.DUMMYFUNCTION("IF(Z169 = """", """", GOOGLETRANSLATE(Z169, ""en"", ""te""))"),"")</f>
        <v/>
      </c>
      <c r="AW169" s="5" t="str">
        <f ca="1">IFERROR(__xludf.DUMMYFUNCTION("IF(AA169 = """", """", GOOGLETRANSLATE(AA169, ""en"", ""te""))"),"")</f>
        <v/>
      </c>
      <c r="AX169" s="5" t="str">
        <f ca="1">IFERROR(__xludf.DUMMYFUNCTION("IF(AB169 = """", """", GOOGLETRANSLATE(AB169, ""en"", ""te""))"),"")</f>
        <v/>
      </c>
    </row>
    <row r="170" spans="1:50" x14ac:dyDescent="0.25">
      <c r="A170" s="1">
        <v>184</v>
      </c>
      <c r="B170" s="1" t="s">
        <v>56</v>
      </c>
      <c r="C170" s="8">
        <v>45837</v>
      </c>
      <c r="D170" s="8">
        <v>45837</v>
      </c>
      <c r="E170" s="1">
        <v>2</v>
      </c>
      <c r="F170" s="1">
        <v>1</v>
      </c>
      <c r="G170" s="3" t="s">
        <v>548</v>
      </c>
      <c r="H170" s="4">
        <v>1.2581018518518519E-2</v>
      </c>
      <c r="I170" s="4">
        <v>1.9675925925925924E-3</v>
      </c>
      <c r="J170" s="4">
        <v>2.5231481481481481E-3</v>
      </c>
      <c r="K170" s="1" t="s">
        <v>58</v>
      </c>
      <c r="L170" s="1" t="s">
        <v>90</v>
      </c>
      <c r="M170" s="1" t="s">
        <v>19</v>
      </c>
      <c r="O170" s="1" t="s">
        <v>61</v>
      </c>
      <c r="P170" s="1" t="s">
        <v>61</v>
      </c>
      <c r="Q170" s="1" t="s">
        <v>61</v>
      </c>
      <c r="R170" s="1" t="s">
        <v>61</v>
      </c>
      <c r="S170" s="1" t="s">
        <v>61</v>
      </c>
      <c r="T170" s="1" t="s">
        <v>61</v>
      </c>
      <c r="V170" s="1" t="s">
        <v>61</v>
      </c>
      <c r="W170" s="1" t="s">
        <v>61</v>
      </c>
      <c r="X170" s="1" t="s">
        <v>61</v>
      </c>
      <c r="Y170" s="1" t="s">
        <v>550</v>
      </c>
      <c r="AB170" s="1"/>
      <c r="AC170" s="5" t="str">
        <f ca="1">IFERROR(__xludf.DUMMYFUNCTION("IF(Y170 = """", """", GOOGLETRANSLATE(Y170, ""en"", ""hi""))
"),"बहस से बचें, अकेलापन संभव है, भावनात्मक अस्थिरता हो सकती है")</f>
        <v>बहस से बचें, अकेलापन संभव है, भावनात्मक अस्थिरता हो सकती है</v>
      </c>
      <c r="AD170" s="5" t="str">
        <f ca="1">IFERROR(__xludf.DUMMYFUNCTION("IF(Z170 = """", """", GOOGLETRANSLATE(Z170, ""en"", ""hi""))"),"")</f>
        <v/>
      </c>
      <c r="AE170" s="5" t="str">
        <f ca="1">IFERROR(__xludf.DUMMYFUNCTION("IF(AA170 = """", """", GOOGLETRANSLATE(AA170, ""en"", ""hi""))"),"")</f>
        <v/>
      </c>
      <c r="AF170" s="5" t="str">
        <f ca="1">IFERROR(__xludf.DUMMYFUNCTION("IF(AB170 = """", """", GOOGLETRANSLATE(AB170, ""en"", ""hi""))"),"")</f>
        <v/>
      </c>
      <c r="AG170" s="5" t="str">
        <f ca="1">IFERROR(__xludf.DUMMYFUNCTION("IF(Y170 = """", """", GOOGLETRANSLATE(Y170, ""en"", ""mr""))"),"वाद टाळा, एकटेपणा शक्य, भावनिक अस्थिरता")</f>
        <v>वाद टाळा, एकटेपणा शक्य, भावनिक अस्थिरता</v>
      </c>
      <c r="AH170" s="5" t="str">
        <f ca="1">IFERROR(__xludf.DUMMYFUNCTION("IF(Z170 = """", """", GOOGLETRANSLATE(Z170, ""en"", ""mr""))"),"")</f>
        <v/>
      </c>
      <c r="AI170" s="5" t="str">
        <f ca="1">IFERROR(__xludf.DUMMYFUNCTION("IF(AA170 = """", """", GOOGLETRANSLATE(AA170, ""en"", ""mr""))"),"")</f>
        <v/>
      </c>
      <c r="AJ170" s="5" t="str">
        <f ca="1">IFERROR(__xludf.DUMMYFUNCTION("IF(AB170 = """", """", GOOGLETRANSLATE(AB170, ""en"", ""mr""))"),"")</f>
        <v/>
      </c>
      <c r="AK170" s="5" t="str">
        <f ca="1">IFERROR(__xludf.DUMMYFUNCTION("IF(Y170 = """", """", GOOGLETRANSLATE(Y170, ""en"", ""gu""))"),"દલીલો ટાળો, એકલતા શક્ય છે, ભાવનાત્મક અસ્થિરતા")</f>
        <v>દલીલો ટાળો, એકલતા શક્ય છે, ભાવનાત્મક અસ્થિરતા</v>
      </c>
      <c r="AL170" s="5" t="str">
        <f ca="1">IFERROR(__xludf.DUMMYFUNCTION("IF(Z170 = """", """", GOOGLETRANSLATE(Z170, ""en"", ""gu""))"),"")</f>
        <v/>
      </c>
      <c r="AM170" s="5" t="str">
        <f ca="1">IFERROR(__xludf.DUMMYFUNCTION("IF(AA170 = """", """", GOOGLETRANSLATE(AA170, ""en"", ""gu""))"),"")</f>
        <v/>
      </c>
      <c r="AN170" s="5" t="str">
        <f ca="1">IFERROR(__xludf.DUMMYFUNCTION("IF(AB170 = """", """", GOOGLETRANSLATE(AB170, ""en"", ""gu""))"),"")</f>
        <v/>
      </c>
      <c r="AO170" s="5" t="str">
        <f ca="1">IFERROR(__xludf.DUMMYFUNCTION("IF(Y170 = """", """", GOOGLETRANSLATE(Y170, ""en"", ""bn""))"),"তর্ক এড়িয়ে চলুন, একাকীত্ব সম্ভব, মানসিক অস্থিরতা")</f>
        <v>তর্ক এড়িয়ে চলুন, একাকীত্ব সম্ভব, মানসিক অস্থিরতা</v>
      </c>
      <c r="AP170" s="5" t="str">
        <f ca="1">IFERROR(__xludf.DUMMYFUNCTION("IF(Z170 = """", """", GOOGLETRANSLATE(Z170, ""en"", ""bn""))"),"")</f>
        <v/>
      </c>
      <c r="AQ170" s="5" t="str">
        <f ca="1">IFERROR(__xludf.DUMMYFUNCTION("IF(AA170 = """", """", GOOGLETRANSLATE(AA170, ""en"", ""bn""))"),"")</f>
        <v/>
      </c>
      <c r="AR170" s="5" t="str">
        <f ca="1">IFERROR(__xludf.DUMMYFUNCTION("IF(AB170 = """", """", GOOGLETRANSLATE(AB170, ""en"", ""bn""))"),"")</f>
        <v/>
      </c>
      <c r="AU170" s="5" t="str">
        <f ca="1">IFERROR(__xludf.DUMMYFUNCTION("IF(Y170 = """", """", GOOGLETRANSLATE(Y170, ""en"", ""te""))"),"వాదనలు, ఒంటరితనం సాధ్యమే, భావోద్వేగ అస్థిరతను నివారించండి")</f>
        <v>వాదనలు, ఒంటరితనం సాధ్యమే, భావోద్వేగ అస్థిరతను నివారించండి</v>
      </c>
      <c r="AV170" s="5" t="str">
        <f ca="1">IFERROR(__xludf.DUMMYFUNCTION("IF(Z170 = """", """", GOOGLETRANSLATE(Z170, ""en"", ""te""))"),"")</f>
        <v/>
      </c>
      <c r="AW170" s="5" t="str">
        <f ca="1">IFERROR(__xludf.DUMMYFUNCTION("IF(AA170 = """", """", GOOGLETRANSLATE(AA170, ""en"", ""te""))"),"")</f>
        <v/>
      </c>
      <c r="AX170" s="5" t="str">
        <f ca="1">IFERROR(__xludf.DUMMYFUNCTION("IF(AB170 = """", """", GOOGLETRANSLATE(AB170, ""en"", ""te""))"),"")</f>
        <v/>
      </c>
    </row>
    <row r="171" spans="1:50" x14ac:dyDescent="0.25">
      <c r="A171" s="1">
        <v>185</v>
      </c>
      <c r="B171" s="1" t="s">
        <v>56</v>
      </c>
      <c r="C171" s="8">
        <v>45837</v>
      </c>
      <c r="D171" s="8">
        <v>45837</v>
      </c>
      <c r="E171" s="1">
        <v>3</v>
      </c>
      <c r="F171" s="1">
        <v>1</v>
      </c>
      <c r="G171" s="3" t="s">
        <v>548</v>
      </c>
      <c r="H171" s="4">
        <v>1.2581018518518519E-2</v>
      </c>
      <c r="I171" s="4">
        <v>2.5231481481481481E-3</v>
      </c>
      <c r="J171" s="4">
        <v>2.9629629629629628E-3</v>
      </c>
      <c r="K171" s="1" t="s">
        <v>58</v>
      </c>
      <c r="L171" s="1" t="s">
        <v>97</v>
      </c>
      <c r="M171" s="1" t="s">
        <v>14</v>
      </c>
      <c r="O171" s="1" t="s">
        <v>61</v>
      </c>
      <c r="P171" s="1" t="s">
        <v>61</v>
      </c>
      <c r="Q171" s="1" t="s">
        <v>61</v>
      </c>
      <c r="R171" s="1" t="s">
        <v>61</v>
      </c>
      <c r="S171" s="1" t="s">
        <v>61</v>
      </c>
      <c r="T171" s="1" t="s">
        <v>61</v>
      </c>
      <c r="V171" s="1" t="s">
        <v>61</v>
      </c>
      <c r="W171" s="1" t="s">
        <v>61</v>
      </c>
      <c r="X171" s="1" t="s">
        <v>61</v>
      </c>
      <c r="Y171" s="1" t="s">
        <v>551</v>
      </c>
      <c r="AB171" s="1"/>
      <c r="AC171" s="5" t="str">
        <f ca="1">IFERROR(__xludf.DUMMYFUNCTION("IF(Y171 = """", """", GOOGLETRANSLATE(Y171, ""en"", ""hi""))
"),"मनोरंजक सैर-सपाटे, सामूहिक कार्यक्रम, बुजुर्गों के स्वास्थ्य पर नज़र")</f>
        <v>मनोरंजक सैर-सपाटे, सामूहिक कार्यक्रम, बुजुर्गों के स्वास्थ्य पर नज़र</v>
      </c>
      <c r="AD171" s="5" t="str">
        <f ca="1">IFERROR(__xludf.DUMMYFUNCTION("IF(Z171 = """", """", GOOGLETRANSLATE(Z171, ""en"", ""hi""))"),"")</f>
        <v/>
      </c>
      <c r="AE171" s="5" t="str">
        <f ca="1">IFERROR(__xludf.DUMMYFUNCTION("IF(AA171 = """", """", GOOGLETRANSLATE(AA171, ""en"", ""hi""))"),"")</f>
        <v/>
      </c>
      <c r="AF171" s="5" t="str">
        <f ca="1">IFERROR(__xludf.DUMMYFUNCTION("IF(AB171 = """", """", GOOGLETRANSLATE(AB171, ""en"", ""hi""))"),"")</f>
        <v/>
      </c>
      <c r="AG171" s="5" t="str">
        <f ca="1">IFERROR(__xludf.DUMMYFUNCTION("IF(Y171 = """", """", GOOGLETRANSLATE(Y171, ""en"", ""mr""))"),"मजेशीर सहली, सामूहिक कार्यक्रम, वृद्धांच्या तब्येतीची काळजी घ्या")</f>
        <v>मजेशीर सहली, सामूहिक कार्यक्रम, वृद्धांच्या तब्येतीची काळजी घ्या</v>
      </c>
      <c r="AH171" s="5" t="str">
        <f ca="1">IFERROR(__xludf.DUMMYFUNCTION("IF(Z171 = """", """", GOOGLETRANSLATE(Z171, ""en"", ""mr""))"),"")</f>
        <v/>
      </c>
      <c r="AI171" s="5" t="str">
        <f ca="1">IFERROR(__xludf.DUMMYFUNCTION("IF(AA171 = """", """", GOOGLETRANSLATE(AA171, ""en"", ""mr""))"),"")</f>
        <v/>
      </c>
      <c r="AJ171" s="5" t="str">
        <f ca="1">IFERROR(__xludf.DUMMYFUNCTION("IF(AB171 = """", """", GOOGLETRANSLATE(AB171, ""en"", ""mr""))"),"")</f>
        <v/>
      </c>
      <c r="AK171" s="5" t="str">
        <f ca="1">IFERROR(__xludf.DUMMYFUNCTION("IF(Y171 = """", """", GOOGLETRANSLATE(Y171, ""en"", ""gu""))"),"મનોરંજક સહેલગાહ, જૂથ કાર્યક્રમો, વડીલના સ્વાસ્થ્ય માટે જુઓ")</f>
        <v>મનોરંજક સહેલગાહ, જૂથ કાર્યક્રમો, વડીલના સ્વાસ્થ્ય માટે જુઓ</v>
      </c>
      <c r="AL171" s="5" t="str">
        <f ca="1">IFERROR(__xludf.DUMMYFUNCTION("IF(Z171 = """", """", GOOGLETRANSLATE(Z171, ""en"", ""gu""))"),"")</f>
        <v/>
      </c>
      <c r="AM171" s="5" t="str">
        <f ca="1">IFERROR(__xludf.DUMMYFUNCTION("IF(AA171 = """", """", GOOGLETRANSLATE(AA171, ""en"", ""gu""))"),"")</f>
        <v/>
      </c>
      <c r="AN171" s="5" t="str">
        <f ca="1">IFERROR(__xludf.DUMMYFUNCTION("IF(AB171 = """", """", GOOGLETRANSLATE(AB171, ""en"", ""gu""))"),"")</f>
        <v/>
      </c>
      <c r="AO171" s="5" t="str">
        <f ca="1">IFERROR(__xludf.DUMMYFUNCTION("IF(Y171 = """", """", GOOGLETRANSLATE(Y171, ""en"", ""bn""))"),"মজার আউটিং, গ্রুপ ইভেন্ট, বড়দের স্বাস্থ্যের জন্য দেখুন")</f>
        <v>মজার আউটিং, গ্রুপ ইভেন্ট, বড়দের স্বাস্থ্যের জন্য দেখুন</v>
      </c>
      <c r="AP171" s="5" t="str">
        <f ca="1">IFERROR(__xludf.DUMMYFUNCTION("IF(Z171 = """", """", GOOGLETRANSLATE(Z171, ""en"", ""bn""))"),"")</f>
        <v/>
      </c>
      <c r="AQ171" s="5" t="str">
        <f ca="1">IFERROR(__xludf.DUMMYFUNCTION("IF(AA171 = """", """", GOOGLETRANSLATE(AA171, ""en"", ""bn""))"),"")</f>
        <v/>
      </c>
      <c r="AR171" s="5" t="str">
        <f ca="1">IFERROR(__xludf.DUMMYFUNCTION("IF(AB171 = """", """", GOOGLETRANSLATE(AB171, ""en"", ""bn""))"),"")</f>
        <v/>
      </c>
      <c r="AU171" s="5" t="str">
        <f ca="1">IFERROR(__xludf.DUMMYFUNCTION("IF(Y171 = """", """", GOOGLETRANSLATE(Y171, ""en"", ""te""))"),"సరదా విహారయాత్రలు, సమూహ ఈవెంట్‌లు, పెద్దల ఆరోగ్యం కోసం చూడండి")</f>
        <v>సరదా విహారయాత్రలు, సమూహ ఈవెంట్‌లు, పెద్దల ఆరోగ్యం కోసం చూడండి</v>
      </c>
      <c r="AV171" s="5" t="str">
        <f ca="1">IFERROR(__xludf.DUMMYFUNCTION("IF(Z171 = """", """", GOOGLETRANSLATE(Z171, ""en"", ""te""))"),"")</f>
        <v/>
      </c>
      <c r="AW171" s="5" t="str">
        <f ca="1">IFERROR(__xludf.DUMMYFUNCTION("IF(AA171 = """", """", GOOGLETRANSLATE(AA171, ""en"", ""te""))"),"")</f>
        <v/>
      </c>
      <c r="AX171" s="5" t="str">
        <f ca="1">IFERROR(__xludf.DUMMYFUNCTION("IF(AB171 = """", """", GOOGLETRANSLATE(AB171, ""en"", ""te""))"),"")</f>
        <v/>
      </c>
    </row>
    <row r="172" spans="1:50" x14ac:dyDescent="0.25">
      <c r="A172" s="1">
        <v>186</v>
      </c>
      <c r="B172" s="1" t="s">
        <v>56</v>
      </c>
      <c r="C172" s="8">
        <v>45837</v>
      </c>
      <c r="D172" s="8">
        <v>45837</v>
      </c>
      <c r="E172" s="1">
        <v>4</v>
      </c>
      <c r="F172" s="1">
        <v>1</v>
      </c>
      <c r="G172" s="3" t="s">
        <v>548</v>
      </c>
      <c r="H172" s="4">
        <v>1.2581018518518519E-2</v>
      </c>
      <c r="I172" s="4">
        <v>2.9629629629629628E-3</v>
      </c>
      <c r="J172" s="4">
        <v>3.2986111111111111E-3</v>
      </c>
      <c r="K172" s="1" t="s">
        <v>58</v>
      </c>
      <c r="L172" s="1" t="s">
        <v>102</v>
      </c>
      <c r="M172" s="1" t="s">
        <v>14</v>
      </c>
      <c r="O172" s="1" t="s">
        <v>61</v>
      </c>
      <c r="P172" s="1" t="s">
        <v>61</v>
      </c>
      <c r="Q172" s="1" t="s">
        <v>61</v>
      </c>
      <c r="R172" s="1" t="s">
        <v>61</v>
      </c>
      <c r="S172" s="1" t="s">
        <v>61</v>
      </c>
      <c r="T172" s="1" t="s">
        <v>61</v>
      </c>
      <c r="V172" s="1" t="s">
        <v>61</v>
      </c>
      <c r="W172" s="1" t="s">
        <v>61</v>
      </c>
      <c r="X172" s="1" t="s">
        <v>61</v>
      </c>
      <c r="Y172" s="1" t="s">
        <v>552</v>
      </c>
      <c r="AB172" s="1"/>
      <c r="AC172" s="5" t="str">
        <f ca="1">IFERROR(__xludf.DUMMYFUNCTION("IF(Y172 = """", """", GOOGLETRANSLATE(Y172, ""en"", ""hi""))
"),"ज़िम्मेदारियों, आंतरिक शांति और ऊर्जा में वृद्धि")</f>
        <v>ज़िम्मेदारियों, आंतरिक शांति और ऊर्जा में वृद्धि</v>
      </c>
      <c r="AD172" s="5" t="str">
        <f ca="1">IFERROR(__xludf.DUMMYFUNCTION("IF(Z172 = """", """", GOOGLETRANSLATE(Z172, ""en"", ""hi""))"),"")</f>
        <v/>
      </c>
      <c r="AE172" s="5" t="str">
        <f ca="1">IFERROR(__xludf.DUMMYFUNCTION("IF(AA172 = """", """", GOOGLETRANSLATE(AA172, ""en"", ""hi""))"),"")</f>
        <v/>
      </c>
      <c r="AF172" s="5" t="str">
        <f ca="1">IFERROR(__xludf.DUMMYFUNCTION("IF(AB172 = """", """", GOOGLETRANSLATE(AB172, ""en"", ""hi""))"),"")</f>
        <v/>
      </c>
      <c r="AG172" s="5" t="str">
        <f ca="1">IFERROR(__xludf.DUMMYFUNCTION("IF(Y172 = """", """", GOOGLETRANSLATE(Y172, ""en"", ""mr""))"),"जबाबदाऱ्यांमध्ये वाढ, आंतरिक शांती आणि ऊर्जा")</f>
        <v>जबाबदाऱ्यांमध्ये वाढ, आंतरिक शांती आणि ऊर्जा</v>
      </c>
      <c r="AH172" s="5" t="str">
        <f ca="1">IFERROR(__xludf.DUMMYFUNCTION("IF(Z172 = """", """", GOOGLETRANSLATE(Z172, ""en"", ""mr""))"),"")</f>
        <v/>
      </c>
      <c r="AI172" s="5" t="str">
        <f ca="1">IFERROR(__xludf.DUMMYFUNCTION("IF(AA172 = """", """", GOOGLETRANSLATE(AA172, ""en"", ""mr""))"),"")</f>
        <v/>
      </c>
      <c r="AJ172" s="5" t="str">
        <f ca="1">IFERROR(__xludf.DUMMYFUNCTION("IF(AB172 = """", """", GOOGLETRANSLATE(AB172, ""en"", ""mr""))"),"")</f>
        <v/>
      </c>
      <c r="AK172" s="5" t="str">
        <f ca="1">IFERROR(__xludf.DUMMYFUNCTION("IF(Y172 = """", """", GOOGLETRANSLATE(Y172, ""en"", ""gu""))"),"જવાબદારીઓમાં વધારો, આંતરિક શાંતિ અને ઊર્જા")</f>
        <v>જવાબદારીઓમાં વધારો, આંતરિક શાંતિ અને ઊર્જા</v>
      </c>
      <c r="AL172" s="5" t="str">
        <f ca="1">IFERROR(__xludf.DUMMYFUNCTION("IF(Z172 = """", """", GOOGLETRANSLATE(Z172, ""en"", ""gu""))"),"")</f>
        <v/>
      </c>
      <c r="AM172" s="5" t="str">
        <f ca="1">IFERROR(__xludf.DUMMYFUNCTION("IF(AA172 = """", """", GOOGLETRANSLATE(AA172, ""en"", ""gu""))"),"")</f>
        <v/>
      </c>
      <c r="AN172" s="5" t="str">
        <f ca="1">IFERROR(__xludf.DUMMYFUNCTION("IF(AB172 = """", """", GOOGLETRANSLATE(AB172, ""en"", ""gu""))"),"")</f>
        <v/>
      </c>
      <c r="AO172" s="5" t="str">
        <f ca="1">IFERROR(__xludf.DUMMYFUNCTION("IF(Y172 = """", """", GOOGLETRANSLATE(Y172, ""en"", ""bn""))"),"দায়িত্ব বৃদ্ধি, অভ্যন্তরীণ শান্তি এবং শক্তি")</f>
        <v>দায়িত্ব বৃদ্ধি, অভ্যন্তরীণ শান্তি এবং শক্তি</v>
      </c>
      <c r="AP172" s="5" t="str">
        <f ca="1">IFERROR(__xludf.DUMMYFUNCTION("IF(Z172 = """", """", GOOGLETRANSLATE(Z172, ""en"", ""bn""))"),"")</f>
        <v/>
      </c>
      <c r="AQ172" s="5" t="str">
        <f ca="1">IFERROR(__xludf.DUMMYFUNCTION("IF(AA172 = """", """", GOOGLETRANSLATE(AA172, ""en"", ""bn""))"),"")</f>
        <v/>
      </c>
      <c r="AR172" s="5" t="str">
        <f ca="1">IFERROR(__xludf.DUMMYFUNCTION("IF(AB172 = """", """", GOOGLETRANSLATE(AB172, ""en"", ""bn""))"),"")</f>
        <v/>
      </c>
      <c r="AU172" s="5" t="str">
        <f ca="1">IFERROR(__xludf.DUMMYFUNCTION("IF(Y172 = """", """", GOOGLETRANSLATE(Y172, ""en"", ""te""))"),"బాధ్యతలు, అంతర్గత శాంతి మరియు శక్తి పెరుగుదల")</f>
        <v>బాధ్యతలు, అంతర్గత శాంతి మరియు శక్తి పెరుగుదల</v>
      </c>
      <c r="AV172" s="5" t="str">
        <f ca="1">IFERROR(__xludf.DUMMYFUNCTION("IF(Z172 = """", """", GOOGLETRANSLATE(Z172, ""en"", ""te""))"),"")</f>
        <v/>
      </c>
      <c r="AW172" s="5" t="str">
        <f ca="1">IFERROR(__xludf.DUMMYFUNCTION("IF(AA172 = """", """", GOOGLETRANSLATE(AA172, ""en"", ""te""))"),"")</f>
        <v/>
      </c>
      <c r="AX172" s="5" t="str">
        <f ca="1">IFERROR(__xludf.DUMMYFUNCTION("IF(AB172 = """", """", GOOGLETRANSLATE(AB172, ""en"", ""te""))"),"")</f>
        <v/>
      </c>
    </row>
    <row r="173" spans="1:50" x14ac:dyDescent="0.25">
      <c r="A173" s="1">
        <v>187</v>
      </c>
      <c r="B173" s="1" t="s">
        <v>56</v>
      </c>
      <c r="C173" s="8">
        <v>45837</v>
      </c>
      <c r="D173" s="8">
        <v>45837</v>
      </c>
      <c r="E173" s="1">
        <v>5</v>
      </c>
      <c r="F173" s="1">
        <v>1</v>
      </c>
      <c r="G173" s="3" t="s">
        <v>548</v>
      </c>
      <c r="H173" s="4">
        <v>1.2581018518518519E-2</v>
      </c>
      <c r="I173" s="4">
        <v>3.2986111111111111E-3</v>
      </c>
      <c r="J173" s="4">
        <v>4.0162037037037041E-3</v>
      </c>
      <c r="K173" s="1" t="s">
        <v>58</v>
      </c>
      <c r="L173" s="1" t="s">
        <v>108</v>
      </c>
      <c r="M173" s="1" t="s">
        <v>14</v>
      </c>
      <c r="O173" s="1" t="s">
        <v>61</v>
      </c>
      <c r="P173" s="1" t="s">
        <v>61</v>
      </c>
      <c r="Q173" s="1" t="s">
        <v>61</v>
      </c>
      <c r="R173" s="1" t="s">
        <v>61</v>
      </c>
      <c r="S173" s="1" t="s">
        <v>61</v>
      </c>
      <c r="T173" s="1" t="s">
        <v>61</v>
      </c>
      <c r="V173" s="1" t="s">
        <v>61</v>
      </c>
      <c r="W173" s="1" t="s">
        <v>61</v>
      </c>
      <c r="X173" s="1" t="s">
        <v>61</v>
      </c>
      <c r="Y173" s="1" t="s">
        <v>553</v>
      </c>
      <c r="AB173" s="1"/>
      <c r="AC173" s="5" t="str">
        <f ca="1">IFERROR(__xludf.DUMMYFUNCTION("IF(Y173 = """", """", GOOGLETRANSLATE(Y173, ""en"", ""hi""))
"),"कोई आराम नहीं, कार्यों में व्यस्त, निर्णायक रूप से कार्य करने का अच्छा समय")</f>
        <v>कोई आराम नहीं, कार्यों में व्यस्त, निर्णायक रूप से कार्य करने का अच्छा समय</v>
      </c>
      <c r="AD173" s="5" t="str">
        <f ca="1">IFERROR(__xludf.DUMMYFUNCTION("IF(Z173 = """", """", GOOGLETRANSLATE(Z173, ""en"", ""hi""))"),"")</f>
        <v/>
      </c>
      <c r="AE173" s="5" t="str">
        <f ca="1">IFERROR(__xludf.DUMMYFUNCTION("IF(AA173 = """", """", GOOGLETRANSLATE(AA173, ""en"", ""hi""))"),"")</f>
        <v/>
      </c>
      <c r="AF173" s="5" t="str">
        <f ca="1">IFERROR(__xludf.DUMMYFUNCTION("IF(AB173 = """", """", GOOGLETRANSLATE(AB173, ""en"", ""hi""))"),"")</f>
        <v/>
      </c>
      <c r="AG173" s="5" t="str">
        <f ca="1">IFERROR(__xludf.DUMMYFUNCTION("IF(Y173 = """", """", GOOGLETRANSLATE(Y173, ""en"", ""mr""))"),"विश्रांती नाही, कामांमध्ये व्यस्त, निर्णायकपणे कार्य करण्यासाठी चांगला वेळ")</f>
        <v>विश्रांती नाही, कामांमध्ये व्यस्त, निर्णायकपणे कार्य करण्यासाठी चांगला वेळ</v>
      </c>
      <c r="AH173" s="5" t="str">
        <f ca="1">IFERROR(__xludf.DUMMYFUNCTION("IF(Z173 = """", """", GOOGLETRANSLATE(Z173, ""en"", ""mr""))"),"")</f>
        <v/>
      </c>
      <c r="AI173" s="5" t="str">
        <f ca="1">IFERROR(__xludf.DUMMYFUNCTION("IF(AA173 = """", """", GOOGLETRANSLATE(AA173, ""en"", ""mr""))"),"")</f>
        <v/>
      </c>
      <c r="AJ173" s="5" t="str">
        <f ca="1">IFERROR(__xludf.DUMMYFUNCTION("IF(AB173 = """", """", GOOGLETRANSLATE(AB173, ""en"", ""mr""))"),"")</f>
        <v/>
      </c>
      <c r="AK173" s="5" t="str">
        <f ca="1">IFERROR(__xludf.DUMMYFUNCTION("IF(Y173 = """", """", GOOGLETRANSLATE(Y173, ""en"", ""gu""))"),"આરામ નહીં, કાર્યોમાં વ્યસ્ત, નિર્ણાયક રીતે કાર્ય કરવા માટે સારો સમય")</f>
        <v>આરામ નહીં, કાર્યોમાં વ્યસ્ત, નિર્ણાયક રીતે કાર્ય કરવા માટે સારો સમય</v>
      </c>
      <c r="AL173" s="5" t="str">
        <f ca="1">IFERROR(__xludf.DUMMYFUNCTION("IF(Z173 = """", """", GOOGLETRANSLATE(Z173, ""en"", ""gu""))"),"")</f>
        <v/>
      </c>
      <c r="AM173" s="5" t="str">
        <f ca="1">IFERROR(__xludf.DUMMYFUNCTION("IF(AA173 = """", """", GOOGLETRANSLATE(AA173, ""en"", ""gu""))"),"")</f>
        <v/>
      </c>
      <c r="AN173" s="5" t="str">
        <f ca="1">IFERROR(__xludf.DUMMYFUNCTION("IF(AB173 = """", """", GOOGLETRANSLATE(AB173, ""en"", ""gu""))"),"")</f>
        <v/>
      </c>
      <c r="AO173" s="5" t="str">
        <f ca="1">IFERROR(__xludf.DUMMYFUNCTION("IF(Y173 = """", """", GOOGLETRANSLATE(Y173, ""en"", ""bn""))"),"বিশ্রাম নেই, কাজে ব্যস্ত, সিদ্ধান্তমূলকভাবে কাজ করার জন্য ভাল সময়")</f>
        <v>বিশ্রাম নেই, কাজে ব্যস্ত, সিদ্ধান্তমূলকভাবে কাজ করার জন্য ভাল সময়</v>
      </c>
      <c r="AP173" s="5" t="str">
        <f ca="1">IFERROR(__xludf.DUMMYFUNCTION("IF(Z173 = """", """", GOOGLETRANSLATE(Z173, ""en"", ""bn""))"),"")</f>
        <v/>
      </c>
      <c r="AQ173" s="5" t="str">
        <f ca="1">IFERROR(__xludf.DUMMYFUNCTION("IF(AA173 = """", """", GOOGLETRANSLATE(AA173, ""en"", ""bn""))"),"")</f>
        <v/>
      </c>
      <c r="AR173" s="5" t="str">
        <f ca="1">IFERROR(__xludf.DUMMYFUNCTION("IF(AB173 = """", """", GOOGLETRANSLATE(AB173, ""en"", ""bn""))"),"")</f>
        <v/>
      </c>
      <c r="AU173" s="5" t="str">
        <f ca="1">IFERROR(__xludf.DUMMYFUNCTION("IF(Y173 = """", """", GOOGLETRANSLATE(Y173, ""en"", ""te""))"),"విశ్రాంతి లేదు, పనుల్లో బిజీ, నిర్ణయాత్మకంగా వ్యవహరించడానికి మంచి సమయం")</f>
        <v>విశ్రాంతి లేదు, పనుల్లో బిజీ, నిర్ణయాత్మకంగా వ్యవహరించడానికి మంచి సమయం</v>
      </c>
      <c r="AV173" s="5" t="str">
        <f ca="1">IFERROR(__xludf.DUMMYFUNCTION("IF(Z173 = """", """", GOOGLETRANSLATE(Z173, ""en"", ""te""))"),"")</f>
        <v/>
      </c>
      <c r="AW173" s="5" t="str">
        <f ca="1">IFERROR(__xludf.DUMMYFUNCTION("IF(AA173 = """", """", GOOGLETRANSLATE(AA173, ""en"", ""te""))"),"")</f>
        <v/>
      </c>
      <c r="AX173" s="5" t="str">
        <f ca="1">IFERROR(__xludf.DUMMYFUNCTION("IF(AB173 = """", """", GOOGLETRANSLATE(AB173, ""en"", ""te""))"),"")</f>
        <v/>
      </c>
    </row>
    <row r="174" spans="1:50" x14ac:dyDescent="0.25">
      <c r="A174" s="1">
        <v>188</v>
      </c>
      <c r="B174" s="1" t="s">
        <v>56</v>
      </c>
      <c r="C174" s="8">
        <v>45837</v>
      </c>
      <c r="D174" s="8">
        <v>45837</v>
      </c>
      <c r="E174" s="1">
        <v>6</v>
      </c>
      <c r="F174" s="1">
        <v>1</v>
      </c>
      <c r="G174" s="3" t="s">
        <v>548</v>
      </c>
      <c r="H174" s="4">
        <v>1.2581018518518519E-2</v>
      </c>
      <c r="I174" s="4">
        <v>4.0162037037037041E-3</v>
      </c>
      <c r="J174" s="4">
        <v>4.5138888888888885E-3</v>
      </c>
      <c r="K174" s="1" t="s">
        <v>58</v>
      </c>
      <c r="L174" s="1" t="s">
        <v>113</v>
      </c>
      <c r="M174" s="1" t="s">
        <v>19</v>
      </c>
      <c r="O174" s="1" t="s">
        <v>61</v>
      </c>
      <c r="P174" s="1" t="s">
        <v>61</v>
      </c>
      <c r="Q174" s="1" t="s">
        <v>61</v>
      </c>
      <c r="R174" s="1" t="s">
        <v>61</v>
      </c>
      <c r="S174" s="1" t="s">
        <v>61</v>
      </c>
      <c r="T174" s="1" t="s">
        <v>61</v>
      </c>
      <c r="V174" s="1" t="s">
        <v>61</v>
      </c>
      <c r="W174" s="1" t="s">
        <v>61</v>
      </c>
      <c r="X174" s="1" t="s">
        <v>61</v>
      </c>
      <c r="Y174" s="1" t="s">
        <v>554</v>
      </c>
      <c r="AB174" s="1"/>
      <c r="AC174" s="5" t="str">
        <f ca="1">IFERROR(__xludf.DUMMYFUNCTION("IF(Y174 = """", """", GOOGLETRANSLATE(Y174, ""en"", ""hi""))
"),"प्रतिक्रिया से बचें, उत्तेजित होने पर भी चुप रहें, मानसिक तनाव")</f>
        <v>प्रतिक्रिया से बचें, उत्तेजित होने पर भी चुप रहें, मानसिक तनाव</v>
      </c>
      <c r="AD174" s="5" t="str">
        <f ca="1">IFERROR(__xludf.DUMMYFUNCTION("IF(Z174 = """", """", GOOGLETRANSLATE(Z174, ""en"", ""hi""))"),"")</f>
        <v/>
      </c>
      <c r="AE174" s="5" t="str">
        <f ca="1">IFERROR(__xludf.DUMMYFUNCTION("IF(AA174 = """", """", GOOGLETRANSLATE(AA174, ""en"", ""hi""))"),"")</f>
        <v/>
      </c>
      <c r="AF174" s="5" t="str">
        <f ca="1">IFERROR(__xludf.DUMMYFUNCTION("IF(AB174 = """", """", GOOGLETRANSLATE(AB174, ""en"", ""hi""))"),"")</f>
        <v/>
      </c>
      <c r="AG174" s="5" t="str">
        <f ca="1">IFERROR(__xludf.DUMMYFUNCTION("IF(Y174 = """", """", GOOGLETRANSLATE(Y174, ""en"", ""mr""))"),"प्रतिक्रिया टाळा, चिथावणी दिली तरी शांत राहा, मानसिक तणाव")</f>
        <v>प्रतिक्रिया टाळा, चिथावणी दिली तरी शांत राहा, मानसिक तणाव</v>
      </c>
      <c r="AH174" s="5" t="str">
        <f ca="1">IFERROR(__xludf.DUMMYFUNCTION("IF(Z174 = """", """", GOOGLETRANSLATE(Z174, ""en"", ""mr""))"),"")</f>
        <v/>
      </c>
      <c r="AI174" s="5" t="str">
        <f ca="1">IFERROR(__xludf.DUMMYFUNCTION("IF(AA174 = """", """", GOOGLETRANSLATE(AA174, ""en"", ""mr""))"),"")</f>
        <v/>
      </c>
      <c r="AJ174" s="5" t="str">
        <f ca="1">IFERROR(__xludf.DUMMYFUNCTION("IF(AB174 = """", """", GOOGLETRANSLATE(AB174, ""en"", ""mr""))"),"")</f>
        <v/>
      </c>
      <c r="AK174" s="5" t="str">
        <f ca="1">IFERROR(__xludf.DUMMYFUNCTION("IF(Y174 = """", """", GOOGLETRANSLATE(Y174, ""en"", ""gu""))"),"પ્રતિક્રિયાઓ ટાળો, ઉશ્કેરવામાં આવે તો પણ મૌન રહો, માનસિક તણાવ")</f>
        <v>પ્રતિક્રિયાઓ ટાળો, ઉશ્કેરવામાં આવે તો પણ મૌન રહો, માનસિક તણાવ</v>
      </c>
      <c r="AL174" s="5" t="str">
        <f ca="1">IFERROR(__xludf.DUMMYFUNCTION("IF(Z174 = """", """", GOOGLETRANSLATE(Z174, ""en"", ""gu""))"),"")</f>
        <v/>
      </c>
      <c r="AM174" s="5" t="str">
        <f ca="1">IFERROR(__xludf.DUMMYFUNCTION("IF(AA174 = """", """", GOOGLETRANSLATE(AA174, ""en"", ""gu""))"),"")</f>
        <v/>
      </c>
      <c r="AN174" s="5" t="str">
        <f ca="1">IFERROR(__xludf.DUMMYFUNCTION("IF(AB174 = """", """", GOOGLETRANSLATE(AB174, ""en"", ""gu""))"),"")</f>
        <v/>
      </c>
      <c r="AO174" s="5" t="str">
        <f ca="1">IFERROR(__xludf.DUMMYFUNCTION("IF(Y174 = """", """", GOOGLETRANSLATE(Y174, ""en"", ""bn""))"),"প্রতিক্রিয়া এড়িয়ে চলুন, উস্কানি দিলেও নীরব থাকুন, মানসিক উত্তেজনা")</f>
        <v>প্রতিক্রিয়া এড়িয়ে চলুন, উস্কানি দিলেও নীরব থাকুন, মানসিক উত্তেজনা</v>
      </c>
      <c r="AP174" s="5" t="str">
        <f ca="1">IFERROR(__xludf.DUMMYFUNCTION("IF(Z174 = """", """", GOOGLETRANSLATE(Z174, ""en"", ""bn""))"),"")</f>
        <v/>
      </c>
      <c r="AQ174" s="5" t="str">
        <f ca="1">IFERROR(__xludf.DUMMYFUNCTION("IF(AA174 = """", """", GOOGLETRANSLATE(AA174, ""en"", ""bn""))"),"")</f>
        <v/>
      </c>
      <c r="AR174" s="5" t="str">
        <f ca="1">IFERROR(__xludf.DUMMYFUNCTION("IF(AB174 = """", """", GOOGLETRANSLATE(AB174, ""en"", ""bn""))"),"")</f>
        <v/>
      </c>
      <c r="AU174" s="5" t="str">
        <f ca="1">IFERROR(__xludf.DUMMYFUNCTION("IF(Y174 = """", """", GOOGLETRANSLATE(Y174, ""en"", ""te""))"),"ప్రతిచర్యలకు దూరంగా ఉండండి, రెచ్చగొట్టినప్పటికీ మౌనంగా ఉండండి, మానసిక ఒత్తిడి")</f>
        <v>ప్రతిచర్యలకు దూరంగా ఉండండి, రెచ్చగొట్టినప్పటికీ మౌనంగా ఉండండి, మానసిక ఒత్తిడి</v>
      </c>
      <c r="AV174" s="5" t="str">
        <f ca="1">IFERROR(__xludf.DUMMYFUNCTION("IF(Z174 = """", """", GOOGLETRANSLATE(Z174, ""en"", ""te""))"),"")</f>
        <v/>
      </c>
      <c r="AW174" s="5" t="str">
        <f ca="1">IFERROR(__xludf.DUMMYFUNCTION("IF(AA174 = """", """", GOOGLETRANSLATE(AA174, ""en"", ""te""))"),"")</f>
        <v/>
      </c>
      <c r="AX174" s="5" t="str">
        <f ca="1">IFERROR(__xludf.DUMMYFUNCTION("IF(AB174 = """", """", GOOGLETRANSLATE(AB174, ""en"", ""te""))"),"")</f>
        <v/>
      </c>
    </row>
    <row r="175" spans="1:50" x14ac:dyDescent="0.25">
      <c r="A175" s="1">
        <v>189</v>
      </c>
      <c r="B175" s="1" t="s">
        <v>56</v>
      </c>
      <c r="C175" s="8">
        <v>45837</v>
      </c>
      <c r="D175" s="8">
        <v>45837</v>
      </c>
      <c r="E175" s="1">
        <v>7</v>
      </c>
      <c r="F175" s="1">
        <v>1</v>
      </c>
      <c r="G175" s="3" t="s">
        <v>548</v>
      </c>
      <c r="H175" s="4">
        <v>1.2581018518518519E-2</v>
      </c>
      <c r="I175" s="4">
        <v>4.5138888888888885E-3</v>
      </c>
      <c r="J175" s="4">
        <v>5.1967592592592595E-3</v>
      </c>
      <c r="K175" s="1" t="s">
        <v>58</v>
      </c>
      <c r="L175" s="1" t="s">
        <v>64</v>
      </c>
      <c r="M175" s="1" t="s">
        <v>14</v>
      </c>
      <c r="O175" s="1" t="s">
        <v>61</v>
      </c>
      <c r="P175" s="1" t="s">
        <v>61</v>
      </c>
      <c r="Q175" s="1" t="s">
        <v>61</v>
      </c>
      <c r="R175" s="1" t="s">
        <v>61</v>
      </c>
      <c r="S175" s="1" t="s">
        <v>61</v>
      </c>
      <c r="T175" s="1" t="s">
        <v>61</v>
      </c>
      <c r="V175" s="1" t="s">
        <v>61</v>
      </c>
      <c r="W175" s="1" t="s">
        <v>61</v>
      </c>
      <c r="X175" s="1" t="s">
        <v>61</v>
      </c>
      <c r="Y175" s="1" t="s">
        <v>555</v>
      </c>
      <c r="AB175" s="1"/>
      <c r="AC175" s="5" t="str">
        <f ca="1">IFERROR(__xludf.DUMMYFUNCTION("IF(Y175 = """", """", GOOGLETRANSLATE(Y175, ""en"", ""hi""))
"),"रविवार की शुभकामनाएँ, लेकिन आने वाले दिनों के लिए योजना बनाने की ज़रूरत है")</f>
        <v>रविवार की शुभकामनाएँ, लेकिन आने वाले दिनों के लिए योजना बनाने की ज़रूरत है</v>
      </c>
      <c r="AD175" s="5" t="str">
        <f ca="1">IFERROR(__xludf.DUMMYFUNCTION("IF(Z175 = """", """", GOOGLETRANSLATE(Z175, ""en"", ""hi""))"),"")</f>
        <v/>
      </c>
      <c r="AE175" s="5" t="str">
        <f ca="1">IFERROR(__xludf.DUMMYFUNCTION("IF(AA175 = """", """", GOOGLETRANSLATE(AA175, ""en"", ""hi""))"),"")</f>
        <v/>
      </c>
      <c r="AF175" s="5" t="str">
        <f ca="1">IFERROR(__xludf.DUMMYFUNCTION("IF(AB175 = """", """", GOOGLETRANSLATE(AB175, ""en"", ""hi""))"),"")</f>
        <v/>
      </c>
      <c r="AG175" s="5" t="str">
        <f ca="1">IFERROR(__xludf.DUMMYFUNCTION("IF(Y175 = """", """", GOOGLETRANSLATE(Y175, ""en"", ""mr""))"),"शुभ रविवार, परंतु आगामी दिवसांचे नियोजन आवश्यक आहे")</f>
        <v>शुभ रविवार, परंतु आगामी दिवसांचे नियोजन आवश्यक आहे</v>
      </c>
      <c r="AH175" s="5" t="str">
        <f ca="1">IFERROR(__xludf.DUMMYFUNCTION("IF(Z175 = """", """", GOOGLETRANSLATE(Z175, ""en"", ""mr""))"),"")</f>
        <v/>
      </c>
      <c r="AI175" s="5" t="str">
        <f ca="1">IFERROR(__xludf.DUMMYFUNCTION("IF(AA175 = """", """", GOOGLETRANSLATE(AA175, ""en"", ""mr""))"),"")</f>
        <v/>
      </c>
      <c r="AJ175" s="5" t="str">
        <f ca="1">IFERROR(__xludf.DUMMYFUNCTION("IF(AB175 = """", """", GOOGLETRANSLATE(AB175, ""en"", ""mr""))"),"")</f>
        <v/>
      </c>
      <c r="AK175" s="5" t="str">
        <f ca="1">IFERROR(__xludf.DUMMYFUNCTION("IF(Y175 = """", """", GOOGLETRANSLATE(Y175, ""en"", ""gu""))"),"શુભ રવિવાર, પરંતુ આગામી દિવસોમાં આયોજનની જરૂર છે")</f>
        <v>શુભ રવિવાર, પરંતુ આગામી દિવસોમાં આયોજનની જરૂર છે</v>
      </c>
      <c r="AL175" s="5" t="str">
        <f ca="1">IFERROR(__xludf.DUMMYFUNCTION("IF(Z175 = """", """", GOOGLETRANSLATE(Z175, ""en"", ""gu""))"),"")</f>
        <v/>
      </c>
      <c r="AM175" s="5" t="str">
        <f ca="1">IFERROR(__xludf.DUMMYFUNCTION("IF(AA175 = """", """", GOOGLETRANSLATE(AA175, ""en"", ""gu""))"),"")</f>
        <v/>
      </c>
      <c r="AN175" s="5" t="str">
        <f ca="1">IFERROR(__xludf.DUMMYFUNCTION("IF(AB175 = """", """", GOOGLETRANSLATE(AB175, ""en"", ""gu""))"),"")</f>
        <v/>
      </c>
      <c r="AO175" s="5" t="str">
        <f ca="1">IFERROR(__xludf.DUMMYFUNCTION("IF(Y175 = """", """", GOOGLETRANSLATE(Y175, ""en"", ""bn""))"),"শুভ রবিবার, তবে আসন্ন দিনগুলির পরিকল্পনা দরকার")</f>
        <v>শুভ রবিবার, তবে আসন্ন দিনগুলির পরিকল্পনা দরকার</v>
      </c>
      <c r="AP175" s="5" t="str">
        <f ca="1">IFERROR(__xludf.DUMMYFUNCTION("IF(Z175 = """", """", GOOGLETRANSLATE(Z175, ""en"", ""bn""))"),"")</f>
        <v/>
      </c>
      <c r="AQ175" s="5" t="str">
        <f ca="1">IFERROR(__xludf.DUMMYFUNCTION("IF(AA175 = """", """", GOOGLETRANSLATE(AA175, ""en"", ""bn""))"),"")</f>
        <v/>
      </c>
      <c r="AR175" s="5" t="str">
        <f ca="1">IFERROR(__xludf.DUMMYFUNCTION("IF(AB175 = """", """", GOOGLETRANSLATE(AB175, ""en"", ""bn""))"),"")</f>
        <v/>
      </c>
      <c r="AU175" s="5" t="str">
        <f ca="1">IFERROR(__xludf.DUMMYFUNCTION("IF(Y175 = """", """", GOOGLETRANSLATE(Y175, ""en"", ""te""))"),"హ్యాపీ సండే, కానీ రాబోయే రోజులలో ప్రణాళిక అవసరం")</f>
        <v>హ్యాపీ సండే, కానీ రాబోయే రోజులలో ప్రణాళిక అవసరం</v>
      </c>
      <c r="AV175" s="5" t="str">
        <f ca="1">IFERROR(__xludf.DUMMYFUNCTION("IF(Z175 = """", """", GOOGLETRANSLATE(Z175, ""en"", ""te""))"),"")</f>
        <v/>
      </c>
      <c r="AW175" s="5" t="str">
        <f ca="1">IFERROR(__xludf.DUMMYFUNCTION("IF(AA175 = """", """", GOOGLETRANSLATE(AA175, ""en"", ""te""))"),"")</f>
        <v/>
      </c>
      <c r="AX175" s="5" t="str">
        <f ca="1">IFERROR(__xludf.DUMMYFUNCTION("IF(AB175 = """", """", GOOGLETRANSLATE(AB175, ""en"", ""te""))"),"")</f>
        <v/>
      </c>
    </row>
    <row r="176" spans="1:50" x14ac:dyDescent="0.25">
      <c r="A176" s="1">
        <v>190</v>
      </c>
      <c r="B176" s="1" t="s">
        <v>56</v>
      </c>
      <c r="C176" s="8">
        <v>45837</v>
      </c>
      <c r="D176" s="8">
        <v>45837</v>
      </c>
      <c r="E176" s="1">
        <v>8</v>
      </c>
      <c r="F176" s="1">
        <v>1</v>
      </c>
      <c r="G176" s="3" t="s">
        <v>548</v>
      </c>
      <c r="H176" s="4">
        <v>1.2581018518518519E-2</v>
      </c>
      <c r="I176" s="4">
        <v>5.1967592592592595E-3</v>
      </c>
      <c r="J176" s="4">
        <v>5.6134259259259262E-3</v>
      </c>
      <c r="K176" s="1" t="s">
        <v>58</v>
      </c>
      <c r="L176" s="1" t="s">
        <v>68</v>
      </c>
      <c r="M176" s="1" t="s">
        <v>17</v>
      </c>
      <c r="O176" s="1" t="s">
        <v>61</v>
      </c>
      <c r="P176" s="1" t="s">
        <v>61</v>
      </c>
      <c r="Q176" s="1" t="s">
        <v>61</v>
      </c>
      <c r="R176" s="1" t="s">
        <v>61</v>
      </c>
      <c r="S176" s="1" t="s">
        <v>61</v>
      </c>
      <c r="T176" s="1" t="s">
        <v>61</v>
      </c>
      <c r="V176" s="1" t="s">
        <v>61</v>
      </c>
      <c r="W176" s="1" t="s">
        <v>61</v>
      </c>
      <c r="X176" s="1" t="s">
        <v>61</v>
      </c>
      <c r="Y176" s="1" t="s">
        <v>556</v>
      </c>
      <c r="AB176" s="1"/>
      <c r="AC176" s="5" t="str">
        <f ca="1">IFERROR(__xludf.DUMMYFUNCTION("IF(Y176 = """", """", GOOGLETRANSLATE(Y176, ""en"", ""hi""))
"),"दूसरों के लिए किए गए कार्य, व्यक्तिगत योजनाएँ अधूरी रह सकती हैं")</f>
        <v>दूसरों के लिए किए गए कार्य, व्यक्तिगत योजनाएँ अधूरी रह सकती हैं</v>
      </c>
      <c r="AD176" s="5" t="str">
        <f ca="1">IFERROR(__xludf.DUMMYFUNCTION("IF(Z176 = """", """", GOOGLETRANSLATE(Z176, ""en"", ""hi""))"),"")</f>
        <v/>
      </c>
      <c r="AE176" s="5" t="str">
        <f ca="1">IFERROR(__xludf.DUMMYFUNCTION("IF(AA176 = """", """", GOOGLETRANSLATE(AA176, ""en"", ""hi""))"),"")</f>
        <v/>
      </c>
      <c r="AF176" s="5" t="str">
        <f ca="1">IFERROR(__xludf.DUMMYFUNCTION("IF(AB176 = """", """", GOOGLETRANSLATE(AB176, ""en"", ""hi""))"),"")</f>
        <v/>
      </c>
      <c r="AG176" s="5" t="str">
        <f ca="1">IFERROR(__xludf.DUMMYFUNCTION("IF(Y176 = """", """", GOOGLETRANSLATE(Y176, ""en"", ""mr""))"),"इतरांसाठी केलेली कामे, वैयक्तिक योजना अपूर्ण राहू शकतात")</f>
        <v>इतरांसाठी केलेली कामे, वैयक्तिक योजना अपूर्ण राहू शकतात</v>
      </c>
      <c r="AH176" s="5" t="str">
        <f ca="1">IFERROR(__xludf.DUMMYFUNCTION("IF(Z176 = """", """", GOOGLETRANSLATE(Z176, ""en"", ""mr""))"),"")</f>
        <v/>
      </c>
      <c r="AI176" s="5" t="str">
        <f ca="1">IFERROR(__xludf.DUMMYFUNCTION("IF(AA176 = """", """", GOOGLETRANSLATE(AA176, ""en"", ""mr""))"),"")</f>
        <v/>
      </c>
      <c r="AJ176" s="5" t="str">
        <f ca="1">IFERROR(__xludf.DUMMYFUNCTION("IF(AB176 = """", """", GOOGLETRANSLATE(AB176, ""en"", ""mr""))"),"")</f>
        <v/>
      </c>
      <c r="AK176" s="5" t="str">
        <f ca="1">IFERROR(__xludf.DUMMYFUNCTION("IF(Y176 = """", """", GOOGLETRANSLATE(Y176, ""en"", ""gu""))"),"અન્ય લોકો માટે કરેલા કાર્યો, અંગત યોજનાઓ અધૂરી રહી શકે છે")</f>
        <v>અન્ય લોકો માટે કરેલા કાર્યો, અંગત યોજનાઓ અધૂરી રહી શકે છે</v>
      </c>
      <c r="AL176" s="5" t="str">
        <f ca="1">IFERROR(__xludf.DUMMYFUNCTION("IF(Z176 = """", """", GOOGLETRANSLATE(Z176, ""en"", ""gu""))"),"")</f>
        <v/>
      </c>
      <c r="AM176" s="5" t="str">
        <f ca="1">IFERROR(__xludf.DUMMYFUNCTION("IF(AA176 = """", """", GOOGLETRANSLATE(AA176, ""en"", ""gu""))"),"")</f>
        <v/>
      </c>
      <c r="AN176" s="5" t="str">
        <f ca="1">IFERROR(__xludf.DUMMYFUNCTION("IF(AB176 = """", """", GOOGLETRANSLATE(AB176, ""en"", ""gu""))"),"")</f>
        <v/>
      </c>
      <c r="AO176" s="5" t="str">
        <f ca="1">IFERROR(__xludf.DUMMYFUNCTION("IF(Y176 = """", """", GOOGLETRANSLATE(Y176, ""en"", ""bn""))"),"অন্যের জন্য করা কাজ, ব্যক্তিগত পরিকল্পনা অসম্পূর্ণ থেকে যেতে পারে")</f>
        <v>অন্যের জন্য করা কাজ, ব্যক্তিগত পরিকল্পনা অসম্পূর্ণ থেকে যেতে পারে</v>
      </c>
      <c r="AP176" s="5" t="str">
        <f ca="1">IFERROR(__xludf.DUMMYFUNCTION("IF(Z176 = """", """", GOOGLETRANSLATE(Z176, ""en"", ""bn""))"),"")</f>
        <v/>
      </c>
      <c r="AQ176" s="5" t="str">
        <f ca="1">IFERROR(__xludf.DUMMYFUNCTION("IF(AA176 = """", """", GOOGLETRANSLATE(AA176, ""en"", ""bn""))"),"")</f>
        <v/>
      </c>
      <c r="AR176" s="5" t="str">
        <f ca="1">IFERROR(__xludf.DUMMYFUNCTION("IF(AB176 = """", """", GOOGLETRANSLATE(AB176, ""en"", ""bn""))"),"")</f>
        <v/>
      </c>
      <c r="AU176" s="5" t="str">
        <f ca="1">IFERROR(__xludf.DUMMYFUNCTION("IF(Y176 = """", """", GOOGLETRANSLATE(Y176, ""en"", ""te""))"),"ఇతరుల కోసం చేసిన పనులు, వ్యక్తిగత ప్రణాళికలు అసంపూర్తిగా మిగిలిపోవచ్చు")</f>
        <v>ఇతరుల కోసం చేసిన పనులు, వ్యక్తిగత ప్రణాళికలు అసంపూర్తిగా మిగిలిపోవచ్చు</v>
      </c>
      <c r="AV176" s="5" t="str">
        <f ca="1">IFERROR(__xludf.DUMMYFUNCTION("IF(Z176 = """", """", GOOGLETRANSLATE(Z176, ""en"", ""te""))"),"")</f>
        <v/>
      </c>
      <c r="AW176" s="5" t="str">
        <f ca="1">IFERROR(__xludf.DUMMYFUNCTION("IF(AA176 = """", """", GOOGLETRANSLATE(AA176, ""en"", ""te""))"),"")</f>
        <v/>
      </c>
      <c r="AX176" s="5" t="str">
        <f ca="1">IFERROR(__xludf.DUMMYFUNCTION("IF(AB176 = """", """", GOOGLETRANSLATE(AB176, ""en"", ""te""))"),"")</f>
        <v/>
      </c>
    </row>
    <row r="177" spans="1:50" x14ac:dyDescent="0.25">
      <c r="A177" s="1">
        <v>191</v>
      </c>
      <c r="B177" s="1" t="s">
        <v>56</v>
      </c>
      <c r="C177" s="8">
        <v>45837</v>
      </c>
      <c r="D177" s="8">
        <v>45837</v>
      </c>
      <c r="E177" s="1">
        <v>9</v>
      </c>
      <c r="F177" s="1">
        <v>1</v>
      </c>
      <c r="G177" s="3" t="s">
        <v>548</v>
      </c>
      <c r="H177" s="4">
        <v>1.2581018518518519E-2</v>
      </c>
      <c r="I177" s="4">
        <v>5.6134259259259262E-3</v>
      </c>
      <c r="J177" s="4">
        <v>6.122685185185185E-3</v>
      </c>
      <c r="K177" s="1" t="s">
        <v>58</v>
      </c>
      <c r="L177" s="1" t="s">
        <v>72</v>
      </c>
      <c r="M177" s="1" t="s">
        <v>14</v>
      </c>
      <c r="O177" s="1" t="s">
        <v>61</v>
      </c>
      <c r="P177" s="1" t="s">
        <v>61</v>
      </c>
      <c r="Q177" s="1" t="s">
        <v>61</v>
      </c>
      <c r="R177" s="1" t="s">
        <v>61</v>
      </c>
      <c r="S177" s="1" t="s">
        <v>61</v>
      </c>
      <c r="T177" s="1" t="s">
        <v>61</v>
      </c>
      <c r="V177" s="1" t="s">
        <v>61</v>
      </c>
      <c r="W177" s="1" t="s">
        <v>61</v>
      </c>
      <c r="X177" s="1" t="s">
        <v>61</v>
      </c>
      <c r="Y177" s="1" t="s">
        <v>557</v>
      </c>
      <c r="AB177" s="1"/>
      <c r="AC177" s="5" t="str">
        <f ca="1">IFERROR(__xludf.DUMMYFUNCTION("IF(Y177 = """", """", GOOGLETRANSLATE(Y177, ""en"", ""hi""))
"),"आराम का दिन, बुरे हफ़्तों से उबरना, बुज़ुर्गों की देखभाल")</f>
        <v>आराम का दिन, बुरे हफ़्तों से उबरना, बुज़ुर्गों की देखभाल</v>
      </c>
      <c r="AD177" s="5" t="str">
        <f ca="1">IFERROR(__xludf.DUMMYFUNCTION("IF(Z177 = """", """", GOOGLETRANSLATE(Z177, ""en"", ""hi""))"),"")</f>
        <v/>
      </c>
      <c r="AE177" s="5" t="str">
        <f ca="1">IFERROR(__xludf.DUMMYFUNCTION("IF(AA177 = """", """", GOOGLETRANSLATE(AA177, ""en"", ""hi""))"),"")</f>
        <v/>
      </c>
      <c r="AF177" s="5" t="str">
        <f ca="1">IFERROR(__xludf.DUMMYFUNCTION("IF(AB177 = """", """", GOOGLETRANSLATE(AB177, ""en"", ""hi""))"),"")</f>
        <v/>
      </c>
      <c r="AG177" s="5" t="str">
        <f ca="1">IFERROR(__xludf.DUMMYFUNCTION("IF(Y177 = """", """", GOOGLETRANSLATE(Y177, ""en"", ""mr""))"),"विश्रांतीचा दिवस, वाईट आठवड्यांमधून बरे होणे, वृद्धांची काळजी घेणे")</f>
        <v>विश्रांतीचा दिवस, वाईट आठवड्यांमधून बरे होणे, वृद्धांची काळजी घेणे</v>
      </c>
      <c r="AH177" s="5" t="str">
        <f ca="1">IFERROR(__xludf.DUMMYFUNCTION("IF(Z177 = """", """", GOOGLETRANSLATE(Z177, ""en"", ""mr""))"),"")</f>
        <v/>
      </c>
      <c r="AI177" s="5" t="str">
        <f ca="1">IFERROR(__xludf.DUMMYFUNCTION("IF(AA177 = """", """", GOOGLETRANSLATE(AA177, ""en"", ""mr""))"),"")</f>
        <v/>
      </c>
      <c r="AJ177" s="5" t="str">
        <f ca="1">IFERROR(__xludf.DUMMYFUNCTION("IF(AB177 = """", """", GOOGLETRANSLATE(AB177, ""en"", ""mr""))"),"")</f>
        <v/>
      </c>
      <c r="AK177" s="5" t="str">
        <f ca="1">IFERROR(__xludf.DUMMYFUNCTION("IF(Y177 = """", """", GOOGLETRANSLATE(Y177, ""en"", ""gu""))"),"આરામનો દિવસ, ખરાબ અઠવાડિયામાંથી સ્વસ્થ થવું, વડીલોની સંભાળ")</f>
        <v>આરામનો દિવસ, ખરાબ અઠવાડિયામાંથી સ્વસ્થ થવું, વડીલોની સંભાળ</v>
      </c>
      <c r="AL177" s="5" t="str">
        <f ca="1">IFERROR(__xludf.DUMMYFUNCTION("IF(Z177 = """", """", GOOGLETRANSLATE(Z177, ""en"", ""gu""))"),"")</f>
        <v/>
      </c>
      <c r="AM177" s="5" t="str">
        <f ca="1">IFERROR(__xludf.DUMMYFUNCTION("IF(AA177 = """", """", GOOGLETRANSLATE(AA177, ""en"", ""gu""))"),"")</f>
        <v/>
      </c>
      <c r="AN177" s="5" t="str">
        <f ca="1">IFERROR(__xludf.DUMMYFUNCTION("IF(AB177 = """", """", GOOGLETRANSLATE(AB177, ""en"", ""gu""))"),"")</f>
        <v/>
      </c>
      <c r="AO177" s="5" t="str">
        <f ca="1">IFERROR(__xludf.DUMMYFUNCTION("IF(Y177 = """", """", GOOGLETRANSLATE(Y177, ""en"", ""bn""))"),"বিশ্রামের দিন, খারাপ সপ্তাহ থেকে পুনরুদ্ধার, বৃদ্ধদের যত্ন")</f>
        <v>বিশ্রামের দিন, খারাপ সপ্তাহ থেকে পুনরুদ্ধার, বৃদ্ধদের যত্ন</v>
      </c>
      <c r="AP177" s="5" t="str">
        <f ca="1">IFERROR(__xludf.DUMMYFUNCTION("IF(Z177 = """", """", GOOGLETRANSLATE(Z177, ""en"", ""bn""))"),"")</f>
        <v/>
      </c>
      <c r="AQ177" s="5" t="str">
        <f ca="1">IFERROR(__xludf.DUMMYFUNCTION("IF(AA177 = """", """", GOOGLETRANSLATE(AA177, ""en"", ""bn""))"),"")</f>
        <v/>
      </c>
      <c r="AR177" s="5" t="str">
        <f ca="1">IFERROR(__xludf.DUMMYFUNCTION("IF(AB177 = """", """", GOOGLETRANSLATE(AB177, ""en"", ""bn""))"),"")</f>
        <v/>
      </c>
      <c r="AU177" s="5" t="str">
        <f ca="1">IFERROR(__xludf.DUMMYFUNCTION("IF(Y177 = """", """", GOOGLETRANSLATE(Y177, ""en"", ""te""))"),"విశ్రాంతి దినం, చెడు వారాల నుండి కోలుకోవడం, పెద్దల పట్ల శ్రద్ధ వహించడం")</f>
        <v>విశ్రాంతి దినం, చెడు వారాల నుండి కోలుకోవడం, పెద్దల పట్ల శ్రద్ధ వహించడం</v>
      </c>
      <c r="AV177" s="5" t="str">
        <f ca="1">IFERROR(__xludf.DUMMYFUNCTION("IF(Z177 = """", """", GOOGLETRANSLATE(Z177, ""en"", ""te""))"),"")</f>
        <v/>
      </c>
      <c r="AW177" s="5" t="str">
        <f ca="1">IFERROR(__xludf.DUMMYFUNCTION("IF(AA177 = """", """", GOOGLETRANSLATE(AA177, ""en"", ""te""))"),"")</f>
        <v/>
      </c>
      <c r="AX177" s="5" t="str">
        <f ca="1">IFERROR(__xludf.DUMMYFUNCTION("IF(AB177 = """", """", GOOGLETRANSLATE(AB177, ""en"", ""te""))"),"")</f>
        <v/>
      </c>
    </row>
    <row r="178" spans="1:50" x14ac:dyDescent="0.25">
      <c r="A178" s="1">
        <v>192</v>
      </c>
      <c r="B178" s="1" t="s">
        <v>56</v>
      </c>
      <c r="C178" s="8">
        <v>45837</v>
      </c>
      <c r="D178" s="8">
        <v>45837</v>
      </c>
      <c r="E178" s="1">
        <v>10</v>
      </c>
      <c r="F178" s="1">
        <v>1</v>
      </c>
      <c r="G178" s="3" t="s">
        <v>548</v>
      </c>
      <c r="H178" s="4">
        <v>1.2581018518518519E-2</v>
      </c>
      <c r="I178" s="4">
        <v>6.122685185185185E-3</v>
      </c>
      <c r="J178" s="4">
        <v>6.828703703703704E-3</v>
      </c>
      <c r="K178" s="1" t="s">
        <v>58</v>
      </c>
      <c r="L178" s="1" t="s">
        <v>76</v>
      </c>
      <c r="M178" s="1" t="s">
        <v>19</v>
      </c>
      <c r="O178" s="1" t="s">
        <v>61</v>
      </c>
      <c r="P178" s="1" t="s">
        <v>61</v>
      </c>
      <c r="Q178" s="1" t="s">
        <v>61</v>
      </c>
      <c r="R178" s="1" t="s">
        <v>61</v>
      </c>
      <c r="S178" s="1" t="s">
        <v>61</v>
      </c>
      <c r="T178" s="1" t="s">
        <v>61</v>
      </c>
      <c r="V178" s="1" t="s">
        <v>61</v>
      </c>
      <c r="W178" s="1" t="s">
        <v>61</v>
      </c>
      <c r="X178" s="1" t="s">
        <v>61</v>
      </c>
      <c r="Y178" s="1" t="s">
        <v>558</v>
      </c>
      <c r="AB178" s="1"/>
      <c r="AC178" s="5" t="str">
        <f ca="1">IFERROR(__xludf.DUMMYFUNCTION("IF(Y178 = """", """", GOOGLETRANSLATE(Y178, ""en"", ""hi""))
"),"स्वास्थ्य संबंधी समस्याएँ, वाहन सावधानी से चलाएँ, 8-10 दिनों तक सतर्क रहें")</f>
        <v>स्वास्थ्य संबंधी समस्याएँ, वाहन सावधानी से चलाएँ, 8-10 दिनों तक सतर्क रहें</v>
      </c>
      <c r="AD178" s="5" t="str">
        <f ca="1">IFERROR(__xludf.DUMMYFUNCTION("IF(Z178 = """", """", GOOGLETRANSLATE(Z178, ""en"", ""hi""))"),"")</f>
        <v/>
      </c>
      <c r="AE178" s="5" t="str">
        <f ca="1">IFERROR(__xludf.DUMMYFUNCTION("IF(AA178 = """", """", GOOGLETRANSLATE(AA178, ""en"", ""hi""))"),"")</f>
        <v/>
      </c>
      <c r="AF178" s="5" t="str">
        <f ca="1">IFERROR(__xludf.DUMMYFUNCTION("IF(AB178 = """", """", GOOGLETRANSLATE(AB178, ""en"", ""hi""))"),"")</f>
        <v/>
      </c>
      <c r="AG178" s="5" t="str">
        <f ca="1">IFERROR(__xludf.DUMMYFUNCTION("IF(Y178 = """", """", GOOGLETRANSLATE(Y178, ""en"", ""mr""))"),"आरोग्याच्या समस्या, काळजीपूर्वक वाहन चालवा, 8-10 दिवस सावध रहा")</f>
        <v>आरोग्याच्या समस्या, काळजीपूर्वक वाहन चालवा, 8-10 दिवस सावध रहा</v>
      </c>
      <c r="AH178" s="5" t="str">
        <f ca="1">IFERROR(__xludf.DUMMYFUNCTION("IF(Z178 = """", """", GOOGLETRANSLATE(Z178, ""en"", ""mr""))"),"")</f>
        <v/>
      </c>
      <c r="AI178" s="5" t="str">
        <f ca="1">IFERROR(__xludf.DUMMYFUNCTION("IF(AA178 = """", """", GOOGLETRANSLATE(AA178, ""en"", ""mr""))"),"")</f>
        <v/>
      </c>
      <c r="AJ178" s="5" t="str">
        <f ca="1">IFERROR(__xludf.DUMMYFUNCTION("IF(AB178 = """", """", GOOGLETRANSLATE(AB178, ""en"", ""mr""))"),"")</f>
        <v/>
      </c>
      <c r="AK178" s="5" t="str">
        <f ca="1">IFERROR(__xludf.DUMMYFUNCTION("IF(Y178 = """", """", GOOGLETRANSLATE(Y178, ""en"", ""gu""))"),"સ્વાસ્થ્યને લગતી સમસ્યાઓ, સાવધાનીથી વાહન ચલાવો, 8-10 દિવસ સુધી સાવચેત રહો")</f>
        <v>સ્વાસ્થ્યને લગતી સમસ્યાઓ, સાવધાનીથી વાહન ચલાવો, 8-10 દિવસ સુધી સાવચેત રહો</v>
      </c>
      <c r="AL178" s="5" t="str">
        <f ca="1">IFERROR(__xludf.DUMMYFUNCTION("IF(Z178 = """", """", GOOGLETRANSLATE(Z178, ""en"", ""gu""))"),"")</f>
        <v/>
      </c>
      <c r="AM178" s="5" t="str">
        <f ca="1">IFERROR(__xludf.DUMMYFUNCTION("IF(AA178 = """", """", GOOGLETRANSLATE(AA178, ""en"", ""gu""))"),"")</f>
        <v/>
      </c>
      <c r="AN178" s="5" t="str">
        <f ca="1">IFERROR(__xludf.DUMMYFUNCTION("IF(AB178 = """", """", GOOGLETRANSLATE(AB178, ""en"", ""gu""))"),"")</f>
        <v/>
      </c>
      <c r="AO178" s="5" t="str">
        <f ca="1">IFERROR(__xludf.DUMMYFUNCTION("IF(Y178 = """", """", GOOGLETRANSLATE(Y178, ""en"", ""bn""))"),"স্বাস্থ্য সমস্যা, সাবধানে গাড়ি চালান, 8-10 দিন সতর্ক থাকুন")</f>
        <v>স্বাস্থ্য সমস্যা, সাবধানে গাড়ি চালান, 8-10 দিন সতর্ক থাকুন</v>
      </c>
      <c r="AP178" s="5" t="str">
        <f ca="1">IFERROR(__xludf.DUMMYFUNCTION("IF(Z178 = """", """", GOOGLETRANSLATE(Z178, ""en"", ""bn""))"),"")</f>
        <v/>
      </c>
      <c r="AQ178" s="5" t="str">
        <f ca="1">IFERROR(__xludf.DUMMYFUNCTION("IF(AA178 = """", """", GOOGLETRANSLATE(AA178, ""en"", ""bn""))"),"")</f>
        <v/>
      </c>
      <c r="AR178" s="5" t="str">
        <f ca="1">IFERROR(__xludf.DUMMYFUNCTION("IF(AB178 = """", """", GOOGLETRANSLATE(AB178, ""en"", ""bn""))"),"")</f>
        <v/>
      </c>
      <c r="AU178" s="5" t="str">
        <f ca="1">IFERROR(__xludf.DUMMYFUNCTION("IF(Y178 = """", """", GOOGLETRANSLATE(Y178, ""en"", ""te""))"),"ఆరోగ్య సమస్యలు, జాగ్రత్తగా డ్రైవ్ చేయండి, 8-10 రోజులు జాగ్రత్తగా ఉండండి")</f>
        <v>ఆరోగ్య సమస్యలు, జాగ్రత్తగా డ్రైవ్ చేయండి, 8-10 రోజులు జాగ్రత్తగా ఉండండి</v>
      </c>
      <c r="AV178" s="5" t="str">
        <f ca="1">IFERROR(__xludf.DUMMYFUNCTION("IF(Z178 = """", """", GOOGLETRANSLATE(Z178, ""en"", ""te""))"),"")</f>
        <v/>
      </c>
      <c r="AW178" s="5" t="str">
        <f ca="1">IFERROR(__xludf.DUMMYFUNCTION("IF(AA178 = """", """", GOOGLETRANSLATE(AA178, ""en"", ""te""))"),"")</f>
        <v/>
      </c>
      <c r="AX178" s="5" t="str">
        <f ca="1">IFERROR(__xludf.DUMMYFUNCTION("IF(AB178 = """", """", GOOGLETRANSLATE(AB178, ""en"", ""te""))"),"")</f>
        <v/>
      </c>
    </row>
    <row r="179" spans="1:50" x14ac:dyDescent="0.25">
      <c r="A179" s="1">
        <v>193</v>
      </c>
      <c r="B179" s="1" t="s">
        <v>56</v>
      </c>
      <c r="C179" s="8">
        <v>45837</v>
      </c>
      <c r="D179" s="8">
        <v>45837</v>
      </c>
      <c r="E179" s="1">
        <v>11</v>
      </c>
      <c r="F179" s="1">
        <v>1</v>
      </c>
      <c r="G179" s="3" t="s">
        <v>548</v>
      </c>
      <c r="H179" s="4">
        <v>1.2581018518518519E-2</v>
      </c>
      <c r="I179" s="4">
        <v>6.828703703703704E-3</v>
      </c>
      <c r="J179" s="4">
        <v>7.2337962962962963E-3</v>
      </c>
      <c r="K179" s="1" t="s">
        <v>58</v>
      </c>
      <c r="L179" s="1" t="s">
        <v>79</v>
      </c>
      <c r="M179" s="1" t="s">
        <v>14</v>
      </c>
      <c r="O179" s="1" t="s">
        <v>61</v>
      </c>
      <c r="P179" s="1" t="s">
        <v>61</v>
      </c>
      <c r="Q179" s="1" t="s">
        <v>61</v>
      </c>
      <c r="R179" s="1" t="s">
        <v>61</v>
      </c>
      <c r="S179" s="1" t="s">
        <v>61</v>
      </c>
      <c r="T179" s="1" t="s">
        <v>61</v>
      </c>
      <c r="V179" s="1" t="s">
        <v>61</v>
      </c>
      <c r="W179" s="1" t="s">
        <v>61</v>
      </c>
      <c r="X179" s="1" t="s">
        <v>61</v>
      </c>
      <c r="Y179" s="1" t="s">
        <v>559</v>
      </c>
      <c r="AB179" s="1"/>
      <c r="AC179" s="5" t="str">
        <f ca="1">IFERROR(__xludf.DUMMYFUNCTION("IF(Y179 = """", """", GOOGLETRANSLATE(Y179, ""en"", ""hi""))
"),"परिवार के साथ बाहर घूमने जाएं, बड़े फैसले लें, अच्छी योजना बनाएं")</f>
        <v>परिवार के साथ बाहर घूमने जाएं, बड़े फैसले लें, अच्छी योजना बनाएं</v>
      </c>
      <c r="AD179" s="5" t="str">
        <f ca="1">IFERROR(__xludf.DUMMYFUNCTION("IF(Z179 = """", """", GOOGLETRANSLATE(Z179, ""en"", ""hi""))"),"")</f>
        <v/>
      </c>
      <c r="AE179" s="5" t="str">
        <f ca="1">IFERROR(__xludf.DUMMYFUNCTION("IF(AA179 = """", """", GOOGLETRANSLATE(AA179, ""en"", ""hi""))"),"")</f>
        <v/>
      </c>
      <c r="AF179" s="5" t="str">
        <f ca="1">IFERROR(__xludf.DUMMYFUNCTION("IF(AB179 = """", """", GOOGLETRANSLATE(AB179, ""en"", ""hi""))"),"")</f>
        <v/>
      </c>
      <c r="AG179" s="5" t="str">
        <f ca="1">IFERROR(__xludf.DUMMYFUNCTION("IF(Y179 = """", """", GOOGLETRANSLATE(Y179, ""en"", ""mr""))"),"कौटुंबिक सहली, मोठे निर्णय घ्या, दिवसाचे नियोजन चांगले करा")</f>
        <v>कौटुंबिक सहली, मोठे निर्णय घ्या, दिवसाचे नियोजन चांगले करा</v>
      </c>
      <c r="AH179" s="5" t="str">
        <f ca="1">IFERROR(__xludf.DUMMYFUNCTION("IF(Z179 = """", """", GOOGLETRANSLATE(Z179, ""en"", ""mr""))"),"")</f>
        <v/>
      </c>
      <c r="AI179" s="5" t="str">
        <f ca="1">IFERROR(__xludf.DUMMYFUNCTION("IF(AA179 = """", """", GOOGLETRANSLATE(AA179, ""en"", ""mr""))"),"")</f>
        <v/>
      </c>
      <c r="AJ179" s="5" t="str">
        <f ca="1">IFERROR(__xludf.DUMMYFUNCTION("IF(AB179 = """", """", GOOGLETRANSLATE(AB179, ""en"", ""mr""))"),"")</f>
        <v/>
      </c>
      <c r="AK179" s="5" t="str">
        <f ca="1">IFERROR(__xludf.DUMMYFUNCTION("IF(Y179 = """", """", GOOGLETRANSLATE(Y179, ""en"", ""gu""))"),"કૌટુંબિક પ્રવાસ, મોટા નિર્ણયો લો, દિવસનું આયોજન સારું")</f>
        <v>કૌટુંબિક પ્રવાસ, મોટા નિર્ણયો લો, દિવસનું આયોજન સારું</v>
      </c>
      <c r="AL179" s="5" t="str">
        <f ca="1">IFERROR(__xludf.DUMMYFUNCTION("IF(Z179 = """", """", GOOGLETRANSLATE(Z179, ""en"", ""gu""))"),"")</f>
        <v/>
      </c>
      <c r="AM179" s="5" t="str">
        <f ca="1">IFERROR(__xludf.DUMMYFUNCTION("IF(AA179 = """", """", GOOGLETRANSLATE(AA179, ""en"", ""gu""))"),"")</f>
        <v/>
      </c>
      <c r="AN179" s="5" t="str">
        <f ca="1">IFERROR(__xludf.DUMMYFUNCTION("IF(AB179 = """", """", GOOGLETRANSLATE(AB179, ""en"", ""gu""))"),"")</f>
        <v/>
      </c>
      <c r="AO179" s="5" t="str">
        <f ca="1">IFERROR(__xludf.DUMMYFUNCTION("IF(Y179 = """", """", GOOGLETRANSLATE(Y179, ""en"", ""bn""))"),"পারিবারিক ঘোরাঘুরি, বড় সিদ্ধান্ত নিন, পরিকল্পনা ভালো দিন")</f>
        <v>পারিবারিক ঘোরাঘুরি, বড় সিদ্ধান্ত নিন, পরিকল্পনা ভালো দিন</v>
      </c>
      <c r="AP179" s="5" t="str">
        <f ca="1">IFERROR(__xludf.DUMMYFUNCTION("IF(Z179 = """", """", GOOGLETRANSLATE(Z179, ""en"", ""bn""))"),"")</f>
        <v/>
      </c>
      <c r="AQ179" s="5" t="str">
        <f ca="1">IFERROR(__xludf.DUMMYFUNCTION("IF(AA179 = """", """", GOOGLETRANSLATE(AA179, ""en"", ""bn""))"),"")</f>
        <v/>
      </c>
      <c r="AR179" s="5" t="str">
        <f ca="1">IFERROR(__xludf.DUMMYFUNCTION("IF(AB179 = """", """", GOOGLETRANSLATE(AB179, ""en"", ""bn""))"),"")</f>
        <v/>
      </c>
      <c r="AU179" s="5" t="str">
        <f ca="1">IFERROR(__xludf.DUMMYFUNCTION("IF(Y179 = """", """", GOOGLETRANSLATE(Y179, ""en"", ""te""))"),"కుటుంబ విహారయాత్రలు, ప్రధాన నిర్ణయాలు, మంచి ప్రణాళికాబద్ధమైన రోజు")</f>
        <v>కుటుంబ విహారయాత్రలు, ప్రధాన నిర్ణయాలు, మంచి ప్రణాళికాబద్ధమైన రోజు</v>
      </c>
      <c r="AV179" s="5" t="str">
        <f ca="1">IFERROR(__xludf.DUMMYFUNCTION("IF(Z179 = """", """", GOOGLETRANSLATE(Z179, ""en"", ""te""))"),"")</f>
        <v/>
      </c>
      <c r="AW179" s="5" t="str">
        <f ca="1">IFERROR(__xludf.DUMMYFUNCTION("IF(AA179 = """", """", GOOGLETRANSLATE(AA179, ""en"", ""te""))"),"")</f>
        <v/>
      </c>
      <c r="AX179" s="5" t="str">
        <f ca="1">IFERROR(__xludf.DUMMYFUNCTION("IF(AB179 = """", """", GOOGLETRANSLATE(AB179, ""en"", ""te""))"),"")</f>
        <v/>
      </c>
    </row>
    <row r="180" spans="1:50" x14ac:dyDescent="0.25">
      <c r="A180" s="1">
        <v>194</v>
      </c>
      <c r="B180" s="1" t="s">
        <v>56</v>
      </c>
      <c r="C180" s="8">
        <v>45837</v>
      </c>
      <c r="D180" s="8">
        <v>45837</v>
      </c>
      <c r="E180" s="1">
        <v>12</v>
      </c>
      <c r="F180" s="1">
        <v>1</v>
      </c>
      <c r="G180" s="3" t="s">
        <v>548</v>
      </c>
      <c r="H180" s="4">
        <v>1.2581018518518519E-2</v>
      </c>
      <c r="I180" s="4">
        <v>7.2337962962962963E-3</v>
      </c>
      <c r="J180" s="4">
        <v>8.0902777777777778E-3</v>
      </c>
      <c r="K180" s="1" t="s">
        <v>58</v>
      </c>
      <c r="L180" s="1" t="s">
        <v>81</v>
      </c>
      <c r="M180" s="1" t="s">
        <v>17</v>
      </c>
      <c r="O180" s="1" t="s">
        <v>61</v>
      </c>
      <c r="P180" s="1" t="s">
        <v>61</v>
      </c>
      <c r="Q180" s="1" t="s">
        <v>61</v>
      </c>
      <c r="R180" s="1" t="s">
        <v>61</v>
      </c>
      <c r="S180" s="1" t="s">
        <v>61</v>
      </c>
      <c r="T180" s="1" t="s">
        <v>61</v>
      </c>
      <c r="V180" s="1" t="s">
        <v>61</v>
      </c>
      <c r="W180" s="1" t="s">
        <v>61</v>
      </c>
      <c r="X180" s="1" t="s">
        <v>61</v>
      </c>
      <c r="Y180" s="1" t="s">
        <v>560</v>
      </c>
      <c r="AB180" s="1"/>
      <c r="AC180" s="5" t="str">
        <f ca="1">IFERROR(__xludf.DUMMYFUNCTION("IF(Y180 = """", """", GOOGLETRANSLATE(Y180, ""en"", ""hi""))
"),"मूड स्विंग्स, राहु-बृहस्पति गोचर से भ्रम, स्व-निदान से बचें")</f>
        <v>मूड स्विंग्स, राहु-बृहस्पति गोचर से भ्रम, स्व-निदान से बचें</v>
      </c>
      <c r="AD180" s="5" t="str">
        <f ca="1">IFERROR(__xludf.DUMMYFUNCTION("IF(Z180 = """", """", GOOGLETRANSLATE(Z180, ""en"", ""hi""))"),"")</f>
        <v/>
      </c>
      <c r="AE180" s="5" t="str">
        <f ca="1">IFERROR(__xludf.DUMMYFUNCTION("IF(AA180 = """", """", GOOGLETRANSLATE(AA180, ""en"", ""hi""))"),"")</f>
        <v/>
      </c>
      <c r="AF180" s="5" t="str">
        <f ca="1">IFERROR(__xludf.DUMMYFUNCTION("IF(AB180 = """", """", GOOGLETRANSLATE(AB180, ""en"", ""hi""))"),"")</f>
        <v/>
      </c>
      <c r="AG180" s="5" t="str">
        <f ca="1">IFERROR(__xludf.DUMMYFUNCTION("IF(Y180 = """", """", GOOGLETRANSLATE(Y180, ""en"", ""mr""))"),"राहु-गुरू संक्रमणामुळे मूड बदलणे, भ्रम, स्वतःचे निदान टाळा")</f>
        <v>राहु-गुरू संक्रमणामुळे मूड बदलणे, भ्रम, स्वतःचे निदान टाळा</v>
      </c>
      <c r="AH180" s="5" t="str">
        <f ca="1">IFERROR(__xludf.DUMMYFUNCTION("IF(Z180 = """", """", GOOGLETRANSLATE(Z180, ""en"", ""mr""))"),"")</f>
        <v/>
      </c>
      <c r="AI180" s="5" t="str">
        <f ca="1">IFERROR(__xludf.DUMMYFUNCTION("IF(AA180 = """", """", GOOGLETRANSLATE(AA180, ""en"", ""mr""))"),"")</f>
        <v/>
      </c>
      <c r="AJ180" s="5" t="str">
        <f ca="1">IFERROR(__xludf.DUMMYFUNCTION("IF(AB180 = """", """", GOOGLETRANSLATE(AB180, ""en"", ""mr""))"),"")</f>
        <v/>
      </c>
      <c r="AK180" s="5" t="str">
        <f ca="1">IFERROR(__xludf.DUMMYFUNCTION("IF(Y180 = """", """", GOOGLETRANSLATE(Y180, ""en"", ""gu""))"),"મૂડ સ્વિંગ, રાહુ-ગુરુ સંક્રમણથી ભ્રમ, સ્વ-નિદાન ટાળો")</f>
        <v>મૂડ સ્વિંગ, રાહુ-ગુરુ સંક્રમણથી ભ્રમ, સ્વ-નિદાન ટાળો</v>
      </c>
      <c r="AL180" s="5" t="str">
        <f ca="1">IFERROR(__xludf.DUMMYFUNCTION("IF(Z180 = """", """", GOOGLETRANSLATE(Z180, ""en"", ""gu""))"),"")</f>
        <v/>
      </c>
      <c r="AM180" s="5" t="str">
        <f ca="1">IFERROR(__xludf.DUMMYFUNCTION("IF(AA180 = """", """", GOOGLETRANSLATE(AA180, ""en"", ""gu""))"),"")</f>
        <v/>
      </c>
      <c r="AN180" s="5" t="str">
        <f ca="1">IFERROR(__xludf.DUMMYFUNCTION("IF(AB180 = """", """", GOOGLETRANSLATE(AB180, ""en"", ""gu""))"),"")</f>
        <v/>
      </c>
      <c r="AO180" s="5" t="str">
        <f ca="1">IFERROR(__xludf.DUMMYFUNCTION("IF(Y180 = """", """", GOOGLETRANSLATE(Y180, ""en"", ""bn""))"),"মেজাজের পরিবর্তন, রাহু-বৃহস্পতি ট্রানজিট থেকে বিভ্রম, স্ব-নির্ণয় এড়িয়ে চলুন")</f>
        <v>মেজাজের পরিবর্তন, রাহু-বৃহস্পতি ট্রানজিট থেকে বিভ্রম, স্ব-নির্ণয় এড়িয়ে চলুন</v>
      </c>
      <c r="AP180" s="5" t="str">
        <f ca="1">IFERROR(__xludf.DUMMYFUNCTION("IF(Z180 = """", """", GOOGLETRANSLATE(Z180, ""en"", ""bn""))"),"")</f>
        <v/>
      </c>
      <c r="AQ180" s="5" t="str">
        <f ca="1">IFERROR(__xludf.DUMMYFUNCTION("IF(AA180 = """", """", GOOGLETRANSLATE(AA180, ""en"", ""bn""))"),"")</f>
        <v/>
      </c>
      <c r="AR180" s="5" t="str">
        <f ca="1">IFERROR(__xludf.DUMMYFUNCTION("IF(AB180 = """", """", GOOGLETRANSLATE(AB180, ""en"", ""bn""))"),"")</f>
        <v/>
      </c>
      <c r="AU180" s="5" t="str">
        <f ca="1">IFERROR(__xludf.DUMMYFUNCTION("IF(Y180 = """", """", GOOGLETRANSLATE(Y180, ""en"", ""te""))"),"మూడ్ స్వింగ్స్, రాహు-బృహస్పతి రవాణా నుండి భ్రమ, స్వీయ-నిర్ధారణకు దూరంగా ఉండండి")</f>
        <v>మూడ్ స్వింగ్స్, రాహు-బృహస్పతి రవాణా నుండి భ్రమ, స్వీయ-నిర్ధారణకు దూరంగా ఉండండి</v>
      </c>
      <c r="AV180" s="5" t="str">
        <f ca="1">IFERROR(__xludf.DUMMYFUNCTION("IF(Z180 = """", """", GOOGLETRANSLATE(Z180, ""en"", ""te""))"),"")</f>
        <v/>
      </c>
      <c r="AW180" s="5" t="str">
        <f ca="1">IFERROR(__xludf.DUMMYFUNCTION("IF(AA180 = """", """", GOOGLETRANSLATE(AA180, ""en"", ""te""))"),"")</f>
        <v/>
      </c>
      <c r="AX180" s="5" t="str">
        <f ca="1">IFERROR(__xludf.DUMMYFUNCTION("IF(AB180 = """", """", GOOGLETRANSLATE(AB180, ""en"", ""te""))"),"")</f>
        <v/>
      </c>
    </row>
    <row r="181" spans="1:50" x14ac:dyDescent="0.25">
      <c r="A181" s="1">
        <v>195</v>
      </c>
      <c r="B181" s="1" t="s">
        <v>56</v>
      </c>
      <c r="C181" s="8">
        <v>45838</v>
      </c>
      <c r="D181" s="8">
        <v>45838</v>
      </c>
      <c r="E181" s="1">
        <v>0</v>
      </c>
      <c r="F181" s="1">
        <v>1</v>
      </c>
      <c r="G181" s="3" t="s">
        <v>548</v>
      </c>
      <c r="H181" s="4">
        <v>1.1030092592592593E-2</v>
      </c>
      <c r="I181" s="4">
        <v>0</v>
      </c>
      <c r="J181" s="4">
        <v>1.4236111111111112E-3</v>
      </c>
      <c r="K181" s="1" t="s">
        <v>58</v>
      </c>
      <c r="L181" s="1" t="s">
        <v>59</v>
      </c>
      <c r="O181" s="1" t="s">
        <v>61</v>
      </c>
      <c r="P181" s="1" t="s">
        <v>61</v>
      </c>
      <c r="Q181" s="1" t="s">
        <v>61</v>
      </c>
      <c r="R181" s="1" t="s">
        <v>61</v>
      </c>
      <c r="S181" s="1" t="s">
        <v>61</v>
      </c>
      <c r="T181" s="1" t="s">
        <v>61</v>
      </c>
      <c r="V181" s="1" t="s">
        <v>61</v>
      </c>
      <c r="W181" s="1" t="s">
        <v>61</v>
      </c>
      <c r="X181" s="1" t="s">
        <v>61</v>
      </c>
      <c r="AB181" s="1"/>
      <c r="AC181" s="5" t="str">
        <f ca="1">IFERROR(__xludf.DUMMYFUNCTION("IF(Y181 = """", """", GOOGLETRANSLATE(Y181, ""en"", ""hi""))
"),"")</f>
        <v/>
      </c>
      <c r="AD181" s="5" t="str">
        <f ca="1">IFERROR(__xludf.DUMMYFUNCTION("IF(Z181 = """", """", GOOGLETRANSLATE(Z181, ""en"", ""hi""))"),"")</f>
        <v/>
      </c>
      <c r="AE181" s="5" t="str">
        <f ca="1">IFERROR(__xludf.DUMMYFUNCTION("IF(AA181 = """", """", GOOGLETRANSLATE(AA181, ""en"", ""hi""))"),"")</f>
        <v/>
      </c>
      <c r="AF181" s="5" t="str">
        <f ca="1">IFERROR(__xludf.DUMMYFUNCTION("IF(AB181 = """", """", GOOGLETRANSLATE(AB181, ""en"", ""hi""))"),"")</f>
        <v/>
      </c>
      <c r="AG181" s="5" t="str">
        <f ca="1">IFERROR(__xludf.DUMMYFUNCTION("IF(Y181 = """", """", GOOGLETRANSLATE(Y181, ""en"", ""mr""))"),"")</f>
        <v/>
      </c>
      <c r="AH181" s="5" t="str">
        <f ca="1">IFERROR(__xludf.DUMMYFUNCTION("IF(Z181 = """", """", GOOGLETRANSLATE(Z181, ""en"", ""mr""))"),"")</f>
        <v/>
      </c>
      <c r="AI181" s="5" t="str">
        <f ca="1">IFERROR(__xludf.DUMMYFUNCTION("IF(AA181 = """", """", GOOGLETRANSLATE(AA181, ""en"", ""mr""))"),"")</f>
        <v/>
      </c>
      <c r="AJ181" s="5" t="str">
        <f ca="1">IFERROR(__xludf.DUMMYFUNCTION("IF(AB181 = """", """", GOOGLETRANSLATE(AB181, ""en"", ""mr""))"),"")</f>
        <v/>
      </c>
      <c r="AK181" s="5" t="str">
        <f ca="1">IFERROR(__xludf.DUMMYFUNCTION("IF(Y181 = """", """", GOOGLETRANSLATE(Y181, ""en"", ""gu""))"),"")</f>
        <v/>
      </c>
      <c r="AL181" s="5" t="str">
        <f ca="1">IFERROR(__xludf.DUMMYFUNCTION("IF(Z181 = """", """", GOOGLETRANSLATE(Z181, ""en"", ""gu""))"),"")</f>
        <v/>
      </c>
      <c r="AM181" s="5" t="str">
        <f ca="1">IFERROR(__xludf.DUMMYFUNCTION("IF(AA181 = """", """", GOOGLETRANSLATE(AA181, ""en"", ""gu""))"),"")</f>
        <v/>
      </c>
      <c r="AN181" s="5" t="str">
        <f ca="1">IFERROR(__xludf.DUMMYFUNCTION("IF(AB181 = """", """", GOOGLETRANSLATE(AB181, ""en"", ""gu""))"),"")</f>
        <v/>
      </c>
      <c r="AO181" s="5" t="str">
        <f ca="1">IFERROR(__xludf.DUMMYFUNCTION("IF(Y181 = """", """", GOOGLETRANSLATE(Y181, ""en"", ""bn""))"),"")</f>
        <v/>
      </c>
      <c r="AP181" s="5" t="str">
        <f ca="1">IFERROR(__xludf.DUMMYFUNCTION("IF(Z181 = """", """", GOOGLETRANSLATE(Z181, ""en"", ""bn""))"),"")</f>
        <v/>
      </c>
      <c r="AQ181" s="5" t="str">
        <f ca="1">IFERROR(__xludf.DUMMYFUNCTION("IF(AA181 = """", """", GOOGLETRANSLATE(AA181, ""en"", ""bn""))"),"")</f>
        <v/>
      </c>
      <c r="AR181" s="5" t="str">
        <f ca="1">IFERROR(__xludf.DUMMYFUNCTION("IF(AB181 = """", """", GOOGLETRANSLATE(AB181, ""en"", ""bn""))"),"")</f>
        <v/>
      </c>
      <c r="AU181" s="5" t="str">
        <f ca="1">IFERROR(__xludf.DUMMYFUNCTION("IF(Y181 = """", """", GOOGLETRANSLATE(Y181, ""en"", ""te""))"),"")</f>
        <v/>
      </c>
      <c r="AV181" s="5" t="str">
        <f ca="1">IFERROR(__xludf.DUMMYFUNCTION("IF(Z181 = """", """", GOOGLETRANSLATE(Z181, ""en"", ""te""))"),"")</f>
        <v/>
      </c>
      <c r="AW181" s="5" t="str">
        <f ca="1">IFERROR(__xludf.DUMMYFUNCTION("IF(AA181 = """", """", GOOGLETRANSLATE(AA181, ""en"", ""te""))"),"")</f>
        <v/>
      </c>
      <c r="AX181" s="5" t="str">
        <f ca="1">IFERROR(__xludf.DUMMYFUNCTION("IF(AB181 = """", """", GOOGLETRANSLATE(AB181, ""en"", ""te""))"),"")</f>
        <v/>
      </c>
    </row>
    <row r="182" spans="1:50" x14ac:dyDescent="0.25">
      <c r="A182" s="1">
        <v>196</v>
      </c>
      <c r="B182" s="1" t="s">
        <v>56</v>
      </c>
      <c r="C182" s="8">
        <v>45838</v>
      </c>
      <c r="D182" s="8">
        <v>45838</v>
      </c>
      <c r="E182" s="1">
        <v>1</v>
      </c>
      <c r="F182" s="1">
        <v>1</v>
      </c>
      <c r="G182" s="3" t="s">
        <v>548</v>
      </c>
      <c r="H182" s="4">
        <v>1.1030092592592593E-2</v>
      </c>
      <c r="I182" s="4">
        <v>1.4236111111111112E-3</v>
      </c>
      <c r="J182" s="4">
        <v>1.8287037037037037E-3</v>
      </c>
      <c r="K182" s="1" t="s">
        <v>58</v>
      </c>
      <c r="L182" s="1" t="s">
        <v>142</v>
      </c>
      <c r="M182" s="1" t="s">
        <v>14</v>
      </c>
      <c r="O182" s="1" t="s">
        <v>61</v>
      </c>
      <c r="P182" s="1" t="s">
        <v>61</v>
      </c>
      <c r="Q182" s="1" t="s">
        <v>61</v>
      </c>
      <c r="R182" s="1" t="s">
        <v>61</v>
      </c>
      <c r="S182" s="1" t="s">
        <v>61</v>
      </c>
      <c r="T182" s="1" t="s">
        <v>61</v>
      </c>
      <c r="V182" s="1" t="s">
        <v>61</v>
      </c>
      <c r="W182" s="1" t="s">
        <v>61</v>
      </c>
      <c r="X182" s="1" t="s">
        <v>61</v>
      </c>
      <c r="Y182" s="1" t="s">
        <v>561</v>
      </c>
      <c r="Z182" s="1" t="s">
        <v>562</v>
      </c>
      <c r="AA182" s="1" t="s">
        <v>563</v>
      </c>
      <c r="AB182" s="1"/>
      <c r="AC182" s="5" t="str">
        <f ca="1">IFERROR(__xludf.DUMMYFUNCTION("IF(Y182 = """", """", GOOGLETRANSLATE(Y182, ""en"", ""hi""))
"),"लंबित कार्यों को पूरा करने के लिए अच्छा सप्ताह")</f>
        <v>लंबित कार्यों को पूरा करने के लिए अच्छा सप्ताह</v>
      </c>
      <c r="AD182" s="5" t="str">
        <f ca="1">IFERROR(__xludf.DUMMYFUNCTION("IF(Z182 = """", """", GOOGLETRANSLATE(Z182, ""en"", ""hi""))"),"बच्चों से संबंधित चिंताओं से राहत")</f>
        <v>बच्चों से संबंधित चिंताओं से राहत</v>
      </c>
      <c r="AE182" s="5" t="str">
        <f ca="1">IFERROR(__xludf.DUMMYFUNCTION("IF(AA182 = """", """", GOOGLETRANSLATE(AA182, ""en"", ""hi""))"),"छोटे-मोटे अप्रत्याशित खर्च संभव")</f>
        <v>छोटे-मोटे अप्रत्याशित खर्च संभव</v>
      </c>
      <c r="AF182" s="5" t="str">
        <f ca="1">IFERROR(__xludf.DUMMYFUNCTION("IF(AB182 = """", """", GOOGLETRANSLATE(AB182, ""en"", ""hi""))"),"")</f>
        <v/>
      </c>
      <c r="AG182" s="5" t="str">
        <f ca="1">IFERROR(__xludf.DUMMYFUNCTION("IF(Y182 = """", """", GOOGLETRANSLATE(Y182, ""en"", ""mr""))"),"प्रलंबित कामे पूर्ण करण्यासाठी आठवडा चांगला आहे")</f>
        <v>प्रलंबित कामे पूर्ण करण्यासाठी आठवडा चांगला आहे</v>
      </c>
      <c r="AH182" s="5" t="str">
        <f ca="1">IFERROR(__xludf.DUMMYFUNCTION("IF(Z182 = """", """", GOOGLETRANSLATE(Z182, ""en"", ""mr""))"),"मुलांशी संबंधित चिंतांपासून मुक्तता")</f>
        <v>मुलांशी संबंधित चिंतांपासून मुक्तता</v>
      </c>
      <c r="AI182" s="5" t="str">
        <f ca="1">IFERROR(__xludf.DUMMYFUNCTION("IF(AA182 = """", """", GOOGLETRANSLATE(AA182, ""en"", ""mr""))"),"किरकोळ अनपेक्षित खर्च संभवतो")</f>
        <v>किरकोळ अनपेक्षित खर्च संभवतो</v>
      </c>
      <c r="AJ182" s="5" t="str">
        <f ca="1">IFERROR(__xludf.DUMMYFUNCTION("IF(AB182 = """", """", GOOGLETRANSLATE(AB182, ""en"", ""mr""))"),"")</f>
        <v/>
      </c>
      <c r="AK182" s="5" t="str">
        <f ca="1">IFERROR(__xludf.DUMMYFUNCTION("IF(Y182 = """", """", GOOGLETRANSLATE(Y182, ""en"", ""gu""))"),"અટકેલા કાર્યો પૂરા કરવા માટે સપ્તાહ શુભ છે")</f>
        <v>અટકેલા કાર્યો પૂરા કરવા માટે સપ્તાહ શુભ છે</v>
      </c>
      <c r="AL182" s="5" t="str">
        <f ca="1">IFERROR(__xludf.DUMMYFUNCTION("IF(Z182 = """", """", GOOGLETRANSLATE(Z182, ""en"", ""gu""))"),"સંતાન સંબંધી ચિંતાઓમાંથી રાહત")</f>
        <v>સંતાન સંબંધી ચિંતાઓમાંથી રાહત</v>
      </c>
      <c r="AM182" s="5" t="str">
        <f ca="1">IFERROR(__xludf.DUMMYFUNCTION("IF(AA182 = """", """", GOOGLETRANSLATE(AA182, ""en"", ""gu""))"),"નાના અણધાર્યા ખર્ચાઓ શક્ય છે")</f>
        <v>નાના અણધાર્યા ખર્ચાઓ શક્ય છે</v>
      </c>
      <c r="AN182" s="5" t="str">
        <f ca="1">IFERROR(__xludf.DUMMYFUNCTION("IF(AB182 = """", """", GOOGLETRANSLATE(AB182, ""en"", ""gu""))"),"")</f>
        <v/>
      </c>
      <c r="AO182" s="5" t="str">
        <f ca="1">IFERROR(__xludf.DUMMYFUNCTION("IF(Y182 = """", """", GOOGLETRANSLATE(Y182, ""en"", ""bn""))"),"অমীমাংসিত কাজ শেষ করার জন্য সপ্তাহটি শুভ")</f>
        <v>অমীমাংসিত কাজ শেষ করার জন্য সপ্তাহটি শুভ</v>
      </c>
      <c r="AP182" s="5" t="str">
        <f ca="1">IFERROR(__xludf.DUMMYFUNCTION("IF(Z182 = """", """", GOOGLETRANSLATE(Z182, ""en"", ""bn""))"),"সন্তান-সম্পর্কিত উদ্বেগ থেকে মুক্তি")</f>
        <v>সন্তান-সম্পর্কিত উদ্বেগ থেকে মুক্তি</v>
      </c>
      <c r="AQ182" s="5" t="str">
        <f ca="1">IFERROR(__xludf.DUMMYFUNCTION("IF(AA182 = """", """", GOOGLETRANSLATE(AA182, ""en"", ""bn""))"),"সামান্য অপ্রত্যাশিত ব্যয় সম্ভব")</f>
        <v>সামান্য অপ্রত্যাশিত ব্যয় সম্ভব</v>
      </c>
      <c r="AR182" s="5" t="str">
        <f ca="1">IFERROR(__xludf.DUMMYFUNCTION("IF(AB182 = """", """", GOOGLETRANSLATE(AB182, ""en"", ""bn""))"),"")</f>
        <v/>
      </c>
      <c r="AU182" s="5" t="str">
        <f ca="1">IFERROR(__xludf.DUMMYFUNCTION("IF(Y182 = """", """", GOOGLETRANSLATE(Y182, ""en"", ""te""))"),"పెండింగ్ పనులు పూర్తి చేయడానికి మంచి వారం")</f>
        <v>పెండింగ్ పనులు పూర్తి చేయడానికి మంచి వారం</v>
      </c>
      <c r="AV182" s="5" t="str">
        <f ca="1">IFERROR(__xludf.DUMMYFUNCTION("IF(Z182 = """", """", GOOGLETRANSLATE(Z182, ""en"", ""te""))"),"పిల్లల సంబంధిత ఆందోళనల నుండి ఉపశమనం")</f>
        <v>పిల్లల సంబంధిత ఆందోళనల నుండి ఉపశమనం</v>
      </c>
      <c r="AW182" s="5" t="str">
        <f ca="1">IFERROR(__xludf.DUMMYFUNCTION("IF(AA182 = """", """", GOOGLETRANSLATE(AA182, ""en"", ""te""))"),"అనుకోని చిన్న ఖర్చులు వచ్చే అవకాశం ఉంది")</f>
        <v>అనుకోని చిన్న ఖర్చులు వచ్చే అవకాశం ఉంది</v>
      </c>
      <c r="AX182" s="5" t="str">
        <f ca="1">IFERROR(__xludf.DUMMYFUNCTION("IF(AB182 = """", """", GOOGLETRANSLATE(AB182, ""en"", ""te""))"),"")</f>
        <v/>
      </c>
    </row>
    <row r="183" spans="1:50" x14ac:dyDescent="0.25">
      <c r="A183" s="1">
        <v>197</v>
      </c>
      <c r="B183" s="1" t="s">
        <v>56</v>
      </c>
      <c r="C183" s="8">
        <v>45838</v>
      </c>
      <c r="D183" s="8">
        <v>45838</v>
      </c>
      <c r="E183" s="1">
        <v>2</v>
      </c>
      <c r="F183" s="1">
        <v>1</v>
      </c>
      <c r="G183" s="3" t="s">
        <v>548</v>
      </c>
      <c r="H183" s="4">
        <v>1.1030092592592593E-2</v>
      </c>
      <c r="I183" s="4">
        <v>1.8287037037037037E-3</v>
      </c>
      <c r="J183" s="4">
        <v>2.4074074074074076E-3</v>
      </c>
      <c r="K183" s="1" t="s">
        <v>58</v>
      </c>
      <c r="L183" s="1" t="s">
        <v>90</v>
      </c>
      <c r="M183" s="1" t="s">
        <v>19</v>
      </c>
      <c r="O183" s="1" t="s">
        <v>61</v>
      </c>
      <c r="P183" s="1" t="s">
        <v>61</v>
      </c>
      <c r="Q183" s="1" t="s">
        <v>61</v>
      </c>
      <c r="R183" s="1" t="s">
        <v>61</v>
      </c>
      <c r="S183" s="1" t="s">
        <v>61</v>
      </c>
      <c r="T183" s="1" t="s">
        <v>61</v>
      </c>
      <c r="V183" s="1" t="s">
        <v>61</v>
      </c>
      <c r="W183" s="1" t="s">
        <v>61</v>
      </c>
      <c r="X183" s="1" t="s">
        <v>61</v>
      </c>
      <c r="Y183" s="1" t="s">
        <v>564</v>
      </c>
      <c r="Z183" s="1" t="s">
        <v>565</v>
      </c>
      <c r="AA183" s="1" t="s">
        <v>566</v>
      </c>
      <c r="AB183" s="1"/>
      <c r="AC183" s="5" t="str">
        <f ca="1">IFERROR(__xludf.DUMMYFUNCTION("IF(Y183 = """", """", GOOGLETRANSLATE(Y183, ""en"", ""hi""))
"),"निर्णय लेने में जल्दबाजी से बचें")</f>
        <v>निर्णय लेने में जल्दबाजी से बचें</v>
      </c>
      <c r="AD183" s="5" t="str">
        <f ca="1">IFERROR(__xludf.DUMMYFUNCTION("IF(Z183 = """", """", GOOGLETRANSLATE(Z183, ""en"", ""hi""))"),"करीबी लोगों के साथ बहस की संभावना")</f>
        <v>करीबी लोगों के साथ बहस की संभावना</v>
      </c>
      <c r="AE183" s="5" t="str">
        <f ca="1">IFERROR(__xludf.DUMMYFUNCTION("IF(AA183 = """", """", GOOGLETRANSLATE(AA183, ""en"", ""hi""))"),"यदि शांति से नहीं निपटा गया तो दिन उल्टा पड़ सकता है")</f>
        <v>यदि शांति से नहीं निपटा गया तो दिन उल्टा पड़ सकता है</v>
      </c>
      <c r="AF183" s="5" t="str">
        <f ca="1">IFERROR(__xludf.DUMMYFUNCTION("IF(AB183 = """", """", GOOGLETRANSLATE(AB183, ""en"", ""hi""))"),"")</f>
        <v/>
      </c>
      <c r="AG183" s="5" t="str">
        <f ca="1">IFERROR(__xludf.DUMMYFUNCTION("IF(Y183 = """", """", GOOGLETRANSLATE(Y183, ""en"", ""mr""))"),"निर्णयात घाई टाळा")</f>
        <v>निर्णयात घाई टाळा</v>
      </c>
      <c r="AH183" s="5" t="str">
        <f ca="1">IFERROR(__xludf.DUMMYFUNCTION("IF(Z183 = """", """", GOOGLETRANSLATE(Z183, ""en"", ""mr""))"),"जवळच्या लोकांशी वाद होण्याची शक्यता")</f>
        <v>जवळच्या लोकांशी वाद होण्याची शक्यता</v>
      </c>
      <c r="AI183" s="5" t="str">
        <f ca="1">IFERROR(__xludf.DUMMYFUNCTION("IF(AA183 = """", """", GOOGLETRANSLATE(AA183, ""en"", ""mr""))"),"शांतपणे हाताळले नाही तर दिवस उलटू शकतो")</f>
        <v>शांतपणे हाताळले नाही तर दिवस उलटू शकतो</v>
      </c>
      <c r="AJ183" s="5" t="str">
        <f ca="1">IFERROR(__xludf.DUMMYFUNCTION("IF(AB183 = """", """", GOOGLETRANSLATE(AB183, ""en"", ""mr""))"),"")</f>
        <v/>
      </c>
      <c r="AK183" s="5" t="str">
        <f ca="1">IFERROR(__xludf.DUMMYFUNCTION("IF(Y183 = """", """", GOOGLETRANSLATE(Y183, ""en"", ""gu""))"),"નિર્ણયોમાં ઉતાવળ ટાળો")</f>
        <v>નિર્ણયોમાં ઉતાવળ ટાળો</v>
      </c>
      <c r="AL183" s="5" t="str">
        <f ca="1">IFERROR(__xludf.DUMMYFUNCTION("IF(Z183 = """", """", GOOGLETRANSLATE(Z183, ""en"", ""gu""))"),"નજીકના લોકો સાથે દલીલો થવાની શક્યતા")</f>
        <v>નજીકના લોકો સાથે દલીલો થવાની શક્યતા</v>
      </c>
      <c r="AM183" s="5" t="str">
        <f ca="1">IFERROR(__xludf.DUMMYFUNCTION("IF(AA183 = """", """", GOOGLETRANSLATE(AA183, ""en"", ""gu""))"),"જો શાંતિથી સંભાળવામાં ન આવે તો દિવસ પાછળ ફરી શકે છે")</f>
        <v>જો શાંતિથી સંભાળવામાં ન આવે તો દિવસ પાછળ ફરી શકે છે</v>
      </c>
      <c r="AN183" s="5" t="str">
        <f ca="1">IFERROR(__xludf.DUMMYFUNCTION("IF(AB183 = """", """", GOOGLETRANSLATE(AB183, ""en"", ""gu""))"),"")</f>
        <v/>
      </c>
      <c r="AO183" s="5" t="str">
        <f ca="1">IFERROR(__xludf.DUMMYFUNCTION("IF(Y183 = """", """", GOOGLETRANSLATE(Y183, ""en"", ""bn""))"),"সিদ্ধান্তে তাড়াহুড়ো এড়িয়ে চলুন")</f>
        <v>সিদ্ধান্তে তাড়াহুড়ো এড়িয়ে চলুন</v>
      </c>
      <c r="AP183" s="5" t="str">
        <f ca="1">IFERROR(__xludf.DUMMYFUNCTION("IF(Z183 = """", """", GOOGLETRANSLATE(Z183, ""en"", ""bn""))"),"ঘনিষ্ঠদের সাথে তর্কের সম্ভাবনা")</f>
        <v>ঘনিষ্ঠদের সাথে তর্কের সম্ভাবনা</v>
      </c>
      <c r="AQ183" s="5" t="str">
        <f ca="1">IFERROR(__xludf.DUMMYFUNCTION("IF(AA183 = """", """", GOOGLETRANSLATE(AA183, ""en"", ""bn""))"),"শান্তভাবে সামাল না দিলে দিন ফেরত যেতে পারে")</f>
        <v>শান্তভাবে সামাল না দিলে দিন ফেরত যেতে পারে</v>
      </c>
      <c r="AR183" s="5" t="str">
        <f ca="1">IFERROR(__xludf.DUMMYFUNCTION("IF(AB183 = """", """", GOOGLETRANSLATE(AB183, ""en"", ""bn""))"),"")</f>
        <v/>
      </c>
      <c r="AU183" s="5" t="str">
        <f ca="1">IFERROR(__xludf.DUMMYFUNCTION("IF(Y183 = """", """", GOOGLETRANSLATE(Y183, ""en"", ""te""))"),"నిర్ణయాలలో తొందరపాటు మానుకోండి")</f>
        <v>నిర్ణయాలలో తొందరపాటు మానుకోండి</v>
      </c>
      <c r="AV183" s="5" t="str">
        <f ca="1">IFERROR(__xludf.DUMMYFUNCTION("IF(Z183 = """", """", GOOGLETRANSLATE(Z183, ""en"", ""te""))"),"సన్నిహితులతో వాదనలకు అవకాశం")</f>
        <v>సన్నిహితులతో వాదనలకు అవకాశం</v>
      </c>
      <c r="AW183" s="5" t="str">
        <f ca="1">IFERROR(__xludf.DUMMYFUNCTION("IF(AA183 = """", """", GOOGLETRANSLATE(AA183, ""en"", ""te""))"),"ప్రశాంతంగా నిర్వహించకపోతే రోజు ఎదురుదెబ్బ తగలవచ్చు")</f>
        <v>ప్రశాంతంగా నిర్వహించకపోతే రోజు ఎదురుదెబ్బ తగలవచ్చు</v>
      </c>
      <c r="AX183" s="5" t="str">
        <f ca="1">IFERROR(__xludf.DUMMYFUNCTION("IF(AB183 = """", """", GOOGLETRANSLATE(AB183, ""en"", ""te""))"),"")</f>
        <v/>
      </c>
    </row>
    <row r="184" spans="1:50" x14ac:dyDescent="0.25">
      <c r="A184" s="1">
        <v>198</v>
      </c>
      <c r="B184" s="1" t="s">
        <v>56</v>
      </c>
      <c r="C184" s="8">
        <v>45838</v>
      </c>
      <c r="D184" s="8">
        <v>45838</v>
      </c>
      <c r="E184" s="1">
        <v>3</v>
      </c>
      <c r="F184" s="1">
        <v>1</v>
      </c>
      <c r="G184" s="3" t="s">
        <v>548</v>
      </c>
      <c r="H184" s="4">
        <v>1.1030092592592593E-2</v>
      </c>
      <c r="I184" s="4">
        <v>2.4074074074074076E-3</v>
      </c>
      <c r="J184" s="4">
        <v>3.2407407407407406E-3</v>
      </c>
      <c r="K184" s="1" t="s">
        <v>58</v>
      </c>
      <c r="L184" s="1" t="s">
        <v>97</v>
      </c>
      <c r="M184" s="1" t="s">
        <v>14</v>
      </c>
      <c r="O184" s="1" t="s">
        <v>61</v>
      </c>
      <c r="P184" s="1" t="s">
        <v>61</v>
      </c>
      <c r="Q184" s="1" t="s">
        <v>61</v>
      </c>
      <c r="R184" s="1" t="s">
        <v>61</v>
      </c>
      <c r="S184" s="1" t="s">
        <v>61</v>
      </c>
      <c r="T184" s="1" t="s">
        <v>61</v>
      </c>
      <c r="V184" s="1" t="s">
        <v>61</v>
      </c>
      <c r="W184" s="1" t="s">
        <v>61</v>
      </c>
      <c r="X184" s="1" t="s">
        <v>61</v>
      </c>
      <c r="Y184" s="1" t="s">
        <v>567</v>
      </c>
      <c r="Z184" s="1" t="s">
        <v>568</v>
      </c>
      <c r="AA184" s="1" t="s">
        <v>569</v>
      </c>
      <c r="AB184" s="1"/>
      <c r="AC184" s="5" t="str">
        <f ca="1">IFERROR(__xludf.DUMMYFUNCTION("IF(Y184 = """", """", GOOGLETRANSLATE(Y184, ""en"", ""hi""))
"),"नौकरी के अवसर या पदोन्नति संभव")</f>
        <v>नौकरी के अवसर या पदोन्नति संभव</v>
      </c>
      <c r="AD184" s="5" t="str">
        <f ca="1">IFERROR(__xludf.DUMMYFUNCTION("IF(Z184 = """", """", GOOGLETRANSLATE(Z184, ""en"", ""hi""))"),"विदेश से संबंधित कार्य अनुकूल")</f>
        <v>विदेश से संबंधित कार्य अनुकूल</v>
      </c>
      <c r="AE184" s="5" t="str">
        <f ca="1">IFERROR(__xludf.DUMMYFUNCTION("IF(AA184 = """", """", GOOGLETRANSLATE(AA184, ""en"", ""hi""))"),"बच्चों और बुजुर्गों के स्वास्थ्य पर ध्यान दें")</f>
        <v>बच्चों और बुजुर्गों के स्वास्थ्य पर ध्यान दें</v>
      </c>
      <c r="AF184" s="5" t="str">
        <f ca="1">IFERROR(__xludf.DUMMYFUNCTION("IF(AB184 = """", """", GOOGLETRANSLATE(AB184, ""en"", ""hi""))"),"")</f>
        <v/>
      </c>
      <c r="AG184" s="5" t="str">
        <f ca="1">IFERROR(__xludf.DUMMYFUNCTION("IF(Y184 = """", """", GOOGLETRANSLATE(Y184, ""en"", ""mr""))"),"नोकरीच्या संधी किंवा बढती संभवतात")</f>
        <v>नोकरीच्या संधी किंवा बढती संभवतात</v>
      </c>
      <c r="AH184" s="5" t="str">
        <f ca="1">IFERROR(__xludf.DUMMYFUNCTION("IF(Z184 = """", """", GOOGLETRANSLATE(Z184, ""en"", ""mr""))"),"परदेशाशी संबंधित काम अनुकूल")</f>
        <v>परदेशाशी संबंधित काम अनुकूल</v>
      </c>
      <c r="AI184" s="5" t="str">
        <f ca="1">IFERROR(__xludf.DUMMYFUNCTION("IF(AA184 = """", """", GOOGLETRANSLATE(AA184, ""en"", ""mr""))"),"लहान मुलांचे आणि मोठ्यांचे आरोग्य पहा")</f>
        <v>लहान मुलांचे आणि मोठ्यांचे आरोग्य पहा</v>
      </c>
      <c r="AJ184" s="5" t="str">
        <f ca="1">IFERROR(__xludf.DUMMYFUNCTION("IF(AB184 = """", """", GOOGLETRANSLATE(AB184, ""en"", ""mr""))"),"")</f>
        <v/>
      </c>
      <c r="AK184" s="5" t="str">
        <f ca="1">IFERROR(__xludf.DUMMYFUNCTION("IF(Y184 = """", """", GOOGLETRANSLATE(Y184, ""en"", ""gu""))"),"નોકરીની તકો અથવા પ્રમોશન શક્ય છે")</f>
        <v>નોકરીની તકો અથવા પ્રમોશન શક્ય છે</v>
      </c>
      <c r="AL184" s="5" t="str">
        <f ca="1">IFERROR(__xludf.DUMMYFUNCTION("IF(Z184 = """", """", GOOGLETRANSLATE(Z184, ""en"", ""gu""))"),"વિદેશ સંબંધિત કામ સાનુકૂળ")</f>
        <v>વિદેશ સંબંધિત કામ સાનુકૂળ</v>
      </c>
      <c r="AM184" s="5" t="str">
        <f ca="1">IFERROR(__xludf.DUMMYFUNCTION("IF(AA184 = """", """", GOOGLETRANSLATE(AA184, ""en"", ""gu""))"),"બાળક અને વડીલના સ્વાસ્થ્યનું ધ્યાન રાખો")</f>
        <v>બાળક અને વડીલના સ્વાસ્થ્યનું ધ્યાન રાખો</v>
      </c>
      <c r="AN184" s="5" t="str">
        <f ca="1">IFERROR(__xludf.DUMMYFUNCTION("IF(AB184 = """", """", GOOGLETRANSLATE(AB184, ""en"", ""gu""))"),"")</f>
        <v/>
      </c>
      <c r="AO184" s="5" t="str">
        <f ca="1">IFERROR(__xludf.DUMMYFUNCTION("IF(Y184 = """", """", GOOGLETRANSLATE(Y184, ""en"", ""bn""))"),"চাকরির সুযোগ বা পদোন্নতির সম্ভাবনা")</f>
        <v>চাকরির সুযোগ বা পদোন্নতির সম্ভাবনা</v>
      </c>
      <c r="AP184" s="5" t="str">
        <f ca="1">IFERROR(__xludf.DUMMYFUNCTION("IF(Z184 = """", """", GOOGLETRANSLATE(Z184, ""en"", ""bn""))"),"বৈদেশিক কাজের সুবিধা")</f>
        <v>বৈদেশিক কাজের সুবিধা</v>
      </c>
      <c r="AQ184" s="5" t="str">
        <f ca="1">IFERROR(__xludf.DUMMYFUNCTION("IF(AA184 = """", """", GOOGLETRANSLATE(AA184, ""en"", ""bn""))"),"শিশু এবং বয়স্ক স্বাস্থ্যের দিকে নজর রাখুন")</f>
        <v>শিশু এবং বয়স্ক স্বাস্থ্যের দিকে নজর রাখুন</v>
      </c>
      <c r="AR184" s="5" t="str">
        <f ca="1">IFERROR(__xludf.DUMMYFUNCTION("IF(AB184 = """", """", GOOGLETRANSLATE(AB184, ""en"", ""bn""))"),"")</f>
        <v/>
      </c>
      <c r="AU184" s="5" t="str">
        <f ca="1">IFERROR(__xludf.DUMMYFUNCTION("IF(Y184 = """", """", GOOGLETRANSLATE(Y184, ""en"", ""te""))"),"ఉద్యోగ అవకాశాలు లేదా ప్రమోషన్లు సాధ్యమే")</f>
        <v>ఉద్యోగ అవకాశాలు లేదా ప్రమోషన్లు సాధ్యమే</v>
      </c>
      <c r="AV184" s="5" t="str">
        <f ca="1">IFERROR(__xludf.DUMMYFUNCTION("IF(Z184 = """", """", GOOGLETRANSLATE(Z184, ""en"", ""te""))"),"విదేశీ వ్యవహారాలు అనుకూలిస్తాయి")</f>
        <v>విదేశీ వ్యవహారాలు అనుకూలిస్తాయి</v>
      </c>
      <c r="AW184" s="5" t="str">
        <f ca="1">IFERROR(__xludf.DUMMYFUNCTION("IF(AA184 = """", """", GOOGLETRANSLATE(AA184, ""en"", ""te""))"),"పిల్లల మరియు పెద్దల ఆరోగ్యాన్ని గమనించండి")</f>
        <v>పిల్లల మరియు పెద్దల ఆరోగ్యాన్ని గమనించండి</v>
      </c>
      <c r="AX184" s="5" t="str">
        <f ca="1">IFERROR(__xludf.DUMMYFUNCTION("IF(AB184 = """", """", GOOGLETRANSLATE(AB184, ""en"", ""te""))"),"")</f>
        <v/>
      </c>
    </row>
    <row r="185" spans="1:50" x14ac:dyDescent="0.25">
      <c r="A185" s="1">
        <v>199</v>
      </c>
      <c r="B185" s="1" t="s">
        <v>56</v>
      </c>
      <c r="C185" s="8">
        <v>45838</v>
      </c>
      <c r="D185" s="8">
        <v>45838</v>
      </c>
      <c r="E185" s="1">
        <v>4</v>
      </c>
      <c r="F185" s="1">
        <v>1</v>
      </c>
      <c r="G185" s="3" t="s">
        <v>548</v>
      </c>
      <c r="H185" s="4">
        <v>1.1030092592592593E-2</v>
      </c>
      <c r="I185" s="4">
        <v>3.2407407407407406E-3</v>
      </c>
      <c r="J185" s="4">
        <v>3.7037037037037038E-3</v>
      </c>
      <c r="K185" s="1" t="s">
        <v>58</v>
      </c>
      <c r="L185" s="1" t="s">
        <v>102</v>
      </c>
      <c r="M185" s="1" t="s">
        <v>14</v>
      </c>
      <c r="O185" s="1" t="s">
        <v>61</v>
      </c>
      <c r="P185" s="1" t="s">
        <v>61</v>
      </c>
      <c r="Q185" s="1" t="s">
        <v>61</v>
      </c>
      <c r="R185" s="1" t="s">
        <v>61</v>
      </c>
      <c r="S185" s="1" t="s">
        <v>61</v>
      </c>
      <c r="T185" s="1" t="s">
        <v>61</v>
      </c>
      <c r="V185" s="1" t="s">
        <v>61</v>
      </c>
      <c r="W185" s="1" t="s">
        <v>61</v>
      </c>
      <c r="X185" s="1" t="s">
        <v>61</v>
      </c>
      <c r="Y185" s="1" t="s">
        <v>570</v>
      </c>
      <c r="Z185" s="1" t="s">
        <v>571</v>
      </c>
      <c r="AA185" s="1" t="s">
        <v>572</v>
      </c>
      <c r="AB185" s="1"/>
      <c r="AC185" s="5" t="str">
        <f ca="1">IFERROR(__xludf.DUMMYFUNCTION("IF(Y185 = """", """", GOOGLETRANSLATE(Y185, ""en"", ""hi""))
"),"उधार दिया गया पैसा वापस आ सकता है")</f>
        <v>उधार दिया गया पैसा वापस आ सकता है</v>
      </c>
      <c r="AD185" s="5" t="str">
        <f ca="1">IFERROR(__xludf.DUMMYFUNCTION("IF(Z185 = """", """", GOOGLETRANSLATE(Z185, ""en"", ""hi""))"),"सम्मान और मान्यता में वृद्धि")</f>
        <v>सम्मान और मान्यता में वृद्धि</v>
      </c>
      <c r="AE185" s="5" t="str">
        <f ca="1">IFERROR(__xludf.DUMMYFUNCTION("IF(AA185 = """", """", GOOGLETRANSLATE(AA185, ""en"", ""hi""))"),"कड़ी मेहनत और योजना से मिलेगी सफलता")</f>
        <v>कड़ी मेहनत और योजना से मिलेगी सफलता</v>
      </c>
      <c r="AF185" s="5" t="str">
        <f ca="1">IFERROR(__xludf.DUMMYFUNCTION("IF(AB185 = """", """", GOOGLETRANSLATE(AB185, ""en"", ""hi""))"),"")</f>
        <v/>
      </c>
      <c r="AG185" s="5" t="str">
        <f ca="1">IFERROR(__xludf.DUMMYFUNCTION("IF(Y185 = """", """", GOOGLETRANSLATE(Y185, ""en"", ""mr""))"),"दिलेले पैसे परत येऊ शकतात")</f>
        <v>दिलेले पैसे परत येऊ शकतात</v>
      </c>
      <c r="AH185" s="5" t="str">
        <f ca="1">IFERROR(__xludf.DUMMYFUNCTION("IF(Z185 = """", """", GOOGLETRANSLATE(Z185, ""en"", ""mr""))"),"आदर आणि ओळख वाढली")</f>
        <v>आदर आणि ओळख वाढली</v>
      </c>
      <c r="AI185" s="5" t="str">
        <f ca="1">IFERROR(__xludf.DUMMYFUNCTION("IF(AA185 = """", """", GOOGLETRANSLATE(AA185, ""en"", ""mr""))"),"मेहनत आणि नियोजनामुळे यश मिळेल")</f>
        <v>मेहनत आणि नियोजनामुळे यश मिळेल</v>
      </c>
      <c r="AJ185" s="5" t="str">
        <f ca="1">IFERROR(__xludf.DUMMYFUNCTION("IF(AB185 = """", """", GOOGLETRANSLATE(AB185, ""en"", ""mr""))"),"")</f>
        <v/>
      </c>
      <c r="AK185" s="5" t="str">
        <f ca="1">IFERROR(__xludf.DUMMYFUNCTION("IF(Y185 = """", """", GOOGLETRANSLATE(Y185, ""en"", ""gu""))"),"ઉધાર આપેલા પૈસા પાછા આવી શકે છે")</f>
        <v>ઉધાર આપેલા પૈસા પાછા આવી શકે છે</v>
      </c>
      <c r="AL185" s="5" t="str">
        <f ca="1">IFERROR(__xludf.DUMMYFUNCTION("IF(Z185 = """", """", GOOGLETRANSLATE(Z185, ""en"", ""gu""))"),"આદર અને માન્યતામાં વધારો")</f>
        <v>આદર અને માન્યતામાં વધારો</v>
      </c>
      <c r="AM185" s="5" t="str">
        <f ca="1">IFERROR(__xludf.DUMMYFUNCTION("IF(AA185 = """", """", GOOGLETRANSLATE(AA185, ""en"", ""gu""))"),"સખત મહેનત અને આયોજન સફળતા અપાવશે")</f>
        <v>સખત મહેનત અને આયોજન સફળતા અપાવશે</v>
      </c>
      <c r="AN185" s="5" t="str">
        <f ca="1">IFERROR(__xludf.DUMMYFUNCTION("IF(AB185 = """", """", GOOGLETRANSLATE(AB185, ""en"", ""gu""))"),"")</f>
        <v/>
      </c>
      <c r="AO185" s="5" t="str">
        <f ca="1">IFERROR(__xludf.DUMMYFUNCTION("IF(Y185 = """", """", GOOGLETRANSLATE(Y185, ""en"", ""bn""))"),"ধার দেওয়া টাকা ফেরত আসতে পারে")</f>
        <v>ধার দেওয়া টাকা ফেরত আসতে পারে</v>
      </c>
      <c r="AP185" s="5" t="str">
        <f ca="1">IFERROR(__xludf.DUMMYFUNCTION("IF(Z185 = """", """", GOOGLETRANSLATE(Z185, ""en"", ""bn""))"),"সম্মান এবং স্বীকৃতি বৃদ্ধি")</f>
        <v>সম্মান এবং স্বীকৃতি বৃদ্ধি</v>
      </c>
      <c r="AQ185" s="5" t="str">
        <f ca="1">IFERROR(__xludf.DUMMYFUNCTION("IF(AA185 = """", """", GOOGLETRANSLATE(AA185, ""en"", ""bn""))"),"কঠোর পরিশ্রম এবং পরিকল্পনা সাফল্য এনে দেবে")</f>
        <v>কঠোর পরিশ্রম এবং পরিকল্পনা সাফল্য এনে দেবে</v>
      </c>
      <c r="AR185" s="5" t="str">
        <f ca="1">IFERROR(__xludf.DUMMYFUNCTION("IF(AB185 = """", """", GOOGLETRANSLATE(AB185, ""en"", ""bn""))"),"")</f>
        <v/>
      </c>
      <c r="AU185" s="5" t="str">
        <f ca="1">IFERROR(__xludf.DUMMYFUNCTION("IF(Y185 = """", """", GOOGLETRANSLATE(Y185, ""en"", ""te""))"),"అప్పుగా ఇచ్చిన డబ్బు తిరిగి రావచ్చు")</f>
        <v>అప్పుగా ఇచ్చిన డబ్బు తిరిగి రావచ్చు</v>
      </c>
      <c r="AV185" s="5" t="str">
        <f ca="1">IFERROR(__xludf.DUMMYFUNCTION("IF(Z185 = """", """", GOOGLETRANSLATE(Z185, ""en"", ""te""))"),"గౌరవం మరియు గుర్తింపు పెరిగింది")</f>
        <v>గౌరవం మరియు గుర్తింపు పెరిగింది</v>
      </c>
      <c r="AW185" s="5" t="str">
        <f ca="1">IFERROR(__xludf.DUMMYFUNCTION("IF(AA185 = """", """", GOOGLETRANSLATE(AA185, ""en"", ""te""))"),"కఠోర శ్రమ, ప్రణాళికాబద్ధత విజయాన్ని అందిస్తాయి")</f>
        <v>కఠోర శ్రమ, ప్రణాళికాబద్ధత విజయాన్ని అందిస్తాయి</v>
      </c>
      <c r="AX185" s="5" t="str">
        <f ca="1">IFERROR(__xludf.DUMMYFUNCTION("IF(AB185 = """", """", GOOGLETRANSLATE(AB185, ""en"", ""te""))"),"")</f>
        <v/>
      </c>
    </row>
    <row r="186" spans="1:50" x14ac:dyDescent="0.25">
      <c r="A186" s="1">
        <v>200</v>
      </c>
      <c r="B186" s="1" t="s">
        <v>56</v>
      </c>
      <c r="C186" s="8">
        <v>45838</v>
      </c>
      <c r="D186" s="8">
        <v>45838</v>
      </c>
      <c r="E186" s="1">
        <v>5</v>
      </c>
      <c r="F186" s="1">
        <v>1</v>
      </c>
      <c r="G186" s="3" t="s">
        <v>548</v>
      </c>
      <c r="H186" s="4">
        <v>1.1030092592592593E-2</v>
      </c>
      <c r="I186" s="4">
        <v>3.7037037037037038E-3</v>
      </c>
      <c r="J186" s="4">
        <v>4.2476851851851851E-3</v>
      </c>
      <c r="K186" s="1" t="s">
        <v>58</v>
      </c>
      <c r="L186" s="1" t="s">
        <v>108</v>
      </c>
      <c r="M186" s="1" t="s">
        <v>14</v>
      </c>
      <c r="O186" s="1" t="s">
        <v>61</v>
      </c>
      <c r="P186" s="1" t="s">
        <v>61</v>
      </c>
      <c r="Q186" s="1" t="s">
        <v>61</v>
      </c>
      <c r="R186" s="1" t="s">
        <v>61</v>
      </c>
      <c r="S186" s="1" t="s">
        <v>61</v>
      </c>
      <c r="T186" s="1" t="s">
        <v>61</v>
      </c>
      <c r="V186" s="1" t="s">
        <v>61</v>
      </c>
      <c r="W186" s="1" t="s">
        <v>61</v>
      </c>
      <c r="X186" s="1" t="s">
        <v>61</v>
      </c>
      <c r="Y186" s="1" t="s">
        <v>573</v>
      </c>
      <c r="Z186" s="1" t="s">
        <v>574</v>
      </c>
      <c r="AA186" s="1" t="s">
        <v>575</v>
      </c>
      <c r="AB186" s="1"/>
      <c r="AC186" s="5" t="str">
        <f ca="1">IFERROR(__xludf.DUMMYFUNCTION("IF(Y186 = """", """", GOOGLETRANSLATE(Y186, ""en"", ""hi""))
"),"बड़े निर्णयों के लिए आदर्श समय")</f>
        <v>बड़े निर्णयों के लिए आदर्श समय</v>
      </c>
      <c r="AD186" s="5" t="str">
        <f ca="1">IFERROR(__xludf.DUMMYFUNCTION("IF(Z186 = """", """", GOOGLETRANSLATE(Z186, ""en"", ""hi""))"),"परिवार और दोस्तों से समर्थन")</f>
        <v>परिवार और दोस्तों से समर्थन</v>
      </c>
      <c r="AE186" s="5" t="str">
        <f ca="1">IFERROR(__xludf.DUMMYFUNCTION("IF(AA186 = """", """", GOOGLETRANSLATE(AA186, ""en"", ""hi""))"),"सरकारी काम पूरे हो सकते हैं")</f>
        <v>सरकारी काम पूरे हो सकते हैं</v>
      </c>
      <c r="AF186" s="5" t="str">
        <f ca="1">IFERROR(__xludf.DUMMYFUNCTION("IF(AB186 = """", """", GOOGLETRANSLATE(AB186, ""en"", ""hi""))"),"")</f>
        <v/>
      </c>
      <c r="AG186" s="5" t="str">
        <f ca="1">IFERROR(__xludf.DUMMYFUNCTION("IF(Y186 = """", """", GOOGLETRANSLATE(Y186, ""en"", ""mr""))"),"मोठे निर्णय घेण्यासाठी योग्य वेळ")</f>
        <v>मोठे निर्णय घेण्यासाठी योग्य वेळ</v>
      </c>
      <c r="AH186" s="5" t="str">
        <f ca="1">IFERROR(__xludf.DUMMYFUNCTION("IF(Z186 = """", """", GOOGLETRANSLATE(Z186, ""en"", ""mr""))"),"कुटुंब आणि मित्रांकडून सहकार्य मिळेल")</f>
        <v>कुटुंब आणि मित्रांकडून सहकार्य मिळेल</v>
      </c>
      <c r="AI186" s="5" t="str">
        <f ca="1">IFERROR(__xludf.DUMMYFUNCTION("IF(AA186 = """", """", GOOGLETRANSLATE(AA186, ""en"", ""mr""))"),"सरकारी कामे पूर्ण होऊ शकतात")</f>
        <v>सरकारी कामे पूर्ण होऊ शकतात</v>
      </c>
      <c r="AJ186" s="5" t="str">
        <f ca="1">IFERROR(__xludf.DUMMYFUNCTION("IF(AB186 = """", """", GOOGLETRANSLATE(AB186, ""en"", ""mr""))"),"")</f>
        <v/>
      </c>
      <c r="AK186" s="5" t="str">
        <f ca="1">IFERROR(__xludf.DUMMYFUNCTION("IF(Y186 = """", """", GOOGLETRANSLATE(Y186, ""en"", ""gu""))"),"મોટા નિર્ણયો માટે યોગ્ય સમય")</f>
        <v>મોટા નિર્ણયો માટે યોગ્ય સમય</v>
      </c>
      <c r="AL186" s="5" t="str">
        <f ca="1">IFERROR(__xludf.DUMMYFUNCTION("IF(Z186 = """", """", GOOGLETRANSLATE(Z186, ""en"", ""gu""))"),"પરિવાર અને મિત્રો તરફથી સહયોગ મળશે")</f>
        <v>પરિવાર અને મિત્રો તરફથી સહયોગ મળશે</v>
      </c>
      <c r="AM186" s="5" t="str">
        <f ca="1">IFERROR(__xludf.DUMMYFUNCTION("IF(AA186 = """", """", GOOGLETRANSLATE(AA186, ""en"", ""gu""))"),"સરકારી કામ પૂરા થઈ શકે છે")</f>
        <v>સરકારી કામ પૂરા થઈ શકે છે</v>
      </c>
      <c r="AN186" s="5" t="str">
        <f ca="1">IFERROR(__xludf.DUMMYFUNCTION("IF(AB186 = """", """", GOOGLETRANSLATE(AB186, ""en"", ""gu""))"),"")</f>
        <v/>
      </c>
      <c r="AO186" s="5" t="str">
        <f ca="1">IFERROR(__xludf.DUMMYFUNCTION("IF(Y186 = """", """", GOOGLETRANSLATE(Y186, ""en"", ""bn""))"),"বড় সিদ্ধান্তের জন্য আদর্শ সময়")</f>
        <v>বড় সিদ্ধান্তের জন্য আদর্শ সময়</v>
      </c>
      <c r="AP186" s="5" t="str">
        <f ca="1">IFERROR(__xludf.DUMMYFUNCTION("IF(Z186 = """", """", GOOGLETRANSLATE(Z186, ""en"", ""bn""))"),"পরিবার এবং বন্ধুদের কাছ থেকে সমর্থন")</f>
        <v>পরিবার এবং বন্ধুদের কাছ থেকে সমর্থন</v>
      </c>
      <c r="AQ186" s="5" t="str">
        <f ca="1">IFERROR(__xludf.DUMMYFUNCTION("IF(AA186 = """", """", GOOGLETRANSLATE(AA186, ""en"", ""bn""))"),"সরকারি কাজ শেষ হতে পারে")</f>
        <v>সরকারি কাজ শেষ হতে পারে</v>
      </c>
      <c r="AR186" s="5" t="str">
        <f ca="1">IFERROR(__xludf.DUMMYFUNCTION("IF(AB186 = """", """", GOOGLETRANSLATE(AB186, ""en"", ""bn""))"),"")</f>
        <v/>
      </c>
      <c r="AU186" s="5" t="str">
        <f ca="1">IFERROR(__xludf.DUMMYFUNCTION("IF(Y186 = """", """", GOOGLETRANSLATE(Y186, ""en"", ""te""))"),"ముఖ్యమైన నిర్ణయాలకు అనువైన సమయం")</f>
        <v>ముఖ్యమైన నిర్ణయాలకు అనువైన సమయం</v>
      </c>
      <c r="AV186" s="5" t="str">
        <f ca="1">IFERROR(__xludf.DUMMYFUNCTION("IF(Z186 = """", """", GOOGLETRANSLATE(Z186, ""en"", ""te""))"),"కుటుంబం మరియు స్నేహితుల నుండి మద్దతు")</f>
        <v>కుటుంబం మరియు స్నేహితుల నుండి మద్దతు</v>
      </c>
      <c r="AW186" s="5" t="str">
        <f ca="1">IFERROR(__xludf.DUMMYFUNCTION("IF(AA186 = """", """", GOOGLETRANSLATE(AA186, ""en"", ""te""))"),"ప్రభుత్వ పనులు పూర్తి కావచ్చు")</f>
        <v>ప్రభుత్వ పనులు పూర్తి కావచ్చు</v>
      </c>
      <c r="AX186" s="5" t="str">
        <f ca="1">IFERROR(__xludf.DUMMYFUNCTION("IF(AB186 = """", """", GOOGLETRANSLATE(AB186, ""en"", ""te""))"),"")</f>
        <v/>
      </c>
    </row>
    <row r="187" spans="1:50" x14ac:dyDescent="0.25">
      <c r="A187" s="1">
        <v>201</v>
      </c>
      <c r="B187" s="1" t="s">
        <v>56</v>
      </c>
      <c r="C187" s="8">
        <v>45838</v>
      </c>
      <c r="D187" s="8">
        <v>45838</v>
      </c>
      <c r="E187" s="1">
        <v>6</v>
      </c>
      <c r="F187" s="1">
        <v>1</v>
      </c>
      <c r="G187" s="3" t="s">
        <v>548</v>
      </c>
      <c r="H187" s="4">
        <v>1.1030092592592593E-2</v>
      </c>
      <c r="I187" s="4">
        <v>4.2476851851851851E-3</v>
      </c>
      <c r="J187" s="4">
        <v>4.6064814814814814E-3</v>
      </c>
      <c r="K187" s="1" t="s">
        <v>58</v>
      </c>
      <c r="L187" s="1" t="s">
        <v>113</v>
      </c>
      <c r="M187" s="1" t="s">
        <v>19</v>
      </c>
      <c r="N187" s="1"/>
      <c r="O187" s="1" t="s">
        <v>61</v>
      </c>
      <c r="P187" s="1" t="s">
        <v>61</v>
      </c>
      <c r="Q187" s="1" t="s">
        <v>61</v>
      </c>
      <c r="R187" s="1" t="s">
        <v>61</v>
      </c>
      <c r="S187" s="1" t="s">
        <v>61</v>
      </c>
      <c r="T187" s="1" t="s">
        <v>61</v>
      </c>
      <c r="U187" s="1"/>
      <c r="V187" s="1" t="s">
        <v>61</v>
      </c>
      <c r="W187" s="1" t="s">
        <v>61</v>
      </c>
      <c r="X187" s="1" t="s">
        <v>61</v>
      </c>
      <c r="Y187" s="1" t="s">
        <v>576</v>
      </c>
      <c r="Z187" s="1" t="s">
        <v>577</v>
      </c>
      <c r="AA187" s="1" t="s">
        <v>578</v>
      </c>
      <c r="AB187" s="1"/>
      <c r="AC187" s="5" t="str">
        <f ca="1">IFERROR(__xludf.DUMMYFUNCTION("IF(Y187 = """", """", GOOGLETRANSLATE(Y187, ""en"", ""hi""))
"),"वाणी और क्रोध पर नियंत्रण रखें")</f>
        <v>वाणी और क्रोध पर नियंत्रण रखें</v>
      </c>
      <c r="AD187" s="5" t="str">
        <f ca="1">IFERROR(__xludf.DUMMYFUNCTION("IF(Z187 = """", """", GOOGLETRANSLATE(Z187, ""en"", ""hi""))"),"अचानक बड़े खर्च संभव")</f>
        <v>अचानक बड़े खर्च संभव</v>
      </c>
      <c r="AE187" s="5" t="str">
        <f ca="1">IFERROR(__xludf.DUMMYFUNCTION("IF(AA187 = """", """", GOOGLETRANSLATE(AA187, ""en"", ""hi""))"),"वित्त का सावधानीपूर्वक प्रबंधन करें")</f>
        <v>वित्त का सावधानीपूर्वक प्रबंधन करें</v>
      </c>
      <c r="AF187" s="5" t="str">
        <f ca="1">IFERROR(__xludf.DUMMYFUNCTION("IF(AB187 = """", """", GOOGLETRANSLATE(AB187, ""en"", ""hi""))"),"")</f>
        <v/>
      </c>
      <c r="AG187" s="5" t="str">
        <f ca="1">IFERROR(__xludf.DUMMYFUNCTION("IF(Y187 = """", """", GOOGLETRANSLATE(Y187, ""en"", ""mr""))"),"वाणी आणि रागावर नियंत्रण ठेवा")</f>
        <v>वाणी आणि रागावर नियंत्रण ठेवा</v>
      </c>
      <c r="AH187" s="5" t="str">
        <f ca="1">IFERROR(__xludf.DUMMYFUNCTION("IF(Z187 = """", """", GOOGLETRANSLATE(Z187, ""en"", ""mr""))"),"अचानक मोठा खर्च होण्याची शक्यता")</f>
        <v>अचानक मोठा खर्च होण्याची शक्यता</v>
      </c>
      <c r="AI187" s="5" t="str">
        <f ca="1">IFERROR(__xludf.DUMMYFUNCTION("IF(AA187 = """", """", GOOGLETRANSLATE(AA187, ""en"", ""mr""))"),"आर्थिक व्यवहार काळजीपूर्वक करा")</f>
        <v>आर्थिक व्यवहार काळजीपूर्वक करा</v>
      </c>
      <c r="AJ187" s="5" t="str">
        <f ca="1">IFERROR(__xludf.DUMMYFUNCTION("IF(AB187 = """", """", GOOGLETRANSLATE(AB187, ""en"", ""mr""))"),"")</f>
        <v/>
      </c>
      <c r="AK187" s="5" t="str">
        <f ca="1">IFERROR(__xludf.DUMMYFUNCTION("IF(Y187 = """", """", GOOGLETRANSLATE(Y187, ""en"", ""gu""))"),"વાણી અને ગુસ્સા પર નિયંત્રણ રાખો")</f>
        <v>વાણી અને ગુસ્સા પર નિયંત્રણ રાખો</v>
      </c>
      <c r="AL187" s="5" t="str">
        <f ca="1">IFERROR(__xludf.DUMMYFUNCTION("IF(Z187 = """", """", GOOGLETRANSLATE(Z187, ""en"", ""gu""))"),"અચાનક મોટા ખર્ચની શક્યતા")</f>
        <v>અચાનક મોટા ખર્ચની શક્યતા</v>
      </c>
      <c r="AM187" s="5" t="str">
        <f ca="1">IFERROR(__xludf.DUMMYFUNCTION("IF(AA187 = """", """", GOOGLETRANSLATE(AA187, ""en"", ""gu""))"),"નાણાંકીય બાબતોનું ધ્યાનપૂર્વક સંચાલન કરો")</f>
        <v>નાણાંકીય બાબતોનું ધ્યાનપૂર્વક સંચાલન કરો</v>
      </c>
      <c r="AN187" s="5" t="str">
        <f ca="1">IFERROR(__xludf.DUMMYFUNCTION("IF(AB187 = """", """", GOOGLETRANSLATE(AB187, ""en"", ""gu""))"),"")</f>
        <v/>
      </c>
      <c r="AO187" s="5" t="str">
        <f ca="1">IFERROR(__xludf.DUMMYFUNCTION("IF(Y187 = """", """", GOOGLETRANSLATE(Y187, ""en"", ""bn""))"),"কথাবার্তা ও রাগ নিয়ন্ত্রণ করুন")</f>
        <v>কথাবার্তা ও রাগ নিয়ন্ত্রণ করুন</v>
      </c>
      <c r="AP187" s="5" t="str">
        <f ca="1">IFERROR(__xludf.DUMMYFUNCTION("IF(Z187 = """", """", GOOGLETRANSLATE(Z187, ""en"", ""bn""))"),"হঠাৎ বড় খরচের সম্ভাবনা")</f>
        <v>হঠাৎ বড় খরচের সম্ভাবনা</v>
      </c>
      <c r="AQ187" s="5" t="str">
        <f ca="1">IFERROR(__xludf.DUMMYFUNCTION("IF(AA187 = """", """", GOOGLETRANSLATE(AA187, ""en"", ""bn""))"),"সাবধানে আর্থিক পরিচালনা করুন")</f>
        <v>সাবধানে আর্থিক পরিচালনা করুন</v>
      </c>
      <c r="AR187" s="5" t="str">
        <f ca="1">IFERROR(__xludf.DUMMYFUNCTION("IF(AB187 = """", """", GOOGLETRANSLATE(AB187, ""en"", ""bn""))"),"")</f>
        <v/>
      </c>
      <c r="AU187" s="5" t="str">
        <f ca="1">IFERROR(__xludf.DUMMYFUNCTION("IF(Y187 = """", """", GOOGLETRANSLATE(Y187, ""en"", ""te""))"),"మాటలు మరియు కోపాన్ని నియంత్రించండి")</f>
        <v>మాటలు మరియు కోపాన్ని నియంత్రించండి</v>
      </c>
      <c r="AV187" s="5" t="str">
        <f ca="1">IFERROR(__xludf.DUMMYFUNCTION("IF(Z187 = """", """", GOOGLETRANSLATE(Z187, ""en"", ""te""))"),"ఆకస్మిక పెద్ద ఖర్చులు సాధ్యమే")</f>
        <v>ఆకస్మిక పెద్ద ఖర్చులు సాధ్యమే</v>
      </c>
      <c r="AW187" s="5" t="str">
        <f ca="1">IFERROR(__xludf.DUMMYFUNCTION("IF(AA187 = """", """", GOOGLETRANSLATE(AA187, ""en"", ""te""))"),"ఆర్థిక వ్యవహారాలను జాగ్రత్తగా నిర్వహించండి")</f>
        <v>ఆర్థిక వ్యవహారాలను జాగ్రత్తగా నిర్వహించండి</v>
      </c>
      <c r="AX187" s="5" t="str">
        <f ca="1">IFERROR(__xludf.DUMMYFUNCTION("IF(AB187 = """", """", GOOGLETRANSLATE(AB187, ""en"", ""te""))"),"")</f>
        <v/>
      </c>
    </row>
    <row r="188" spans="1:50" x14ac:dyDescent="0.25">
      <c r="A188" s="1">
        <v>202</v>
      </c>
      <c r="B188" s="1" t="s">
        <v>56</v>
      </c>
      <c r="C188" s="8">
        <v>45838</v>
      </c>
      <c r="D188" s="8">
        <v>45838</v>
      </c>
      <c r="E188" s="1">
        <v>7</v>
      </c>
      <c r="F188" s="1">
        <v>1</v>
      </c>
      <c r="G188" s="3" t="s">
        <v>548</v>
      </c>
      <c r="H188" s="4">
        <v>1.1030092592592593E-2</v>
      </c>
      <c r="I188" s="4">
        <v>4.6064814814814814E-3</v>
      </c>
      <c r="J188" s="4">
        <v>5.6018518518518518E-3</v>
      </c>
      <c r="K188" s="1" t="s">
        <v>58</v>
      </c>
      <c r="L188" s="1" t="s">
        <v>64</v>
      </c>
      <c r="M188" s="1" t="s">
        <v>17</v>
      </c>
      <c r="N188" s="1"/>
      <c r="O188" s="1" t="s">
        <v>61</v>
      </c>
      <c r="P188" s="1" t="s">
        <v>61</v>
      </c>
      <c r="Q188" s="1" t="s">
        <v>61</v>
      </c>
      <c r="R188" s="1" t="s">
        <v>61</v>
      </c>
      <c r="S188" s="1" t="s">
        <v>61</v>
      </c>
      <c r="T188" s="1" t="s">
        <v>61</v>
      </c>
      <c r="U188" s="1"/>
      <c r="V188" s="1" t="s">
        <v>61</v>
      </c>
      <c r="W188" s="1" t="s">
        <v>61</v>
      </c>
      <c r="X188" s="1" t="s">
        <v>61</v>
      </c>
      <c r="Y188" s="1" t="s">
        <v>579</v>
      </c>
      <c r="Z188" s="1" t="s">
        <v>580</v>
      </c>
      <c r="AA188" s="1" t="s">
        <v>581</v>
      </c>
      <c r="AB188" s="1"/>
      <c r="AC188" s="5" t="str">
        <f ca="1">IFERROR(__xludf.DUMMYFUNCTION("IF(Y188 = """", """", GOOGLETRANSLATE(Y188, ""en"", ""hi""))
"),"सोमवार को महत्वपूर्ण निर्णय लें")</f>
        <v>सोमवार को महत्वपूर्ण निर्णय लें</v>
      </c>
      <c r="AD188" s="5" t="str">
        <f ca="1">IFERROR(__xludf.DUMMYFUNCTION("IF(Z188 = """", """", GOOGLETRANSLATE(Z188, ""en"", ""hi""))"),"सप्ताह का शेष भाग चुनौतीपूर्ण हो सकता है")</f>
        <v>सप्ताह का शेष भाग चुनौतीपूर्ण हो सकता है</v>
      </c>
      <c r="AE188" s="5" t="str">
        <f ca="1">IFERROR(__xludf.DUMMYFUNCTION("IF(AA188 = """", """", GOOGLETRANSLATE(AA188, ""en"", ""hi""))"),"धैर्य और संयम बनाए रखें")</f>
        <v>धैर्य और संयम बनाए रखें</v>
      </c>
      <c r="AF188" s="5" t="str">
        <f ca="1">IFERROR(__xludf.DUMMYFUNCTION("IF(AB188 = """", """", GOOGLETRANSLATE(AB188, ""en"", ""hi""))"),"")</f>
        <v/>
      </c>
      <c r="AG188" s="5" t="str">
        <f ca="1">IFERROR(__xludf.DUMMYFUNCTION("IF(Y188 = """", """", GOOGLETRANSLATE(Y188, ""en"", ""mr""))"),"सोमवारी महत्त्वाचे निर्णय घ्या")</f>
        <v>सोमवारी महत्त्वाचे निर्णय घ्या</v>
      </c>
      <c r="AH188" s="5" t="str">
        <f ca="1">IFERROR(__xludf.DUMMYFUNCTION("IF(Z188 = """", """", GOOGLETRANSLATE(Z188, ""en"", ""mr""))"),"आठवड्याचा उर्वरित भाग आव्हानात्मक असू शकतो")</f>
        <v>आठवड्याचा उर्वरित भाग आव्हानात्मक असू शकतो</v>
      </c>
      <c r="AI188" s="5" t="str">
        <f ca="1">IFERROR(__xludf.DUMMYFUNCTION("IF(AA188 = """", """", GOOGLETRANSLATE(AA188, ""en"", ""mr""))"),"धीर धरा आणि संयम ठेवा")</f>
        <v>धीर धरा आणि संयम ठेवा</v>
      </c>
      <c r="AJ188" s="5" t="str">
        <f ca="1">IFERROR(__xludf.DUMMYFUNCTION("IF(AB188 = """", """", GOOGLETRANSLATE(AB188, ""en"", ""mr""))"),"")</f>
        <v/>
      </c>
      <c r="AK188" s="5" t="str">
        <f ca="1">IFERROR(__xludf.DUMMYFUNCTION("IF(Y188 = """", """", GOOGLETRANSLATE(Y188, ""en"", ""gu""))"),"સોમવારે મુખ્ય નિર્ણયો લો")</f>
        <v>સોમવારે મુખ્ય નિર્ણયો લો</v>
      </c>
      <c r="AL188" s="5" t="str">
        <f ca="1">IFERROR(__xludf.DUMMYFUNCTION("IF(Z188 = """", """", GOOGLETRANSLATE(Z188, ""en"", ""gu""))"),"સપ્તાહનો બાકીનો સમય પડકારજનક રહી શકે છે")</f>
        <v>સપ્તાહનો બાકીનો સમય પડકારજનક રહી શકે છે</v>
      </c>
      <c r="AM188" s="5" t="str">
        <f ca="1">IFERROR(__xludf.DUMMYFUNCTION("IF(AA188 = """", """", GOOGLETRANSLATE(AA188, ""en"", ""gu""))"),"ધીરજ રાખો અને સંયમિત રહો")</f>
        <v>ધીરજ રાખો અને સંયમિત રહો</v>
      </c>
      <c r="AN188" s="5" t="str">
        <f ca="1">IFERROR(__xludf.DUMMYFUNCTION("IF(AB188 = """", """", GOOGLETRANSLATE(AB188, ""en"", ""gu""))"),"")</f>
        <v/>
      </c>
      <c r="AO188" s="5" t="str">
        <f ca="1">IFERROR(__xludf.DUMMYFUNCTION("IF(Y188 = """", """", GOOGLETRANSLATE(Y188, ""en"", ""bn""))"),"সোমবার গুরুত্বপূর্ণ সিদ্ধান্ত নিন")</f>
        <v>সোমবার গুরুত্বপূর্ণ সিদ্ধান্ত নিন</v>
      </c>
      <c r="AP188" s="5" t="str">
        <f ca="1">IFERROR(__xludf.DUMMYFUNCTION("IF(Z188 = """", """", GOOGLETRANSLATE(Z188, ""en"", ""bn""))"),"সপ্তাহের বাকি সময়টা চ্যালেঞ্জিং হতে পারে")</f>
        <v>সপ্তাহের বাকি সময়টা চ্যালেঞ্জিং হতে পারে</v>
      </c>
      <c r="AQ188" s="5" t="str">
        <f ca="1">IFERROR(__xludf.DUMMYFUNCTION("IF(AA188 = """", """", GOOGLETRANSLATE(AA188, ""en"", ""bn""))"),"ধৈর্য ধরুন এবং সংযত থাকুন")</f>
        <v>ধৈর্য ধরুন এবং সংযত থাকুন</v>
      </c>
      <c r="AR188" s="5" t="str">
        <f ca="1">IFERROR(__xludf.DUMMYFUNCTION("IF(AB188 = """", """", GOOGLETRANSLATE(AB188, ""en"", ""bn""))"),"")</f>
        <v/>
      </c>
      <c r="AU188" s="5" t="str">
        <f ca="1">IFERROR(__xludf.DUMMYFUNCTION("IF(Y188 = """", """", GOOGLETRANSLATE(Y188, ""en"", ""te""))"),"సోమవారం కీలక నిర్ణయాలు తీసుకుంటారు")</f>
        <v>సోమవారం కీలక నిర్ణయాలు తీసుకుంటారు</v>
      </c>
      <c r="AV188" s="5" t="str">
        <f ca="1">IFERROR(__xludf.DUMMYFUNCTION("IF(Z188 = """", """", GOOGLETRANSLATE(Z188, ""en"", ""te""))"),"మిగిలిన వారం సవాలుగా ఉండవచ్చు")</f>
        <v>మిగిలిన వారం సవాలుగా ఉండవచ్చు</v>
      </c>
      <c r="AW188" s="5" t="str">
        <f ca="1">IFERROR(__xludf.DUMMYFUNCTION("IF(AA188 = """", """", GOOGLETRANSLATE(AA188, ""en"", ""te""))"),"ఓపికగా మరియు కూర్చోండి")</f>
        <v>ఓపికగా మరియు కూర్చోండి</v>
      </c>
      <c r="AX188" s="5" t="str">
        <f ca="1">IFERROR(__xludf.DUMMYFUNCTION("IF(AB188 = """", """", GOOGLETRANSLATE(AB188, ""en"", ""te""))"),"")</f>
        <v/>
      </c>
    </row>
    <row r="189" spans="1:50" x14ac:dyDescent="0.25">
      <c r="A189" s="1">
        <v>203</v>
      </c>
      <c r="B189" s="1" t="s">
        <v>56</v>
      </c>
      <c r="C189" s="8">
        <v>45838</v>
      </c>
      <c r="D189" s="8">
        <v>45838</v>
      </c>
      <c r="E189" s="1">
        <v>8</v>
      </c>
      <c r="F189" s="1">
        <v>1</v>
      </c>
      <c r="G189" s="3" t="s">
        <v>548</v>
      </c>
      <c r="H189" s="4">
        <v>1.1030092592592593E-2</v>
      </c>
      <c r="I189" s="4">
        <v>5.6018518518518518E-3</v>
      </c>
      <c r="J189" s="4">
        <v>5.8333333333333336E-3</v>
      </c>
      <c r="K189" s="1" t="s">
        <v>58</v>
      </c>
      <c r="L189" s="1" t="s">
        <v>68</v>
      </c>
      <c r="M189" s="1" t="s">
        <v>14</v>
      </c>
      <c r="N189" s="1"/>
      <c r="O189" s="1" t="s">
        <v>61</v>
      </c>
      <c r="P189" s="1" t="s">
        <v>61</v>
      </c>
      <c r="Q189" s="1" t="s">
        <v>61</v>
      </c>
      <c r="R189" s="1" t="s">
        <v>61</v>
      </c>
      <c r="S189" s="1" t="s">
        <v>61</v>
      </c>
      <c r="T189" s="1" t="s">
        <v>61</v>
      </c>
      <c r="U189" s="1"/>
      <c r="V189" s="1" t="s">
        <v>61</v>
      </c>
      <c r="W189" s="1" t="s">
        <v>61</v>
      </c>
      <c r="X189" s="1" t="s">
        <v>61</v>
      </c>
      <c r="Y189" s="1" t="s">
        <v>582</v>
      </c>
      <c r="Z189" s="1" t="s">
        <v>583</v>
      </c>
      <c r="AA189" s="1" t="s">
        <v>584</v>
      </c>
      <c r="AB189" s="1"/>
      <c r="AC189" s="5" t="str">
        <f ca="1">IFERROR(__xludf.DUMMYFUNCTION("IF(Y189 = """", """", GOOGLETRANSLATE(Y189, ""en"", ""hi""))
"),"लंबित कार्यों को पूरा करने के लिए अच्छा")</f>
        <v>लंबित कार्यों को पूरा करने के लिए अच्छा</v>
      </c>
      <c r="AD189" s="5" t="str">
        <f ca="1">IFERROR(__xludf.DUMMYFUNCTION("IF(Z189 = """", """", GOOGLETRANSLATE(Z189, ""en"", ""hi""))"),"अनुभव और बुद्धि का उपयोग करें")</f>
        <v>अनुभव और बुद्धि का उपयोग करें</v>
      </c>
      <c r="AE189" s="5" t="str">
        <f ca="1">IFERROR(__xludf.DUMMYFUNCTION("IF(AA189 = """", """", GOOGLETRANSLATE(AA189, ""en"", ""hi""))"),"भीड़ को शांति से प्रबंधित करें")</f>
        <v>भीड़ को शांति से प्रबंधित करें</v>
      </c>
      <c r="AF189" s="5" t="str">
        <f ca="1">IFERROR(__xludf.DUMMYFUNCTION("IF(AB189 = """", """", GOOGLETRANSLATE(AB189, ""en"", ""hi""))"),"")</f>
        <v/>
      </c>
      <c r="AG189" s="5" t="str">
        <f ca="1">IFERROR(__xludf.DUMMYFUNCTION("IF(Y189 = """", """", GOOGLETRANSLATE(Y189, ""en"", ""mr""))"),"प्रलंबित कामे पूर्ण करण्यासाठी चांगले")</f>
        <v>प्रलंबित कामे पूर्ण करण्यासाठी चांगले</v>
      </c>
      <c r="AH189" s="5" t="str">
        <f ca="1">IFERROR(__xludf.DUMMYFUNCTION("IF(Z189 = """", """", GOOGLETRANSLATE(Z189, ""en"", ""mr""))"),"अनुभव आणि बुद्धिमत्ता वापरा")</f>
        <v>अनुभव आणि बुद्धिमत्ता वापरा</v>
      </c>
      <c r="AI189" s="5" t="str">
        <f ca="1">IFERROR(__xludf.DUMMYFUNCTION("IF(AA189 = """", """", GOOGLETRANSLATE(AA189, ""en"", ""mr""))"),"गर्दी शांतपणे व्यवस्थापित करा")</f>
        <v>गर्दी शांतपणे व्यवस्थापित करा</v>
      </c>
      <c r="AJ189" s="5" t="str">
        <f ca="1">IFERROR(__xludf.DUMMYFUNCTION("IF(AB189 = """", """", GOOGLETRANSLATE(AB189, ""en"", ""mr""))"),"")</f>
        <v/>
      </c>
      <c r="AK189" s="5" t="str">
        <f ca="1">IFERROR(__xludf.DUMMYFUNCTION("IF(Y189 = """", """", GOOGLETRANSLATE(Y189, ""en"", ""gu""))"),"પેન્ડિંગ કાર્યો પૂરા કરવા માટે સારું")</f>
        <v>પેન્ડિંગ કાર્યો પૂરા કરવા માટે સારું</v>
      </c>
      <c r="AL189" s="5" t="str">
        <f ca="1">IFERROR(__xludf.DUMMYFUNCTION("IF(Z189 = """", """", GOOGLETRANSLATE(Z189, ""en"", ""gu""))"),"અનુભવ અને બુદ્ધિ વાપરો")</f>
        <v>અનુભવ અને બુદ્ધિ વાપરો</v>
      </c>
      <c r="AM189" s="5" t="str">
        <f ca="1">IFERROR(__xludf.DUMMYFUNCTION("IF(AA189 = """", """", GOOGLETRANSLATE(AA189, ""en"", ""gu""))"),"શાંતિથી ધસારો મેનેજ કરો")</f>
        <v>શાંતિથી ધસારો મેનેજ કરો</v>
      </c>
      <c r="AN189" s="5" t="str">
        <f ca="1">IFERROR(__xludf.DUMMYFUNCTION("IF(AB189 = """", """", GOOGLETRANSLATE(AB189, ""en"", ""gu""))"),"")</f>
        <v/>
      </c>
      <c r="AO189" s="5" t="str">
        <f ca="1">IFERROR(__xludf.DUMMYFUNCTION("IF(Y189 = """", """", GOOGLETRANSLATE(Y189, ""en"", ""bn""))"),"মুলতুবি কাজগুলি শেষ করার জন্য ভাল")</f>
        <v>মুলতুবি কাজগুলি শেষ করার জন্য ভাল</v>
      </c>
      <c r="AP189" s="5" t="str">
        <f ca="1">IFERROR(__xludf.DUMMYFUNCTION("IF(Z189 = """", """", GOOGLETRANSLATE(Z189, ""en"", ""bn""))"),"অভিজ্ঞতা এবং বুদ্ধি ব্যবহার করুন")</f>
        <v>অভিজ্ঞতা এবং বুদ্ধি ব্যবহার করুন</v>
      </c>
      <c r="AQ189" s="5" t="str">
        <f ca="1">IFERROR(__xludf.DUMMYFUNCTION("IF(AA189 = """", """", GOOGLETRANSLATE(AA189, ""en"", ""bn""))"),"শান্তভাবে রাশ পরিচালনা করুন")</f>
        <v>শান্তভাবে রাশ পরিচালনা করুন</v>
      </c>
      <c r="AR189" s="5" t="str">
        <f ca="1">IFERROR(__xludf.DUMMYFUNCTION("IF(AB189 = """", """", GOOGLETRANSLATE(AB189, ""en"", ""bn""))"),"")</f>
        <v/>
      </c>
      <c r="AU189" s="5" t="str">
        <f ca="1">IFERROR(__xludf.DUMMYFUNCTION("IF(Y189 = """", """", GOOGLETRANSLATE(Y189, ""en"", ""te""))"),"పెండింగ్‌లో ఉన్న పనులను పూర్తి చేయడం మంచిది")</f>
        <v>పెండింగ్‌లో ఉన్న పనులను పూర్తి చేయడం మంచిది</v>
      </c>
      <c r="AV189" s="5" t="str">
        <f ca="1">IFERROR(__xludf.DUMMYFUNCTION("IF(Z189 = """", """", GOOGLETRANSLATE(Z189, ""en"", ""te""))"),"అనుభవం మరియు తెలివితేటలను ఉపయోగించండి")</f>
        <v>అనుభవం మరియు తెలివితేటలను ఉపయోగించండి</v>
      </c>
      <c r="AW189" s="5" t="str">
        <f ca="1">IFERROR(__xludf.DUMMYFUNCTION("IF(AA189 = """", """", GOOGLETRANSLATE(AA189, ""en"", ""te""))"),"రద్దీని ప్రశాంతంగా నిర్వహించండి")</f>
        <v>రద్దీని ప్రశాంతంగా నిర్వహించండి</v>
      </c>
      <c r="AX189" s="5" t="str">
        <f ca="1">IFERROR(__xludf.DUMMYFUNCTION("IF(AB189 = """", """", GOOGLETRANSLATE(AB189, ""en"", ""te""))"),"")</f>
        <v/>
      </c>
    </row>
    <row r="190" spans="1:50" x14ac:dyDescent="0.25">
      <c r="A190" s="1">
        <v>204</v>
      </c>
      <c r="B190" s="1" t="s">
        <v>56</v>
      </c>
      <c r="C190" s="8">
        <v>45838</v>
      </c>
      <c r="D190" s="8">
        <v>45838</v>
      </c>
      <c r="E190" s="1">
        <v>9</v>
      </c>
      <c r="F190" s="1">
        <v>1</v>
      </c>
      <c r="G190" s="3" t="s">
        <v>548</v>
      </c>
      <c r="H190" s="4">
        <v>1.1030092592592593E-2</v>
      </c>
      <c r="I190" s="4">
        <v>5.8333333333333336E-3</v>
      </c>
      <c r="J190" s="4">
        <v>6.1921296296296299E-3</v>
      </c>
      <c r="K190" s="1" t="s">
        <v>58</v>
      </c>
      <c r="L190" s="1" t="s">
        <v>72</v>
      </c>
      <c r="M190" s="1" t="s">
        <v>14</v>
      </c>
      <c r="N190" s="1"/>
      <c r="O190" s="1" t="s">
        <v>61</v>
      </c>
      <c r="P190" s="1" t="s">
        <v>61</v>
      </c>
      <c r="Q190" s="1" t="s">
        <v>61</v>
      </c>
      <c r="R190" s="1" t="s">
        <v>61</v>
      </c>
      <c r="S190" s="1" t="s">
        <v>61</v>
      </c>
      <c r="T190" s="1" t="s">
        <v>61</v>
      </c>
      <c r="U190" s="1"/>
      <c r="V190" s="1" t="s">
        <v>61</v>
      </c>
      <c r="W190" s="1" t="s">
        <v>61</v>
      </c>
      <c r="X190" s="1" t="s">
        <v>61</v>
      </c>
      <c r="Y190" s="1" t="s">
        <v>585</v>
      </c>
      <c r="Z190" s="1" t="s">
        <v>586</v>
      </c>
      <c r="AA190" s="1" t="s">
        <v>587</v>
      </c>
      <c r="AB190" s="1"/>
      <c r="AC190" s="5" t="str">
        <f ca="1">IFERROR(__xludf.DUMMYFUNCTION("IF(Y190 = """", """", GOOGLETRANSLATE(Y190, ""en"", ""hi""))
"),"अवरुद्ध कार्य पुनः प्रारंभ होंगे")</f>
        <v>अवरुद्ध कार्य पुनः प्रारंभ होंगे</v>
      </c>
      <c r="AD190" s="5" t="str">
        <f ca="1">IFERROR(__xludf.DUMMYFUNCTION("IF(Z190 = """", """", GOOGLETRANSLATE(Z190, ""en"", ""hi""))"),"बुजुर्गों के स्वास्थ्य पर ध्यान दें")</f>
        <v>बुजुर्गों के स्वास्थ्य पर ध्यान दें</v>
      </c>
      <c r="AE190" s="5" t="str">
        <f ca="1">IFERROR(__xludf.DUMMYFUNCTION("IF(AA190 = """", """", GOOGLETRANSLATE(AA190, ""en"", ""hi""))"),"पारिवारिक ज़िम्मेदारियाँ अधिक होंगी")</f>
        <v>पारिवारिक ज़िम्मेदारियाँ अधिक होंगी</v>
      </c>
      <c r="AF190" s="5" t="str">
        <f ca="1">IFERROR(__xludf.DUMMYFUNCTION("IF(AB190 = """", """", GOOGLETRANSLATE(AB190, ""en"", ""hi""))"),"")</f>
        <v/>
      </c>
      <c r="AG190" s="5" t="str">
        <f ca="1">IFERROR(__xludf.DUMMYFUNCTION("IF(Y190 = """", """", GOOGLETRANSLATE(Y190, ""en"", ""mr""))"),"अवरोधित कामे पुन्हा सुरू होतील")</f>
        <v>अवरोधित कामे पुन्हा सुरू होतील</v>
      </c>
      <c r="AH190" s="5" t="str">
        <f ca="1">IFERROR(__xludf.DUMMYFUNCTION("IF(Z190 = """", """", GOOGLETRANSLATE(Z190, ""en"", ""mr""))"),"ज्येष्ठांच्या आरोग्याकडे लक्ष द्या")</f>
        <v>ज्येष्ठांच्या आरोग्याकडे लक्ष द्या</v>
      </c>
      <c r="AI190" s="5" t="str">
        <f ca="1">IFERROR(__xludf.DUMMYFUNCTION("IF(AA190 = """", """", GOOGLETRANSLATE(AA190, ""en"", ""mr""))"),"कौटुंबिक जबाबदाऱ्या जास्त असतील")</f>
        <v>कौटुंबिक जबाबदाऱ्या जास्त असतील</v>
      </c>
      <c r="AJ190" s="5" t="str">
        <f ca="1">IFERROR(__xludf.DUMMYFUNCTION("IF(AB190 = """", """", GOOGLETRANSLATE(AB190, ""en"", ""mr""))"),"")</f>
        <v/>
      </c>
      <c r="AK190" s="5" t="str">
        <f ca="1">IFERROR(__xludf.DUMMYFUNCTION("IF(Y190 = """", """", GOOGLETRANSLATE(Y190, ""en"", ""gu""))"),"અવરોધિત કામ ફરી શરૂ થશે")</f>
        <v>અવરોધિત કામ ફરી શરૂ થશે</v>
      </c>
      <c r="AL190" s="5" t="str">
        <f ca="1">IFERROR(__xludf.DUMMYFUNCTION("IF(Z190 = """", """", GOOGLETRANSLATE(Z190, ""en"", ""gu""))"),"વડીલના સ્વાસ્થ્યનું ધ્યાન રાખો")</f>
        <v>વડીલના સ્વાસ્થ્યનું ધ્યાન રાખો</v>
      </c>
      <c r="AM190" s="5" t="str">
        <f ca="1">IFERROR(__xludf.DUMMYFUNCTION("IF(AA190 = """", """", GOOGLETRANSLATE(AA190, ""en"", ""gu""))"),"પારિવારિક જવાબદારીઓ વધુ રહેશે")</f>
        <v>પારિવારિક જવાબદારીઓ વધુ રહેશે</v>
      </c>
      <c r="AN190" s="5" t="str">
        <f ca="1">IFERROR(__xludf.DUMMYFUNCTION("IF(AB190 = """", """", GOOGLETRANSLATE(AB190, ""en"", ""gu""))"),"")</f>
        <v/>
      </c>
      <c r="AO190" s="5" t="str">
        <f ca="1">IFERROR(__xludf.DUMMYFUNCTION("IF(Y190 = """", """", GOOGLETRANSLATE(Y190, ""en"", ""bn""))"),"অবরুদ্ধ কাজ আবার শুরু হবে")</f>
        <v>অবরুদ্ধ কাজ আবার শুরু হবে</v>
      </c>
      <c r="AP190" s="5" t="str">
        <f ca="1">IFERROR(__xludf.DUMMYFUNCTION("IF(Z190 = """", """", GOOGLETRANSLATE(Z190, ""en"", ""bn""))"),"প্রবীণ স্বাস্থ্য দেখুন")</f>
        <v>প্রবীণ স্বাস্থ্য দেখুন</v>
      </c>
      <c r="AQ190" s="5" t="str">
        <f ca="1">IFERROR(__xludf.DUMMYFUNCTION("IF(AA190 = """", """", GOOGLETRANSLATE(AA190, ""en"", ""bn""))"),"পারিবারিক দায়িত্ব বেশি থাকবে")</f>
        <v>পারিবারিক দায়িত্ব বেশি থাকবে</v>
      </c>
      <c r="AR190" s="5" t="str">
        <f ca="1">IFERROR(__xludf.DUMMYFUNCTION("IF(AB190 = """", """", GOOGLETRANSLATE(AB190, ""en"", ""bn""))"),"")</f>
        <v/>
      </c>
      <c r="AU190" s="5" t="str">
        <f ca="1">IFERROR(__xludf.DUMMYFUNCTION("IF(Y190 = """", """", GOOGLETRANSLATE(Y190, ""en"", ""te""))"),"నిరోధించబడిన పని తిరిగి ప్రారంభమవుతుంది")</f>
        <v>నిరోధించబడిన పని తిరిగి ప్రారంభమవుతుంది</v>
      </c>
      <c r="AV190" s="5" t="str">
        <f ca="1">IFERROR(__xludf.DUMMYFUNCTION("IF(Z190 = """", """", GOOGLETRANSLATE(Z190, ""en"", ""te""))"),"పెద్దల ఆరోగ్యాన్ని గమనించండి")</f>
        <v>పెద్దల ఆరోగ్యాన్ని గమనించండి</v>
      </c>
      <c r="AW190" s="5" t="str">
        <f ca="1">IFERROR(__xludf.DUMMYFUNCTION("IF(AA190 = """", """", GOOGLETRANSLATE(AA190, ""en"", ""te""))"),"కుటుంబ బాధ్యతలు అధికమవుతాయి")</f>
        <v>కుటుంబ బాధ్యతలు అధికమవుతాయి</v>
      </c>
      <c r="AX190" s="5" t="str">
        <f ca="1">IFERROR(__xludf.DUMMYFUNCTION("IF(AB190 = """", """", GOOGLETRANSLATE(AB190, ""en"", ""te""))"),"")</f>
        <v/>
      </c>
    </row>
    <row r="191" spans="1:50" x14ac:dyDescent="0.25">
      <c r="A191" s="1">
        <v>205</v>
      </c>
      <c r="B191" s="1" t="s">
        <v>56</v>
      </c>
      <c r="C191" s="8">
        <v>45838</v>
      </c>
      <c r="D191" s="8">
        <v>45838</v>
      </c>
      <c r="E191" s="1">
        <v>10</v>
      </c>
      <c r="F191" s="1">
        <v>1</v>
      </c>
      <c r="G191" s="3" t="s">
        <v>548</v>
      </c>
      <c r="H191" s="4">
        <v>1.1030092592592593E-2</v>
      </c>
      <c r="I191" s="4">
        <v>6.1921296296296299E-3</v>
      </c>
      <c r="J191" s="4">
        <v>6.5509259259259262E-3</v>
      </c>
      <c r="K191" s="1" t="s">
        <v>58</v>
      </c>
      <c r="L191" s="1" t="s">
        <v>76</v>
      </c>
      <c r="M191" s="1" t="s">
        <v>19</v>
      </c>
      <c r="N191" s="1"/>
      <c r="O191" s="1" t="s">
        <v>61</v>
      </c>
      <c r="P191" s="1" t="s">
        <v>61</v>
      </c>
      <c r="Q191" s="1" t="s">
        <v>61</v>
      </c>
      <c r="R191" s="1" t="s">
        <v>61</v>
      </c>
      <c r="S191" s="1" t="s">
        <v>61</v>
      </c>
      <c r="T191" s="1" t="s">
        <v>61</v>
      </c>
      <c r="U191" s="1"/>
      <c r="V191" s="1" t="s">
        <v>61</v>
      </c>
      <c r="W191" s="1" t="s">
        <v>61</v>
      </c>
      <c r="X191" s="1" t="s">
        <v>61</v>
      </c>
      <c r="Y191" s="1" t="s">
        <v>588</v>
      </c>
      <c r="Z191" s="1" t="s">
        <v>589</v>
      </c>
      <c r="AA191" s="1" t="s">
        <v>275</v>
      </c>
      <c r="AB191" s="1"/>
      <c r="AC191" s="5" t="str">
        <f ca="1">IFERROR(__xludf.DUMMYFUNCTION("IF(Y191 = """", """", GOOGLETRANSLATE(Y191, ""en"", ""hi""))
"),"स्वास्थ्य का ध्यान रखें")</f>
        <v>स्वास्थ्य का ध्यान रखें</v>
      </c>
      <c r="AD191" s="5" t="str">
        <f ca="1">IFERROR(__xludf.DUMMYFUNCTION("IF(Z191 = """", """", GOOGLETRANSLATE(Z191, ""en"", ""hi""))"),"मौसमी संक्रमण से बचें")</f>
        <v>मौसमी संक्रमण से बचें</v>
      </c>
      <c r="AE191" s="5" t="str">
        <f ca="1">IFERROR(__xludf.DUMMYFUNCTION("IF(AA191 = """", """", GOOGLETRANSLATE(AA191, ""en"", ""hi""))"),"ध्यान से चलाएं")</f>
        <v>ध्यान से चलाएं</v>
      </c>
      <c r="AF191" s="5" t="str">
        <f ca="1">IFERROR(__xludf.DUMMYFUNCTION("IF(AB191 = """", """", GOOGLETRANSLATE(AB191, ""en"", ""hi""))"),"")</f>
        <v/>
      </c>
      <c r="AG191" s="5" t="str">
        <f ca="1">IFERROR(__xludf.DUMMYFUNCTION("IF(Y191 = """", """", GOOGLETRANSLATE(Y191, ""en"", ""mr""))"),"आरोग्याची काळजी घ्या")</f>
        <v>आरोग्याची काळजी घ्या</v>
      </c>
      <c r="AH191" s="5" t="str">
        <f ca="1">IFERROR(__xludf.DUMMYFUNCTION("IF(Z191 = """", """", GOOGLETRANSLATE(Z191, ""en"", ""mr""))"),"हंगामी संसर्ग टाळा")</f>
        <v>हंगामी संसर्ग टाळा</v>
      </c>
      <c r="AI191" s="5" t="str">
        <f ca="1">IFERROR(__xludf.DUMMYFUNCTION("IF(AA191 = """", """", GOOGLETRANSLATE(AA191, ""en"", ""mr""))"),"जपून चालवा")</f>
        <v>जपून चालवा</v>
      </c>
      <c r="AJ191" s="5" t="str">
        <f ca="1">IFERROR(__xludf.DUMMYFUNCTION("IF(AB191 = """", """", GOOGLETRANSLATE(AB191, ""en"", ""mr""))"),"")</f>
        <v/>
      </c>
      <c r="AK191" s="5" t="str">
        <f ca="1">IFERROR(__xludf.DUMMYFUNCTION("IF(Y191 = """", """", GOOGLETRANSLATE(Y191, ""en"", ""gu""))"),"સ્વાસ્થ્યનું ધ્યાન રાખો")</f>
        <v>સ્વાસ્થ્યનું ધ્યાન રાખો</v>
      </c>
      <c r="AL191" s="5" t="str">
        <f ca="1">IFERROR(__xludf.DUMMYFUNCTION("IF(Z191 = """", """", GOOGLETRANSLATE(Z191, ""en"", ""gu""))"),"મોસમી ચેપ ટાળો")</f>
        <v>મોસમી ચેપ ટાળો</v>
      </c>
      <c r="AM191" s="5" t="str">
        <f ca="1">IFERROR(__xludf.DUMMYFUNCTION("IF(AA191 = """", """", GOOGLETRANSLATE(AA191, ""en"", ""gu""))"),"કાળજીપૂર્વક વાહન ચલાવો")</f>
        <v>કાળજીપૂર્વક વાહન ચલાવો</v>
      </c>
      <c r="AN191" s="5" t="str">
        <f ca="1">IFERROR(__xludf.DUMMYFUNCTION("IF(AB191 = """", """", GOOGLETRANSLATE(AB191, ""en"", ""gu""))"),"")</f>
        <v/>
      </c>
      <c r="AO191" s="5" t="str">
        <f ca="1">IFERROR(__xludf.DUMMYFUNCTION("IF(Y191 = """", """", GOOGLETRANSLATE(Y191, ""en"", ""bn""))"),"স্বাস্থ্যের যত্ন নিন")</f>
        <v>স্বাস্থ্যের যত্ন নিন</v>
      </c>
      <c r="AP191" s="5" t="str">
        <f ca="1">IFERROR(__xludf.DUMMYFUNCTION("IF(Z191 = """", """", GOOGLETRANSLATE(Z191, ""en"", ""bn""))"),"মৌসুমি সংক্রমণ এড়িয়ে চলুন")</f>
        <v>মৌসুমি সংক্রমণ এড়িয়ে চলুন</v>
      </c>
      <c r="AQ191" s="5" t="str">
        <f ca="1">IFERROR(__xludf.DUMMYFUNCTION("IF(AA191 = """", """", GOOGLETRANSLATE(AA191, ""en"", ""bn""))"),"সাবধানে চালান")</f>
        <v>সাবধানে চালান</v>
      </c>
      <c r="AR191" s="5" t="str">
        <f ca="1">IFERROR(__xludf.DUMMYFUNCTION("IF(AB191 = """", """", GOOGLETRANSLATE(AB191, ""en"", ""bn""))"),"")</f>
        <v/>
      </c>
      <c r="AU191" s="5" t="str">
        <f ca="1">IFERROR(__xludf.DUMMYFUNCTION("IF(Y191 = """", """", GOOGLETRANSLATE(Y191, ""en"", ""te""))"),"ఆరోగ్యం పట్ల శ్రద్ధ వహించండి")</f>
        <v>ఆరోగ్యం పట్ల శ్రద్ధ వహించండి</v>
      </c>
      <c r="AV191" s="5" t="str">
        <f ca="1">IFERROR(__xludf.DUMMYFUNCTION("IF(Z191 = """", """", GOOGLETRANSLATE(Z191, ""en"", ""te""))"),"సీజనల్ ఇన్ఫెక్షన్లను నివారించండి")</f>
        <v>సీజనల్ ఇన్ఫెక్షన్లను నివారించండి</v>
      </c>
      <c r="AW191" s="5" t="str">
        <f ca="1">IFERROR(__xludf.DUMMYFUNCTION("IF(AA191 = """", """", GOOGLETRANSLATE(AA191, ""en"", ""te""))"),"జాగ్రత్తగా డ్రైవ్ చేయండి")</f>
        <v>జాగ్రత్తగా డ్రైవ్ చేయండి</v>
      </c>
      <c r="AX191" s="5" t="str">
        <f ca="1">IFERROR(__xludf.DUMMYFUNCTION("IF(AB191 = """", """", GOOGLETRANSLATE(AB191, ""en"", ""te""))"),"")</f>
        <v/>
      </c>
    </row>
    <row r="192" spans="1:50" x14ac:dyDescent="0.25">
      <c r="A192" s="1">
        <v>206</v>
      </c>
      <c r="B192" s="1" t="s">
        <v>56</v>
      </c>
      <c r="C192" s="8">
        <v>45838</v>
      </c>
      <c r="D192" s="8">
        <v>45838</v>
      </c>
      <c r="E192" s="1">
        <v>11</v>
      </c>
      <c r="F192" s="1">
        <v>1</v>
      </c>
      <c r="G192" s="3" t="s">
        <v>548</v>
      </c>
      <c r="H192" s="4">
        <v>1.1030092592592593E-2</v>
      </c>
      <c r="I192" s="4">
        <v>6.5509259259259262E-3</v>
      </c>
      <c r="J192" s="4">
        <v>6.875E-3</v>
      </c>
      <c r="K192" s="1" t="s">
        <v>58</v>
      </c>
      <c r="L192" s="1" t="s">
        <v>79</v>
      </c>
      <c r="M192" s="1" t="s">
        <v>14</v>
      </c>
      <c r="N192" s="1"/>
      <c r="O192" s="1" t="s">
        <v>61</v>
      </c>
      <c r="P192" s="1" t="s">
        <v>61</v>
      </c>
      <c r="Q192" s="1" t="s">
        <v>61</v>
      </c>
      <c r="R192" s="1" t="s">
        <v>61</v>
      </c>
      <c r="S192" s="1" t="s">
        <v>61</v>
      </c>
      <c r="T192" s="1" t="s">
        <v>61</v>
      </c>
      <c r="U192" s="1"/>
      <c r="V192" s="1" t="s">
        <v>61</v>
      </c>
      <c r="W192" s="1" t="s">
        <v>61</v>
      </c>
      <c r="X192" s="1" t="s">
        <v>61</v>
      </c>
      <c r="Y192" s="1" t="s">
        <v>590</v>
      </c>
      <c r="Z192" s="1" t="s">
        <v>591</v>
      </c>
      <c r="AA192" s="1" t="s">
        <v>592</v>
      </c>
      <c r="AB192" s="1"/>
      <c r="AC192" s="5" t="str">
        <f ca="1">IFERROR(__xludf.DUMMYFUNCTION("IF(Y192 = """", """", GOOGLETRANSLATE(Y192, ""en"", ""hi""))
"),"पुराने कार्यों को पूरा करें")</f>
        <v>पुराने कार्यों को पूरा करें</v>
      </c>
      <c r="AD192" s="5" t="str">
        <f ca="1">IFERROR(__xludf.DUMMYFUNCTION("IF(Z192 = """", """", GOOGLETRANSLATE(Z192, ""en"", ""hi""))"),"मित्रों और परिवार से समर्थन")</f>
        <v>मित्रों और परिवार से समर्थन</v>
      </c>
      <c r="AE192" s="5" t="str">
        <f ca="1">IFERROR(__xludf.DUMMYFUNCTION("IF(AA192 = """", """", GOOGLETRANSLATE(AA192, ""en"", ""hi""))"),"थोड़ी शारीरिक परेशानी संभव")</f>
        <v>थोड़ी शारीरिक परेशानी संभव</v>
      </c>
      <c r="AF192" s="5" t="str">
        <f ca="1">IFERROR(__xludf.DUMMYFUNCTION("IF(AB192 = """", """", GOOGLETRANSLATE(AB192, ""en"", ""hi""))"),"")</f>
        <v/>
      </c>
      <c r="AG192" s="5" t="str">
        <f ca="1">IFERROR(__xludf.DUMMYFUNCTION("IF(Y192 = """", """", GOOGLETRANSLATE(Y192, ""en"", ""mr""))"),"जुनी कामे पूर्ण करा")</f>
        <v>जुनी कामे पूर्ण करा</v>
      </c>
      <c r="AH192" s="5" t="str">
        <f ca="1">IFERROR(__xludf.DUMMYFUNCTION("IF(Z192 = """", """", GOOGLETRANSLATE(Z192, ""en"", ""mr""))"),"मित्रपरिवार आणि मित्रांकडून सहकार्य मिळेल")</f>
        <v>मित्रपरिवार आणि मित्रांकडून सहकार्य मिळेल</v>
      </c>
      <c r="AI192" s="5" t="str">
        <f ca="1">IFERROR(__xludf.DUMMYFUNCTION("IF(AA192 = """", """", GOOGLETRANSLATE(AA192, ""en"", ""mr""))"),"किंचित शारीरिक अस्वस्थता संभवते")</f>
        <v>किंचित शारीरिक अस्वस्थता संभवते</v>
      </c>
      <c r="AJ192" s="5" t="str">
        <f ca="1">IFERROR(__xludf.DUMMYFUNCTION("IF(AB192 = """", """", GOOGLETRANSLATE(AB192, ""en"", ""mr""))"),"")</f>
        <v/>
      </c>
      <c r="AK192" s="5" t="str">
        <f ca="1">IFERROR(__xludf.DUMMYFUNCTION("IF(Y192 = """", """", GOOGLETRANSLATE(Y192, ""en"", ""gu""))"),"જૂના કાર્યો પૂરા કરો")</f>
        <v>જૂના કાર્યો પૂરા કરો</v>
      </c>
      <c r="AL192" s="5" t="str">
        <f ca="1">IFERROR(__xludf.DUMMYFUNCTION("IF(Z192 = """", """", GOOGLETRANSLATE(Z192, ""en"", ""gu""))"),"મિત્રો અને પરિવાર તરફથી સહયોગ મળશે")</f>
        <v>મિત્રો અને પરિવાર તરફથી સહયોગ મળશે</v>
      </c>
      <c r="AM192" s="5" t="str">
        <f ca="1">IFERROR(__xludf.DUMMYFUNCTION("IF(AA192 = """", """", GOOGLETRANSLATE(AA192, ""en"", ""gu""))"),"થોડી શારીરિક અસ્વસ્થતા શક્ય છે")</f>
        <v>થોડી શારીરિક અસ્વસ્થતા શક્ય છે</v>
      </c>
      <c r="AN192" s="5" t="str">
        <f ca="1">IFERROR(__xludf.DUMMYFUNCTION("IF(AB192 = """", """", GOOGLETRANSLATE(AB192, ""en"", ""gu""))"),"")</f>
        <v/>
      </c>
      <c r="AO192" s="5" t="str">
        <f ca="1">IFERROR(__xludf.DUMMYFUNCTION("IF(Y192 = """", """", GOOGLETRANSLATE(Y192, ""en"", ""bn""))"),"পুরানো কাজগুলি সম্পূর্ণ করুন")</f>
        <v>পুরানো কাজগুলি সম্পূর্ণ করুন</v>
      </c>
      <c r="AP192" s="5" t="str">
        <f ca="1">IFERROR(__xludf.DUMMYFUNCTION("IF(Z192 = """", """", GOOGLETRANSLATE(Z192, ""en"", ""bn""))"),"বন্ধু এবং পরিবারের কাছ থেকে সমর্থন")</f>
        <v>বন্ধু এবং পরিবারের কাছ থেকে সমর্থন</v>
      </c>
      <c r="AQ192" s="5" t="str">
        <f ca="1">IFERROR(__xludf.DUMMYFUNCTION("IF(AA192 = """", """", GOOGLETRANSLATE(AA192, ""en"", ""bn""))"),"সামান্য শারীরিক অস্বস্তি সম্ভব")</f>
        <v>সামান্য শারীরিক অস্বস্তি সম্ভব</v>
      </c>
      <c r="AR192" s="5" t="str">
        <f ca="1">IFERROR(__xludf.DUMMYFUNCTION("IF(AB192 = """", """", GOOGLETRANSLATE(AB192, ""en"", ""bn""))"),"")</f>
        <v/>
      </c>
      <c r="AU192" s="5" t="str">
        <f ca="1">IFERROR(__xludf.DUMMYFUNCTION("IF(Y192 = """", """", GOOGLETRANSLATE(Y192, ""en"", ""te""))"),"పాత పనులను పూర్తి చేయండి")</f>
        <v>పాత పనులను పూర్తి చేయండి</v>
      </c>
      <c r="AV192" s="5" t="str">
        <f ca="1">IFERROR(__xludf.DUMMYFUNCTION("IF(Z192 = """", """", GOOGLETRANSLATE(Z192, ""en"", ""te""))"),"స్నేహితులు మరియు కుటుంబ సభ్యుల నుండి మద్దతు")</f>
        <v>స్నేహితులు మరియు కుటుంబ సభ్యుల నుండి మద్దతు</v>
      </c>
      <c r="AW192" s="5" t="str">
        <f ca="1">IFERROR(__xludf.DUMMYFUNCTION("IF(AA192 = """", """", GOOGLETRANSLATE(AA192, ""en"", ""te""))"),"స్వల్ప శారీరక అసౌకర్యం సాధ్యమే")</f>
        <v>స్వల్ప శారీరక అసౌకర్యం సాధ్యమే</v>
      </c>
      <c r="AX192" s="5" t="str">
        <f ca="1">IFERROR(__xludf.DUMMYFUNCTION("IF(AB192 = """", """", GOOGLETRANSLATE(AB192, ""en"", ""te""))"),"")</f>
        <v/>
      </c>
    </row>
    <row r="193" spans="1:50" x14ac:dyDescent="0.25">
      <c r="A193" s="1">
        <v>207</v>
      </c>
      <c r="B193" s="1" t="s">
        <v>56</v>
      </c>
      <c r="C193" s="8">
        <v>45838</v>
      </c>
      <c r="D193" s="8">
        <v>45838</v>
      </c>
      <c r="E193" s="1">
        <v>12</v>
      </c>
      <c r="F193" s="1">
        <v>1</v>
      </c>
      <c r="G193" s="3" t="s">
        <v>548</v>
      </c>
      <c r="H193" s="4">
        <v>1.1030092592592593E-2</v>
      </c>
      <c r="I193" s="4">
        <v>6.875E-3</v>
      </c>
      <c r="J193" s="4">
        <v>7.3263888888888892E-3</v>
      </c>
      <c r="K193" s="1" t="s">
        <v>58</v>
      </c>
      <c r="L193" s="1" t="s">
        <v>81</v>
      </c>
      <c r="M193" s="1" t="s">
        <v>593</v>
      </c>
      <c r="N193" s="1"/>
      <c r="O193" s="1" t="s">
        <v>61</v>
      </c>
      <c r="P193" s="1" t="s">
        <v>61</v>
      </c>
      <c r="Q193" s="1" t="s">
        <v>61</v>
      </c>
      <c r="R193" s="1" t="s">
        <v>61</v>
      </c>
      <c r="S193" s="1" t="s">
        <v>61</v>
      </c>
      <c r="T193" s="1" t="s">
        <v>61</v>
      </c>
      <c r="U193" s="1"/>
      <c r="V193" s="1" t="s">
        <v>61</v>
      </c>
      <c r="W193" s="1" t="s">
        <v>61</v>
      </c>
      <c r="X193" s="1" t="s">
        <v>61</v>
      </c>
      <c r="Y193" s="1" t="s">
        <v>594</v>
      </c>
      <c r="Z193" s="1" t="s">
        <v>595</v>
      </c>
      <c r="AA193" s="1" t="s">
        <v>596</v>
      </c>
      <c r="AB193" s="1"/>
      <c r="AC193" s="5" t="str">
        <f ca="1">IFERROR(__xludf.DUMMYFUNCTION("IF(Y193 = """", """", GOOGLETRANSLATE(Y193, ""en"", ""hi""))
"),"जल्दबाजी से बचें")</f>
        <v>जल्दबाजी से बचें</v>
      </c>
      <c r="AD193" s="5" t="str">
        <f ca="1">IFERROR(__xludf.DUMMYFUNCTION("IF(Z193 = """", """", GOOGLETRANSLATE(Z193, ""en"", ""hi""))"),"स्वयं दवा न लें")</f>
        <v>स्वयं दवा न लें</v>
      </c>
      <c r="AE193" s="5" t="str">
        <f ca="1">IFERROR(__xludf.DUMMYFUNCTION("IF(AA193 = """", """", GOOGLETRANSLATE(AA193, ""en"", ""hi""))"),"स्वास्थ्य महत्वपूर्ण कार्य में बाधा डाल सकता है")</f>
        <v>स्वास्थ्य महत्वपूर्ण कार्य में बाधा डाल सकता है</v>
      </c>
      <c r="AF193" s="5" t="str">
        <f ca="1">IFERROR(__xludf.DUMMYFUNCTION("IF(AB193 = """", """", GOOGLETRANSLATE(AB193, ""en"", ""hi""))"),"")</f>
        <v/>
      </c>
      <c r="AG193" s="5" t="str">
        <f ca="1">IFERROR(__xludf.DUMMYFUNCTION("IF(Y193 = """", """", GOOGLETRANSLATE(Y193, ""en"", ""mr""))"),"घाई टाळा")</f>
        <v>घाई टाळा</v>
      </c>
      <c r="AH193" s="5" t="str">
        <f ca="1">IFERROR(__xludf.DUMMYFUNCTION("IF(Z193 = """", """", GOOGLETRANSLATE(Z193, ""en"", ""mr""))"),"स्वत: ची औषधोपचार करू नका")</f>
        <v>स्वत: ची औषधोपचार करू नका</v>
      </c>
      <c r="AI193" s="5" t="str">
        <f ca="1">IFERROR(__xludf.DUMMYFUNCTION("IF(AA193 = """", """", GOOGLETRANSLATE(AA193, ""en"", ""mr""))"),"आरोग्यामुळे महत्त्वाच्या कामात अडथळा येऊ शकतो")</f>
        <v>आरोग्यामुळे महत्त्वाच्या कामात अडथळा येऊ शकतो</v>
      </c>
      <c r="AJ193" s="5" t="str">
        <f ca="1">IFERROR(__xludf.DUMMYFUNCTION("IF(AB193 = """", """", GOOGLETRANSLATE(AB193, ""en"", ""mr""))"),"")</f>
        <v/>
      </c>
      <c r="AK193" s="5" t="str">
        <f ca="1">IFERROR(__xludf.DUMMYFUNCTION("IF(Y193 = """", """", GOOGLETRANSLATE(Y193, ""en"", ""gu""))"),"ઉતાવળ ટાળો")</f>
        <v>ઉતાવળ ટાળો</v>
      </c>
      <c r="AL193" s="5" t="str">
        <f ca="1">IFERROR(__xludf.DUMMYFUNCTION("IF(Z193 = """", """", GOOGLETRANSLATE(Z193, ""en"", ""gu""))"),"સ્વ-દવા ન કરો")</f>
        <v>સ્વ-દવા ન કરો</v>
      </c>
      <c r="AM193" s="5" t="str">
        <f ca="1">IFERROR(__xludf.DUMMYFUNCTION("IF(AA193 = """", """", GOOGLETRANSLATE(AA193, ""en"", ""gu""))"),"સ્વાસ્થ્ય મહત્વપૂર્ણ કામમાં પરેશાન કરી શકે છે")</f>
        <v>સ્વાસ્થ્ય મહત્વપૂર્ણ કામમાં પરેશાન કરી શકે છે</v>
      </c>
      <c r="AN193" s="5" t="str">
        <f ca="1">IFERROR(__xludf.DUMMYFUNCTION("IF(AB193 = """", """", GOOGLETRANSLATE(AB193, ""en"", ""gu""))"),"")</f>
        <v/>
      </c>
      <c r="AO193" s="5" t="str">
        <f ca="1">IFERROR(__xludf.DUMMYFUNCTION("IF(Y193 = """", """", GOOGLETRANSLATE(Y193, ""en"", ""bn""))"),"তাড়াহুড়ো এড়িয়ে চলুন")</f>
        <v>তাড়াহুড়ো এড়িয়ে চলুন</v>
      </c>
      <c r="AP193" s="5" t="str">
        <f ca="1">IFERROR(__xludf.DUMMYFUNCTION("IF(Z193 = """", """", GOOGLETRANSLATE(Z193, ""en"", ""bn""))"),"স্ব-ঔষধ করবেন না")</f>
        <v>স্ব-ঔষধ করবেন না</v>
      </c>
      <c r="AQ193" s="5" t="str">
        <f ca="1">IFERROR(__xludf.DUMMYFUNCTION("IF(AA193 = """", """", GOOGLETRANSLATE(AA193, ""en"", ""bn""))"),"স্বাস্থ্য গুরুত্বপূর্ণ কাজে ব্যাঘাত ঘটাতে পারে")</f>
        <v>স্বাস্থ্য গুরুত্বপূর্ণ কাজে ব্যাঘাত ঘটাতে পারে</v>
      </c>
      <c r="AR193" s="5" t="str">
        <f ca="1">IFERROR(__xludf.DUMMYFUNCTION("IF(AB193 = """", """", GOOGLETRANSLATE(AB193, ""en"", ""bn""))"),"")</f>
        <v/>
      </c>
      <c r="AU193" s="5" t="str">
        <f ca="1">IFERROR(__xludf.DUMMYFUNCTION("IF(Y193 = """", """", GOOGLETRANSLATE(Y193, ""en"", ""te""))"),"తొందరపాటు మానుకోండి")</f>
        <v>తొందరపాటు మానుకోండి</v>
      </c>
      <c r="AV193" s="5" t="str">
        <f ca="1">IFERROR(__xludf.DUMMYFUNCTION("IF(Z193 = """", """", GOOGLETRANSLATE(Z193, ""en"", ""te""))"),"స్వీయ వైద్యం చేయవద్దు")</f>
        <v>స్వీయ వైద్యం చేయవద్దు</v>
      </c>
      <c r="AW193" s="5" t="str">
        <f ca="1">IFERROR(__xludf.DUMMYFUNCTION("IF(AA193 = """", """", GOOGLETRANSLATE(AA193, ""en"", ""te""))"),"ఆరోగ్యం ముఖ్యమైన పనులకు ఆటంకం కలిగించవచ్చు")</f>
        <v>ఆరోగ్యం ముఖ్యమైన పనులకు ఆటంకం కలిగించవచ్చు</v>
      </c>
      <c r="AX193" s="5" t="str">
        <f ca="1">IFERROR(__xludf.DUMMYFUNCTION("IF(AB193 = """", """", GOOGLETRANSLATE(AB193, ""en"", ""te""))"),"")</f>
        <v/>
      </c>
    </row>
    <row r="194" spans="1:50" x14ac:dyDescent="0.25">
      <c r="A194" s="1">
        <v>208</v>
      </c>
      <c r="B194" s="1" t="s">
        <v>56</v>
      </c>
      <c r="C194" s="8">
        <v>45838</v>
      </c>
      <c r="D194" s="8">
        <v>45838</v>
      </c>
      <c r="E194" s="1">
        <v>13</v>
      </c>
      <c r="F194" s="1">
        <v>1</v>
      </c>
      <c r="G194" s="3" t="s">
        <v>548</v>
      </c>
      <c r="H194" s="4">
        <v>1.1030092592592593E-2</v>
      </c>
      <c r="I194" s="4">
        <v>7.3263888888888892E-3</v>
      </c>
      <c r="J194" s="4">
        <v>1.1030092592592593E-2</v>
      </c>
      <c r="K194" s="1" t="s">
        <v>58</v>
      </c>
      <c r="L194" s="1" t="s">
        <v>137</v>
      </c>
      <c r="M194" s="1"/>
      <c r="N194" s="1"/>
      <c r="O194" s="1" t="s">
        <v>61</v>
      </c>
      <c r="P194" s="1" t="s">
        <v>61</v>
      </c>
      <c r="Q194" s="1" t="s">
        <v>61</v>
      </c>
      <c r="R194" s="1" t="s">
        <v>61</v>
      </c>
      <c r="S194" s="1" t="s">
        <v>61</v>
      </c>
      <c r="T194" s="1" t="s">
        <v>61</v>
      </c>
      <c r="U194" s="1"/>
      <c r="V194" s="1" t="s">
        <v>61</v>
      </c>
      <c r="W194" s="1" t="s">
        <v>61</v>
      </c>
      <c r="X194" s="1" t="s">
        <v>61</v>
      </c>
      <c r="Y194" s="1"/>
      <c r="Z194" s="1"/>
      <c r="AA194" s="1"/>
      <c r="AB194" s="1"/>
      <c r="AC194" s="5" t="str">
        <f ca="1">IFERROR(__xludf.DUMMYFUNCTION("IF(Y194 = """", """", GOOGLETRANSLATE(Y194, ""en"", ""hi""))
"),"")</f>
        <v/>
      </c>
      <c r="AD194" s="5" t="str">
        <f ca="1">IFERROR(__xludf.DUMMYFUNCTION("IF(Z194 = """", """", GOOGLETRANSLATE(Z194, ""en"", ""hi""))"),"")</f>
        <v/>
      </c>
      <c r="AE194" s="5" t="str">
        <f ca="1">IFERROR(__xludf.DUMMYFUNCTION("IF(AA194 = """", """", GOOGLETRANSLATE(AA194, ""en"", ""hi""))"),"")</f>
        <v/>
      </c>
      <c r="AF194" s="5" t="str">
        <f ca="1">IFERROR(__xludf.DUMMYFUNCTION("IF(AB194 = """", """", GOOGLETRANSLATE(AB194, ""en"", ""hi""))"),"")</f>
        <v/>
      </c>
      <c r="AG194" s="5" t="str">
        <f ca="1">IFERROR(__xludf.DUMMYFUNCTION("IF(Y194 = """", """", GOOGLETRANSLATE(Y194, ""en"", ""mr""))"),"")</f>
        <v/>
      </c>
      <c r="AH194" s="5" t="str">
        <f ca="1">IFERROR(__xludf.DUMMYFUNCTION("IF(Z194 = """", """", GOOGLETRANSLATE(Z194, ""en"", ""mr""))"),"")</f>
        <v/>
      </c>
      <c r="AI194" s="5" t="str">
        <f ca="1">IFERROR(__xludf.DUMMYFUNCTION("IF(AA194 = """", """", GOOGLETRANSLATE(AA194, ""en"", ""mr""))"),"")</f>
        <v/>
      </c>
      <c r="AJ194" s="5" t="str">
        <f ca="1">IFERROR(__xludf.DUMMYFUNCTION("IF(AB194 = """", """", GOOGLETRANSLATE(AB194, ""en"", ""mr""))"),"")</f>
        <v/>
      </c>
      <c r="AK194" s="5" t="str">
        <f ca="1">IFERROR(__xludf.DUMMYFUNCTION("IF(Y194 = """", """", GOOGLETRANSLATE(Y194, ""en"", ""gu""))"),"")</f>
        <v/>
      </c>
      <c r="AL194" s="5" t="str">
        <f ca="1">IFERROR(__xludf.DUMMYFUNCTION("IF(Z194 = """", """", GOOGLETRANSLATE(Z194, ""en"", ""gu""))"),"")</f>
        <v/>
      </c>
      <c r="AM194" s="5" t="str">
        <f ca="1">IFERROR(__xludf.DUMMYFUNCTION("IF(AA194 = """", """", GOOGLETRANSLATE(AA194, ""en"", ""gu""))"),"")</f>
        <v/>
      </c>
      <c r="AN194" s="5" t="str">
        <f ca="1">IFERROR(__xludf.DUMMYFUNCTION("IF(AB194 = """", """", GOOGLETRANSLATE(AB194, ""en"", ""gu""))"),"")</f>
        <v/>
      </c>
      <c r="AO194" s="5" t="str">
        <f ca="1">IFERROR(__xludf.DUMMYFUNCTION("IF(Y194 = """", """", GOOGLETRANSLATE(Y194, ""en"", ""bn""))"),"")</f>
        <v/>
      </c>
      <c r="AP194" s="5" t="str">
        <f ca="1">IFERROR(__xludf.DUMMYFUNCTION("IF(Z194 = """", """", GOOGLETRANSLATE(Z194, ""en"", ""bn""))"),"")</f>
        <v/>
      </c>
      <c r="AQ194" s="5" t="str">
        <f ca="1">IFERROR(__xludf.DUMMYFUNCTION("IF(AA194 = """", """", GOOGLETRANSLATE(AA194, ""en"", ""bn""))"),"")</f>
        <v/>
      </c>
      <c r="AR194" s="5" t="str">
        <f ca="1">IFERROR(__xludf.DUMMYFUNCTION("IF(AB194 = """", """", GOOGLETRANSLATE(AB194, ""en"", ""bn""))"),"")</f>
        <v/>
      </c>
      <c r="AU194" s="5" t="str">
        <f ca="1">IFERROR(__xludf.DUMMYFUNCTION("IF(Y194 = """", """", GOOGLETRANSLATE(Y194, ""en"", ""te""))"),"")</f>
        <v/>
      </c>
      <c r="AV194" s="5" t="str">
        <f ca="1">IFERROR(__xludf.DUMMYFUNCTION("IF(Z194 = """", """", GOOGLETRANSLATE(Z194, ""en"", ""te""))"),"")</f>
        <v/>
      </c>
      <c r="AW194" s="5" t="str">
        <f ca="1">IFERROR(__xludf.DUMMYFUNCTION("IF(AA194 = """", """", GOOGLETRANSLATE(AA194, ""en"", ""te""))"),"")</f>
        <v/>
      </c>
      <c r="AX194" s="5" t="str">
        <f ca="1">IFERROR(__xludf.DUMMYFUNCTION("IF(AB194 = """", """", GOOGLETRANSLATE(AB194, ""en"", ""te""))"),"")</f>
        <v/>
      </c>
    </row>
    <row r="195" spans="1:50" x14ac:dyDescent="0.25">
      <c r="A195" s="1">
        <v>209</v>
      </c>
      <c r="B195" s="1" t="s">
        <v>56</v>
      </c>
      <c r="C195" s="2">
        <v>45839</v>
      </c>
      <c r="D195" s="2">
        <v>45839</v>
      </c>
      <c r="E195" s="1">
        <v>0</v>
      </c>
      <c r="F195" s="1">
        <v>1</v>
      </c>
      <c r="G195" s="3" t="s">
        <v>171</v>
      </c>
      <c r="H195" s="4">
        <v>1.1527777777777777E-2</v>
      </c>
      <c r="I195" s="4">
        <v>0</v>
      </c>
      <c r="J195" s="4">
        <v>9.7222222222222219E-4</v>
      </c>
      <c r="K195" s="1" t="s">
        <v>58</v>
      </c>
      <c r="L195" s="1" t="s">
        <v>59</v>
      </c>
      <c r="M195" s="1"/>
      <c r="N195" s="1"/>
      <c r="O195" s="1" t="s">
        <v>61</v>
      </c>
      <c r="P195" s="1" t="s">
        <v>61</v>
      </c>
      <c r="Q195" s="1" t="s">
        <v>61</v>
      </c>
      <c r="R195" s="1" t="s">
        <v>61</v>
      </c>
      <c r="S195" s="1" t="s">
        <v>61</v>
      </c>
      <c r="T195" s="1" t="s">
        <v>61</v>
      </c>
      <c r="U195" s="1"/>
      <c r="V195" s="1" t="s">
        <v>61</v>
      </c>
      <c r="W195" s="1" t="s">
        <v>61</v>
      </c>
      <c r="X195" s="1" t="s">
        <v>61</v>
      </c>
      <c r="Y195" s="1"/>
      <c r="Z195" s="1"/>
      <c r="AA195" s="1"/>
      <c r="AB195" s="1"/>
      <c r="AC195" s="5" t="str">
        <f ca="1">IFERROR(__xludf.DUMMYFUNCTION("IF(Y195 = """", """", GOOGLETRANSLATE(Y195, ""en"", ""hi""))
"),"")</f>
        <v/>
      </c>
      <c r="AD195" s="5" t="str">
        <f ca="1">IFERROR(__xludf.DUMMYFUNCTION("IF(Z195 = """", """", GOOGLETRANSLATE(Z195, ""en"", ""hi""))"),"")</f>
        <v/>
      </c>
      <c r="AE195" s="5" t="str">
        <f ca="1">IFERROR(__xludf.DUMMYFUNCTION("IF(AA195 = """", """", GOOGLETRANSLATE(AA195, ""en"", ""hi""))"),"")</f>
        <v/>
      </c>
      <c r="AF195" s="5" t="str">
        <f ca="1">IFERROR(__xludf.DUMMYFUNCTION("IF(AB195 = """", """", GOOGLETRANSLATE(AB195, ""en"", ""hi""))"),"")</f>
        <v/>
      </c>
      <c r="AG195" s="5" t="str">
        <f ca="1">IFERROR(__xludf.DUMMYFUNCTION("IF(Y195 = """", """", GOOGLETRANSLATE(Y195, ""en"", ""mr""))"),"")</f>
        <v/>
      </c>
      <c r="AH195" s="5" t="str">
        <f ca="1">IFERROR(__xludf.DUMMYFUNCTION("IF(Z195 = """", """", GOOGLETRANSLATE(Z195, ""en"", ""mr""))"),"")</f>
        <v/>
      </c>
      <c r="AI195" s="5" t="str">
        <f ca="1">IFERROR(__xludf.DUMMYFUNCTION("IF(AA195 = """", """", GOOGLETRANSLATE(AA195, ""en"", ""mr""))"),"")</f>
        <v/>
      </c>
      <c r="AJ195" s="5" t="str">
        <f ca="1">IFERROR(__xludf.DUMMYFUNCTION("IF(AB195 = """", """", GOOGLETRANSLATE(AB195, ""en"", ""mr""))"),"")</f>
        <v/>
      </c>
      <c r="AK195" s="5" t="str">
        <f ca="1">IFERROR(__xludf.DUMMYFUNCTION("IF(Y195 = """", """", GOOGLETRANSLATE(Y195, ""en"", ""gu""))"),"")</f>
        <v/>
      </c>
      <c r="AL195" s="5" t="str">
        <f ca="1">IFERROR(__xludf.DUMMYFUNCTION("IF(Z195 = """", """", GOOGLETRANSLATE(Z195, ""en"", ""gu""))"),"")</f>
        <v/>
      </c>
      <c r="AM195" s="5" t="str">
        <f ca="1">IFERROR(__xludf.DUMMYFUNCTION("IF(AA195 = """", """", GOOGLETRANSLATE(AA195, ""en"", ""gu""))"),"")</f>
        <v/>
      </c>
      <c r="AN195" s="5" t="str">
        <f ca="1">IFERROR(__xludf.DUMMYFUNCTION("IF(AB195 = """", """", GOOGLETRANSLATE(AB195, ""en"", ""gu""))"),"")</f>
        <v/>
      </c>
      <c r="AO195" s="5" t="str">
        <f ca="1">IFERROR(__xludf.DUMMYFUNCTION("IF(Y195 = """", """", GOOGLETRANSLATE(Y195, ""en"", ""bn""))"),"")</f>
        <v/>
      </c>
      <c r="AP195" s="5" t="str">
        <f ca="1">IFERROR(__xludf.DUMMYFUNCTION("IF(Z195 = """", """", GOOGLETRANSLATE(Z195, ""en"", ""bn""))"),"")</f>
        <v/>
      </c>
      <c r="AQ195" s="5" t="str">
        <f ca="1">IFERROR(__xludf.DUMMYFUNCTION("IF(AA195 = """", """", GOOGLETRANSLATE(AA195, ""en"", ""bn""))"),"")</f>
        <v/>
      </c>
      <c r="AR195" s="5" t="str">
        <f ca="1">IFERROR(__xludf.DUMMYFUNCTION("IF(AB195 = """", """", GOOGLETRANSLATE(AB195, ""en"", ""bn""))"),"")</f>
        <v/>
      </c>
      <c r="AU195" s="5" t="str">
        <f ca="1">IFERROR(__xludf.DUMMYFUNCTION("IF(Y195 = """", """", GOOGLETRANSLATE(Y195, ""en"", ""te""))"),"")</f>
        <v/>
      </c>
      <c r="AV195" s="5" t="str">
        <f ca="1">IFERROR(__xludf.DUMMYFUNCTION("IF(Z195 = """", """", GOOGLETRANSLATE(Z195, ""en"", ""te""))"),"")</f>
        <v/>
      </c>
      <c r="AW195" s="5" t="str">
        <f ca="1">IFERROR(__xludf.DUMMYFUNCTION("IF(AA195 = """", """", GOOGLETRANSLATE(AA195, ""en"", ""te""))"),"")</f>
        <v/>
      </c>
      <c r="AX195" s="5" t="str">
        <f ca="1">IFERROR(__xludf.DUMMYFUNCTION("IF(AB195 = """", """", GOOGLETRANSLATE(AB195, ""en"", ""te""))"),"")</f>
        <v/>
      </c>
    </row>
    <row r="196" spans="1:50" x14ac:dyDescent="0.25">
      <c r="A196" s="1">
        <v>210</v>
      </c>
      <c r="B196" s="1" t="s">
        <v>56</v>
      </c>
      <c r="C196" s="2">
        <v>45839</v>
      </c>
      <c r="D196" s="2">
        <v>45839</v>
      </c>
      <c r="E196" s="1">
        <v>1</v>
      </c>
      <c r="F196" s="1">
        <v>1</v>
      </c>
      <c r="G196" s="3" t="s">
        <v>171</v>
      </c>
      <c r="H196" s="4">
        <v>1.1527777777777777E-2</v>
      </c>
      <c r="I196" s="4">
        <v>9.7222222222222219E-4</v>
      </c>
      <c r="J196" s="4">
        <v>1.8749999999999999E-3</v>
      </c>
      <c r="K196" s="1" t="s">
        <v>58</v>
      </c>
      <c r="L196" s="1" t="s">
        <v>142</v>
      </c>
      <c r="M196" s="1"/>
      <c r="N196" s="1"/>
      <c r="O196" s="1" t="s">
        <v>91</v>
      </c>
      <c r="P196" s="1" t="s">
        <v>61</v>
      </c>
      <c r="Q196" s="1" t="s">
        <v>61</v>
      </c>
      <c r="R196" s="1" t="s">
        <v>61</v>
      </c>
      <c r="S196" s="1" t="s">
        <v>61</v>
      </c>
      <c r="T196" s="1" t="s">
        <v>61</v>
      </c>
      <c r="U196" s="1"/>
      <c r="V196" s="1" t="s">
        <v>61</v>
      </c>
      <c r="W196" s="1" t="s">
        <v>61</v>
      </c>
      <c r="X196" s="1" t="s">
        <v>91</v>
      </c>
      <c r="Y196" s="1" t="s">
        <v>597</v>
      </c>
      <c r="Z196" s="1" t="s">
        <v>598</v>
      </c>
      <c r="AA196" s="1" t="s">
        <v>599</v>
      </c>
      <c r="AB196" s="1"/>
      <c r="AC196" s="5" t="str">
        <f ca="1">IFERROR(__xludf.DUMMYFUNCTION("IF(Y196 = """", """", GOOGLETRANSLATE(Y196, ""en"", ""hi""))
"),"बच्चों से संबंधित तनाव का समाधान")</f>
        <v>बच्चों से संबंधित तनाव का समाधान</v>
      </c>
      <c r="AD196" s="5" t="str">
        <f ca="1">IFERROR(__xludf.DUMMYFUNCTION("IF(Z196 = """", """", GOOGLETRANSLATE(Z196, ""en"", ""hi""))"),"पारिवारिक ज़िम्मेदारियाँ बढ़ती हैं")</f>
        <v>पारिवारिक ज़िम्मेदारियाँ बढ़ती हैं</v>
      </c>
      <c r="AE196" s="5" t="str">
        <f ca="1">IFERROR(__xludf.DUMMYFUNCTION("IF(AA196 = """", """", GOOGLETRANSLATE(AA196, ""en"", ""hi""))"),"बुजुर्गों के स्वास्थ्य संबंधी कार्य")</f>
        <v>बुजुर्गों के स्वास्थ्य संबंधी कार्य</v>
      </c>
      <c r="AF196" s="5" t="str">
        <f ca="1">IFERROR(__xludf.DUMMYFUNCTION("IF(AB196 = """", """", GOOGLETRANSLATE(AB196, ""en"", ""hi""))"),"")</f>
        <v/>
      </c>
      <c r="AG196" s="5" t="str">
        <f ca="1">IFERROR(__xludf.DUMMYFUNCTION("IF(Y196 = """", """", GOOGLETRANSLATE(Y196, ""en"", ""mr""))"),"मुलांशी संबंधित तणाव दूर होईल")</f>
        <v>मुलांशी संबंधित तणाव दूर होईल</v>
      </c>
      <c r="AH196" s="5" t="str">
        <f ca="1">IFERROR(__xludf.DUMMYFUNCTION("IF(Z196 = """", """", GOOGLETRANSLATE(Z196, ""en"", ""mr""))"),"कौटुंबिक जबाबदाऱ्या वाढतील")</f>
        <v>कौटुंबिक जबाबदाऱ्या वाढतील</v>
      </c>
      <c r="AI196" s="5" t="str">
        <f ca="1">IFERROR(__xludf.DUMMYFUNCTION("IF(AA196 = """", """", GOOGLETRANSLATE(AA196, ""en"", ""mr""))"),"वडिलांच्या आरोग्याचे काम")</f>
        <v>वडिलांच्या आरोग्याचे काम</v>
      </c>
      <c r="AJ196" s="5" t="str">
        <f ca="1">IFERROR(__xludf.DUMMYFUNCTION("IF(AB196 = """", """", GOOGLETRANSLATE(AB196, ""en"", ""mr""))"),"")</f>
        <v/>
      </c>
      <c r="AK196" s="5" t="str">
        <f ca="1">IFERROR(__xludf.DUMMYFUNCTION("IF(Y196 = """", """", GOOGLETRANSLATE(Y196, ""en"", ""gu""))"),"સંતાન સંબંધી તણાવ દૂર થાય")</f>
        <v>સંતાન સંબંધી તણાવ દૂર થાય</v>
      </c>
      <c r="AL196" s="5" t="str">
        <f ca="1">IFERROR(__xludf.DUMMYFUNCTION("IF(Z196 = """", """", GOOGLETRANSLATE(Z196, ""en"", ""gu""))"),"પારિવારિક જવાબદારીઓ વધે")</f>
        <v>પારિવારિક જવાબદારીઓ વધે</v>
      </c>
      <c r="AM196" s="5" t="str">
        <f ca="1">IFERROR(__xludf.DUMMYFUNCTION("IF(AA196 = """", """", GOOGLETRANSLATE(AA196, ""en"", ""gu""))"),"વડીલના સ્વાસ્થ્ય સંબંધી કાર્યો")</f>
        <v>વડીલના સ્વાસ્થ્ય સંબંધી કાર્યો</v>
      </c>
      <c r="AN196" s="5" t="str">
        <f ca="1">IFERROR(__xludf.DUMMYFUNCTION("IF(AB196 = """", """", GOOGLETRANSLATE(AB196, ""en"", ""gu""))"),"")</f>
        <v/>
      </c>
      <c r="AO196" s="5" t="str">
        <f ca="1">IFERROR(__xludf.DUMMYFUNCTION("IF(Y196 = """", """", GOOGLETRANSLATE(Y196, ""en"", ""bn""))"),"সন্তান-সম্পর্কিত উত্তেজনা মিটে যায়")</f>
        <v>সন্তান-সম্পর্কিত উত্তেজনা মিটে যায়</v>
      </c>
      <c r="AP196" s="5" t="str">
        <f ca="1">IFERROR(__xludf.DUMMYFUNCTION("IF(Z196 = """", """", GOOGLETRANSLATE(Z196, ""en"", ""bn""))"),"পারিবারিক দায়িত্ব বাড়ে")</f>
        <v>পারিবারিক দায়িত্ব বাড়ে</v>
      </c>
      <c r="AQ196" s="5" t="str">
        <f ca="1">IFERROR(__xludf.DUMMYFUNCTION("IF(AA196 = """", """", GOOGLETRANSLATE(AA196, ""en"", ""bn""))"),"বৃদ্ধের স্বাস্থ্য সংক্রান্ত কাজ")</f>
        <v>বৃদ্ধের স্বাস্থ্য সংক্রান্ত কাজ</v>
      </c>
      <c r="AR196" s="5" t="str">
        <f ca="1">IFERROR(__xludf.DUMMYFUNCTION("IF(AB196 = """", """", GOOGLETRANSLATE(AB196, ""en"", ""bn""))"),"")</f>
        <v/>
      </c>
      <c r="AU196" s="5" t="str">
        <f ca="1">IFERROR(__xludf.DUMMYFUNCTION("IF(Y196 = """", """", GOOGLETRANSLATE(Y196, ""en"", ""te""))"),"పిల్లలకు సంబంధించిన ఒత్తిడులు తొలగిపోతాయి")</f>
        <v>పిల్లలకు సంబంధించిన ఒత్తిడులు తొలగిపోతాయి</v>
      </c>
      <c r="AV196" s="5" t="str">
        <f ca="1">IFERROR(__xludf.DUMMYFUNCTION("IF(Z196 = """", """", GOOGLETRANSLATE(Z196, ""en"", ""te""))"),"కుటుంబ బాధ్యతలు పెరుగుతాయి")</f>
        <v>కుటుంబ బాధ్యతలు పెరుగుతాయి</v>
      </c>
      <c r="AW196" s="5" t="str">
        <f ca="1">IFERROR(__xludf.DUMMYFUNCTION("IF(AA196 = """", """", GOOGLETRANSLATE(AA196, ""en"", ""te""))"),"పెద్దవారి ఆరోగ్య సమస్యలు")</f>
        <v>పెద్దవారి ఆరోగ్య సమస్యలు</v>
      </c>
      <c r="AX196" s="5" t="str">
        <f ca="1">IFERROR(__xludf.DUMMYFUNCTION("IF(AB196 = """", """", GOOGLETRANSLATE(AB196, ""en"", ""te""))"),"")</f>
        <v/>
      </c>
    </row>
    <row r="197" spans="1:50" x14ac:dyDescent="0.25">
      <c r="A197" s="1">
        <v>211</v>
      </c>
      <c r="B197" s="1" t="s">
        <v>56</v>
      </c>
      <c r="C197" s="2">
        <v>45839</v>
      </c>
      <c r="D197" s="2">
        <v>45839</v>
      </c>
      <c r="E197" s="1">
        <v>2</v>
      </c>
      <c r="F197" s="1">
        <v>1</v>
      </c>
      <c r="G197" s="3" t="s">
        <v>171</v>
      </c>
      <c r="H197" s="4">
        <v>1.1527777777777777E-2</v>
      </c>
      <c r="I197" s="4">
        <v>1.8749999999999999E-3</v>
      </c>
      <c r="J197" s="4">
        <v>2.8356481481481483E-3</v>
      </c>
      <c r="K197" s="1" t="s">
        <v>58</v>
      </c>
      <c r="L197" s="1" t="s">
        <v>90</v>
      </c>
      <c r="M197" s="1"/>
      <c r="N197" s="1"/>
      <c r="O197" s="1" t="s">
        <v>61</v>
      </c>
      <c r="P197" s="1" t="s">
        <v>61</v>
      </c>
      <c r="Q197" s="1" t="s">
        <v>61</v>
      </c>
      <c r="R197" s="1" t="s">
        <v>61</v>
      </c>
      <c r="S197" s="1" t="s">
        <v>91</v>
      </c>
      <c r="T197" s="1" t="s">
        <v>61</v>
      </c>
      <c r="U197" s="1"/>
      <c r="V197" s="1" t="s">
        <v>61</v>
      </c>
      <c r="W197" s="1" t="s">
        <v>91</v>
      </c>
      <c r="X197" s="1" t="s">
        <v>61</v>
      </c>
      <c r="Y197" s="1" t="s">
        <v>600</v>
      </c>
      <c r="Z197" s="1" t="s">
        <v>601</v>
      </c>
      <c r="AA197" s="1" t="s">
        <v>186</v>
      </c>
      <c r="AB197" s="1"/>
      <c r="AC197" s="5" t="str">
        <f ca="1">IFERROR(__xludf.DUMMYFUNCTION("IF(Y197 = """", """", GOOGLETRANSLATE(Y197, ""en"", ""hi""))
"),"अपनी वाणी और व्यवहार पर ध्यान दें")</f>
        <v>अपनी वाणी और व्यवहार पर ध्यान दें</v>
      </c>
      <c r="AD197" s="5" t="str">
        <f ca="1">IFERROR(__xludf.DUMMYFUNCTION("IF(Z197 = """", """", GOOGLETRANSLATE(Z197, ""en"", ""hi""))"),"छींक आने की घटनाओं को नियंत्रित करें")</f>
        <v>छींक आने की घटनाओं को नियंत्रित करें</v>
      </c>
      <c r="AE197" s="5" t="str">
        <f ca="1">IFERROR(__xludf.DUMMYFUNCTION("IF(AA197 = """", """", GOOGLETRANSLATE(AA197, ""en"", ""hi""))"),"बहस से बचें")</f>
        <v>बहस से बचें</v>
      </c>
      <c r="AF197" s="5" t="str">
        <f ca="1">IFERROR(__xludf.DUMMYFUNCTION("IF(AB197 = """", """", GOOGLETRANSLATE(AB197, ""en"", ""hi""))"),"")</f>
        <v/>
      </c>
      <c r="AG197" s="5" t="str">
        <f ca="1">IFERROR(__xludf.DUMMYFUNCTION("IF(Y197 = """", """", GOOGLETRANSLATE(Y197, ""en"", ""mr""))"),"तुमचे बोलणे आणि वागणे पहा")</f>
        <v>तुमचे बोलणे आणि वागणे पहा</v>
      </c>
      <c r="AH197" s="5" t="str">
        <f ca="1">IFERROR(__xludf.DUMMYFUNCTION("IF(Z197 = """", """", GOOGLETRANSLATE(Z197, ""en"", ""mr""))"),"शिंकणे भाग नियंत्रित करा")</f>
        <v>शिंकणे भाग नियंत्रित करा</v>
      </c>
      <c r="AI197" s="5" t="str">
        <f ca="1">IFERROR(__xludf.DUMMYFUNCTION("IF(AA197 = """", """", GOOGLETRANSLATE(AA197, ""en"", ""mr""))"),"वाद टाळा")</f>
        <v>वाद टाळा</v>
      </c>
      <c r="AJ197" s="5" t="str">
        <f ca="1">IFERROR(__xludf.DUMMYFUNCTION("IF(AB197 = """", """", GOOGLETRANSLATE(AB197, ""en"", ""mr""))"),"")</f>
        <v/>
      </c>
      <c r="AK197" s="5" t="str">
        <f ca="1">IFERROR(__xludf.DUMMYFUNCTION("IF(Y197 = """", """", GOOGLETRANSLATE(Y197, ""en"", ""gu""))"),"તમારી વાણી અને વર્તન પર નજર રાખો")</f>
        <v>તમારી વાણી અને વર્તન પર નજર રાખો</v>
      </c>
      <c r="AL197" s="5" t="str">
        <f ca="1">IFERROR(__xludf.DUMMYFUNCTION("IF(Z197 = """", """", GOOGLETRANSLATE(Z197, ""en"", ""gu""))"),"છીંકના એપિસોડને નિયંત્રિત કરો")</f>
        <v>છીંકના એપિસોડને નિયંત્રિત કરો</v>
      </c>
      <c r="AM197" s="5" t="str">
        <f ca="1">IFERROR(__xludf.DUMMYFUNCTION("IF(AA197 = """", """", GOOGLETRANSLATE(AA197, ""en"", ""gu""))"),"દલીલો ટાળો")</f>
        <v>દલીલો ટાળો</v>
      </c>
      <c r="AN197" s="5" t="str">
        <f ca="1">IFERROR(__xludf.DUMMYFUNCTION("IF(AB197 = """", """", GOOGLETRANSLATE(AB197, ""en"", ""gu""))"),"")</f>
        <v/>
      </c>
      <c r="AO197" s="5" t="str">
        <f ca="1">IFERROR(__xludf.DUMMYFUNCTION("IF(Y197 = """", """", GOOGLETRANSLATE(Y197, ""en"", ""bn""))"),"আপনার কথাবার্তা এবং আচরণ দেখুন")</f>
        <v>আপনার কথাবার্তা এবং আচরণ দেখুন</v>
      </c>
      <c r="AP197" s="5" t="str">
        <f ca="1">IFERROR(__xludf.DUMMYFUNCTION("IF(Z197 = """", """", GOOGLETRANSLATE(Z197, ""en"", ""bn""))"),"হাঁচি এপিসোড নিয়ন্ত্রণ করুন")</f>
        <v>হাঁচি এপিসোড নিয়ন্ত্রণ করুন</v>
      </c>
      <c r="AQ197" s="5" t="str">
        <f ca="1">IFERROR(__xludf.DUMMYFUNCTION("IF(AA197 = """", """", GOOGLETRANSLATE(AA197, ""en"", ""bn""))"),"তর্ক এড়িয়ে চলুন")</f>
        <v>তর্ক এড়িয়ে চলুন</v>
      </c>
      <c r="AR197" s="5" t="str">
        <f ca="1">IFERROR(__xludf.DUMMYFUNCTION("IF(AB197 = """", """", GOOGLETRANSLATE(AB197, ""en"", ""bn""))"),"")</f>
        <v/>
      </c>
      <c r="AU197" s="5" t="str">
        <f ca="1">IFERROR(__xludf.DUMMYFUNCTION("IF(Y197 = """", """", GOOGLETRANSLATE(Y197, ""en"", ""te""))"),"మీ ప్రసంగం &amp; ప్రవర్తనను గమనించండి")</f>
        <v>మీ ప్రసంగం &amp; ప్రవర్తనను గమనించండి</v>
      </c>
      <c r="AV197" s="5" t="str">
        <f ca="1">IFERROR(__xludf.DUMMYFUNCTION("IF(Z197 = """", """", GOOGLETRANSLATE(Z197, ""en"", ""te""))"),"తుమ్ముల ఎపిసోడ్‌లను నియంత్రించండి")</f>
        <v>తుమ్ముల ఎపిసోడ్‌లను నియంత్రించండి</v>
      </c>
      <c r="AW197" s="5" t="str">
        <f ca="1">IFERROR(__xludf.DUMMYFUNCTION("IF(AA197 = """", """", GOOGLETRANSLATE(AA197, ""en"", ""te""))"),"వాదనలు మానుకోండి")</f>
        <v>వాదనలు మానుకోండి</v>
      </c>
      <c r="AX197" s="5" t="str">
        <f ca="1">IFERROR(__xludf.DUMMYFUNCTION("IF(AB197 = """", """", GOOGLETRANSLATE(AB197, ""en"", ""te""))"),"")</f>
        <v/>
      </c>
    </row>
    <row r="198" spans="1:50" x14ac:dyDescent="0.25">
      <c r="A198" s="1">
        <v>212</v>
      </c>
      <c r="B198" s="1" t="s">
        <v>56</v>
      </c>
      <c r="C198" s="2">
        <v>45839</v>
      </c>
      <c r="D198" s="2">
        <v>45839</v>
      </c>
      <c r="E198" s="1">
        <v>3</v>
      </c>
      <c r="F198" s="1">
        <v>1</v>
      </c>
      <c r="G198" s="3" t="s">
        <v>171</v>
      </c>
      <c r="H198" s="4">
        <v>1.1527777777777777E-2</v>
      </c>
      <c r="I198" s="4">
        <v>2.8356481481481483E-3</v>
      </c>
      <c r="J198" s="4">
        <v>3.3101851851851851E-3</v>
      </c>
      <c r="K198" s="1" t="s">
        <v>58</v>
      </c>
      <c r="L198" s="1" t="s">
        <v>97</v>
      </c>
      <c r="M198" s="1"/>
      <c r="N198" s="1"/>
      <c r="O198" s="1" t="s">
        <v>61</v>
      </c>
      <c r="P198" s="1" t="s">
        <v>61</v>
      </c>
      <c r="Q198" s="1" t="s">
        <v>61</v>
      </c>
      <c r="R198" s="1" t="s">
        <v>61</v>
      </c>
      <c r="S198" s="1" t="s">
        <v>91</v>
      </c>
      <c r="T198" s="1" t="s">
        <v>61</v>
      </c>
      <c r="U198" s="1"/>
      <c r="V198" s="1" t="s">
        <v>91</v>
      </c>
      <c r="W198" s="1" t="s">
        <v>61</v>
      </c>
      <c r="X198" s="1" t="s">
        <v>61</v>
      </c>
      <c r="Y198" s="1" t="s">
        <v>602</v>
      </c>
      <c r="Z198" s="1" t="s">
        <v>603</v>
      </c>
      <c r="AA198" s="1"/>
      <c r="AB198" s="1"/>
      <c r="AC198" s="5" t="str">
        <f ca="1">IFERROR(__xludf.DUMMYFUNCTION("IF(Y198 = """", """", GOOGLETRANSLATE(Y198, ""en"", ""hi""))
"),"दोपहर 2:30 बजे तक प्रमुख कार्य पूरे करें")</f>
        <v>दोपहर 2:30 बजे तक प्रमुख कार्य पूरे करें</v>
      </c>
      <c r="AD198" s="5" t="str">
        <f ca="1">IFERROR(__xludf.DUMMYFUNCTION("IF(Z198 = """", """", GOOGLETRANSLATE(Z198, ""en"", ""hi""))"),"बुजुर्गों के स्वास्थ्य के प्रति सतर्क रहें")</f>
        <v>बुजुर्गों के स्वास्थ्य के प्रति सतर्क रहें</v>
      </c>
      <c r="AE198" s="5" t="str">
        <f ca="1">IFERROR(__xludf.DUMMYFUNCTION("IF(AA198 = """", """", GOOGLETRANSLATE(AA198, ""en"", ""hi""))"),"")</f>
        <v/>
      </c>
      <c r="AF198" s="5" t="str">
        <f ca="1">IFERROR(__xludf.DUMMYFUNCTION("IF(AB198 = """", """", GOOGLETRANSLATE(AB198, ""en"", ""hi""))"),"")</f>
        <v/>
      </c>
      <c r="AG198" s="5" t="str">
        <f ca="1">IFERROR(__xludf.DUMMYFUNCTION("IF(Y198 = """", """", GOOGLETRANSLATE(Y198, ""en"", ""mr""))"),"मुख्य कार्ये दुपारी 2:30 पर्यंत पूर्ण करा")</f>
        <v>मुख्य कार्ये दुपारी 2:30 पर्यंत पूर्ण करा</v>
      </c>
      <c r="AH198" s="5" t="str">
        <f ca="1">IFERROR(__xludf.DUMMYFUNCTION("IF(Z198 = """", """", GOOGLETRANSLATE(Z198, ""en"", ""mr""))"),"ज्येष्ठांच्या आरोग्याबाबत सावध राहा")</f>
        <v>ज्येष्ठांच्या आरोग्याबाबत सावध राहा</v>
      </c>
      <c r="AI198" s="5" t="str">
        <f ca="1">IFERROR(__xludf.DUMMYFUNCTION("IF(AA198 = """", """", GOOGLETRANSLATE(AA198, ""en"", ""mr""))"),"")</f>
        <v/>
      </c>
      <c r="AJ198" s="5" t="str">
        <f ca="1">IFERROR(__xludf.DUMMYFUNCTION("IF(AB198 = """", """", GOOGLETRANSLATE(AB198, ""en"", ""mr""))"),"")</f>
        <v/>
      </c>
      <c r="AK198" s="5" t="str">
        <f ca="1">IFERROR(__xludf.DUMMYFUNCTION("IF(Y198 = """", """", GOOGLETRANSLATE(Y198, ""en"", ""gu""))"),"મુખ્ય કાર્યો બપોરે 2:30 વાગ્યા સુધીમાં પૂર્ણ કરો")</f>
        <v>મુખ્ય કાર્યો બપોરે 2:30 વાગ્યા સુધીમાં પૂર્ણ કરો</v>
      </c>
      <c r="AL198" s="5" t="str">
        <f ca="1">IFERROR(__xludf.DUMMYFUNCTION("IF(Z198 = """", """", GOOGLETRANSLATE(Z198, ""en"", ""gu""))"),"વડીલના સ્વાસ્થ્યને લઈને સાવધાન રહો")</f>
        <v>વડીલના સ્વાસ્થ્યને લઈને સાવધાન રહો</v>
      </c>
      <c r="AM198" s="5" t="str">
        <f ca="1">IFERROR(__xludf.DUMMYFUNCTION("IF(AA198 = """", """", GOOGLETRANSLATE(AA198, ""en"", ""gu""))"),"")</f>
        <v/>
      </c>
      <c r="AN198" s="5" t="str">
        <f ca="1">IFERROR(__xludf.DUMMYFUNCTION("IF(AB198 = """", """", GOOGLETRANSLATE(AB198, ""en"", ""gu""))"),"")</f>
        <v/>
      </c>
      <c r="AO198" s="5" t="str">
        <f ca="1">IFERROR(__xludf.DUMMYFUNCTION("IF(Y198 = """", """", GOOGLETRANSLATE(Y198, ""en"", ""bn""))"),"2:30 PM এর মধ্যে মূল কাজগুলি সম্পূর্ণ করুন")</f>
        <v>2:30 PM এর মধ্যে মূল কাজগুলি সম্পূর্ণ করুন</v>
      </c>
      <c r="AP198" s="5" t="str">
        <f ca="1">IFERROR(__xludf.DUMMYFUNCTION("IF(Z198 = """", """", GOOGLETRANSLATE(Z198, ""en"", ""bn""))"),"প্রবীণদের স্বাস্থ্য সম্পর্কে সতর্ক থাকুন")</f>
        <v>প্রবীণদের স্বাস্থ্য সম্পর্কে সতর্ক থাকুন</v>
      </c>
      <c r="AQ198" s="5" t="str">
        <f ca="1">IFERROR(__xludf.DUMMYFUNCTION("IF(AA198 = """", """", GOOGLETRANSLATE(AA198, ""en"", ""bn""))"),"")</f>
        <v/>
      </c>
      <c r="AR198" s="5" t="str">
        <f ca="1">IFERROR(__xludf.DUMMYFUNCTION("IF(AB198 = """", """", GOOGLETRANSLATE(AB198, ""en"", ""bn""))"),"")</f>
        <v/>
      </c>
      <c r="AU198" s="5" t="str">
        <f ca="1">IFERROR(__xludf.DUMMYFUNCTION("IF(Y198 = """", """", GOOGLETRANSLATE(Y198, ""en"", ""te""))"),"2:30 PM లోపు కీలక పనులను పూర్తి చేయండి")</f>
        <v>2:30 PM లోపు కీలక పనులను పూర్తి చేయండి</v>
      </c>
      <c r="AV198" s="5" t="str">
        <f ca="1">IFERROR(__xludf.DUMMYFUNCTION("IF(Z198 = """", """", GOOGLETRANSLATE(Z198, ""en"", ""te""))"),"పెద్దల ఆరోగ్యం విషయంలో జాగ్రత్తగా ఉండండి")</f>
        <v>పెద్దల ఆరోగ్యం విషయంలో జాగ్రత్తగా ఉండండి</v>
      </c>
      <c r="AW198" s="5" t="str">
        <f ca="1">IFERROR(__xludf.DUMMYFUNCTION("IF(AA198 = """", """", GOOGLETRANSLATE(AA198, ""en"", ""te""))"),"")</f>
        <v/>
      </c>
      <c r="AX198" s="5" t="str">
        <f ca="1">IFERROR(__xludf.DUMMYFUNCTION("IF(AB198 = """", """", GOOGLETRANSLATE(AB198, ""en"", ""te""))"),"")</f>
        <v/>
      </c>
    </row>
    <row r="199" spans="1:50" x14ac:dyDescent="0.25">
      <c r="A199" s="1">
        <v>213</v>
      </c>
      <c r="B199" s="1" t="s">
        <v>56</v>
      </c>
      <c r="C199" s="2">
        <v>45839</v>
      </c>
      <c r="D199" s="2">
        <v>45839</v>
      </c>
      <c r="E199" s="1">
        <v>4</v>
      </c>
      <c r="F199" s="1">
        <v>1</v>
      </c>
      <c r="G199" s="3" t="s">
        <v>171</v>
      </c>
      <c r="H199" s="4">
        <v>1.1527777777777777E-2</v>
      </c>
      <c r="I199" s="4">
        <v>3.3101851851851851E-3</v>
      </c>
      <c r="J199" s="4">
        <v>4.0393518518518521E-3</v>
      </c>
      <c r="K199" s="1" t="s">
        <v>58</v>
      </c>
      <c r="L199" s="1" t="s">
        <v>102</v>
      </c>
      <c r="M199" s="1"/>
      <c r="N199" s="1"/>
      <c r="O199" s="1" t="s">
        <v>91</v>
      </c>
      <c r="P199" s="1" t="s">
        <v>61</v>
      </c>
      <c r="Q199" s="1" t="s">
        <v>61</v>
      </c>
      <c r="R199" s="1" t="s">
        <v>61</v>
      </c>
      <c r="S199" s="1" t="s">
        <v>61</v>
      </c>
      <c r="T199" s="1" t="s">
        <v>61</v>
      </c>
      <c r="U199" s="1"/>
      <c r="V199" s="1" t="s">
        <v>91</v>
      </c>
      <c r="W199" s="1" t="s">
        <v>61</v>
      </c>
      <c r="X199" s="1" t="s">
        <v>61</v>
      </c>
      <c r="Y199" s="1" t="s">
        <v>604</v>
      </c>
      <c r="Z199" s="1" t="s">
        <v>605</v>
      </c>
      <c r="AA199" s="1"/>
      <c r="AB199" s="1"/>
      <c r="AC199" s="5" t="str">
        <f ca="1">IFERROR(__xludf.DUMMYFUNCTION("IF(Y199 = """", """", GOOGLETRANSLATE(Y199, ""en"", ""hi""))
"),"कार्य करने से पहले सावधानीपूर्वक योजना बनाएं")</f>
        <v>कार्य करने से पहले सावधानीपूर्वक योजना बनाएं</v>
      </c>
      <c r="AD199" s="5" t="str">
        <f ca="1">IFERROR(__xludf.DUMMYFUNCTION("IF(Z199 = """", """", GOOGLETRANSLATE(Z199, ""en"", ""hi""))"),"आवेगपूर्ण कदमों से बचें")</f>
        <v>आवेगपूर्ण कदमों से बचें</v>
      </c>
      <c r="AE199" s="5" t="str">
        <f ca="1">IFERROR(__xludf.DUMMYFUNCTION("IF(AA199 = """", """", GOOGLETRANSLATE(AA199, ""en"", ""hi""))"),"")</f>
        <v/>
      </c>
      <c r="AF199" s="5" t="str">
        <f ca="1">IFERROR(__xludf.DUMMYFUNCTION("IF(AB199 = """", """", GOOGLETRANSLATE(AB199, ""en"", ""hi""))"),"")</f>
        <v/>
      </c>
      <c r="AG199" s="5" t="str">
        <f ca="1">IFERROR(__xludf.DUMMYFUNCTION("IF(Y199 = """", """", GOOGLETRANSLATE(Y199, ""en"", ""mr""))"),"कृती करण्यापूर्वी काळजीपूर्वक योजना करा")</f>
        <v>कृती करण्यापूर्वी काळजीपूर्वक योजना करा</v>
      </c>
      <c r="AH199" s="5" t="str">
        <f ca="1">IFERROR(__xludf.DUMMYFUNCTION("IF(Z199 = """", """", GOOGLETRANSLATE(Z199, ""en"", ""mr""))"),"आवेगपूर्ण हालचाली टाळा")</f>
        <v>आवेगपूर्ण हालचाली टाळा</v>
      </c>
      <c r="AI199" s="5" t="str">
        <f ca="1">IFERROR(__xludf.DUMMYFUNCTION("IF(AA199 = """", """", GOOGLETRANSLATE(AA199, ""en"", ""mr""))"),"")</f>
        <v/>
      </c>
      <c r="AJ199" s="5" t="str">
        <f ca="1">IFERROR(__xludf.DUMMYFUNCTION("IF(AB199 = """", """", GOOGLETRANSLATE(AB199, ""en"", ""mr""))"),"")</f>
        <v/>
      </c>
      <c r="AK199" s="5" t="str">
        <f ca="1">IFERROR(__xludf.DUMMYFUNCTION("IF(Y199 = """", """", GOOGLETRANSLATE(Y199, ""en"", ""gu""))"),"કાર્ય કરતા પહેલા કાળજીપૂર્વક યોજના બનાવો")</f>
        <v>કાર્ય કરતા પહેલા કાળજીપૂર્વક યોજના બનાવો</v>
      </c>
      <c r="AL199" s="5" t="str">
        <f ca="1">IFERROR(__xludf.DUMMYFUNCTION("IF(Z199 = """", """", GOOGLETRANSLATE(Z199, ""en"", ""gu""))"),"આવેગજન્ય ચાલ ટાળો")</f>
        <v>આવેગજન્ય ચાલ ટાળો</v>
      </c>
      <c r="AM199" s="5" t="str">
        <f ca="1">IFERROR(__xludf.DUMMYFUNCTION("IF(AA199 = """", """", GOOGLETRANSLATE(AA199, ""en"", ""gu""))"),"")</f>
        <v/>
      </c>
      <c r="AN199" s="5" t="str">
        <f ca="1">IFERROR(__xludf.DUMMYFUNCTION("IF(AB199 = """", """", GOOGLETRANSLATE(AB199, ""en"", ""gu""))"),"")</f>
        <v/>
      </c>
      <c r="AO199" s="5" t="str">
        <f ca="1">IFERROR(__xludf.DUMMYFUNCTION("IF(Y199 = """", """", GOOGLETRANSLATE(Y199, ""en"", ""bn""))"),"অভিনয় করার আগে সাবধানে পরিকল্পনা করুন")</f>
        <v>অভিনয় করার আগে সাবধানে পরিকল্পনা করুন</v>
      </c>
      <c r="AP199" s="5" t="str">
        <f ca="1">IFERROR(__xludf.DUMMYFUNCTION("IF(Z199 = """", """", GOOGLETRANSLATE(Z199, ""en"", ""bn""))"),"আবেগপ্রবণ পদক্ষেপগুলি এড়িয়ে চলুন")</f>
        <v>আবেগপ্রবণ পদক্ষেপগুলি এড়িয়ে চলুন</v>
      </c>
      <c r="AQ199" s="5" t="str">
        <f ca="1">IFERROR(__xludf.DUMMYFUNCTION("IF(AA199 = """", """", GOOGLETRANSLATE(AA199, ""en"", ""bn""))"),"")</f>
        <v/>
      </c>
      <c r="AR199" s="5" t="str">
        <f ca="1">IFERROR(__xludf.DUMMYFUNCTION("IF(AB199 = """", """", GOOGLETRANSLATE(AB199, ""en"", ""bn""))"),"")</f>
        <v/>
      </c>
      <c r="AU199" s="5" t="str">
        <f ca="1">IFERROR(__xludf.DUMMYFUNCTION("IF(Y199 = """", """", GOOGLETRANSLATE(Y199, ""en"", ""te""))"),"నటించే ముందు జాగ్రత్తగా ప్లాన్ చేసుకోండి")</f>
        <v>నటించే ముందు జాగ్రత్తగా ప్లాన్ చేసుకోండి</v>
      </c>
      <c r="AV199" s="5" t="str">
        <f ca="1">IFERROR(__xludf.DUMMYFUNCTION("IF(Z199 = """", """", GOOGLETRANSLATE(Z199, ""en"", ""te""))"),"హఠాత్తుగా కదలికలను నివారించండి")</f>
        <v>హఠాత్తుగా కదలికలను నివారించండి</v>
      </c>
      <c r="AW199" s="5" t="str">
        <f ca="1">IFERROR(__xludf.DUMMYFUNCTION("IF(AA199 = """", """", GOOGLETRANSLATE(AA199, ""en"", ""te""))"),"")</f>
        <v/>
      </c>
      <c r="AX199" s="5" t="str">
        <f ca="1">IFERROR(__xludf.DUMMYFUNCTION("IF(AB199 = """", """", GOOGLETRANSLATE(AB199, ""en"", ""te""))"),"")</f>
        <v/>
      </c>
    </row>
    <row r="200" spans="1:50" x14ac:dyDescent="0.25">
      <c r="A200" s="1">
        <v>214</v>
      </c>
      <c r="B200" s="1" t="s">
        <v>56</v>
      </c>
      <c r="C200" s="2">
        <v>45839</v>
      </c>
      <c r="D200" s="2">
        <v>45839</v>
      </c>
      <c r="E200" s="1">
        <v>5</v>
      </c>
      <c r="F200" s="1">
        <v>1</v>
      </c>
      <c r="G200" s="3" t="s">
        <v>171</v>
      </c>
      <c r="H200" s="4">
        <v>1.1527777777777777E-2</v>
      </c>
      <c r="I200" s="4">
        <v>4.0393518518518521E-3</v>
      </c>
      <c r="J200" s="4">
        <v>4.3750000000000004E-3</v>
      </c>
      <c r="K200" s="1" t="s">
        <v>58</v>
      </c>
      <c r="L200" s="1" t="s">
        <v>108</v>
      </c>
      <c r="M200" s="1"/>
      <c r="N200" s="1"/>
      <c r="O200" s="1" t="s">
        <v>91</v>
      </c>
      <c r="P200" s="1" t="s">
        <v>61</v>
      </c>
      <c r="Q200" s="1" t="s">
        <v>61</v>
      </c>
      <c r="R200" s="1" t="s">
        <v>61</v>
      </c>
      <c r="S200" s="1" t="s">
        <v>61</v>
      </c>
      <c r="T200" s="1" t="s">
        <v>61</v>
      </c>
      <c r="U200" s="1"/>
      <c r="V200" s="1" t="s">
        <v>61</v>
      </c>
      <c r="W200" s="1" t="s">
        <v>61</v>
      </c>
      <c r="X200" s="1" t="s">
        <v>91</v>
      </c>
      <c r="Y200" s="1" t="s">
        <v>606</v>
      </c>
      <c r="Z200" s="1" t="s">
        <v>607</v>
      </c>
      <c r="AA200" s="1" t="s">
        <v>608</v>
      </c>
      <c r="AB200" s="1"/>
      <c r="AC200" s="5" t="str">
        <f ca="1">IFERROR(__xludf.DUMMYFUNCTION("IF(Y200 = """", """", GOOGLETRANSLATE(Y200, ""en"", ""hi""))
"),"महत्वपूर्ण निर्णय लें")</f>
        <v>महत्वपूर्ण निर्णय लें</v>
      </c>
      <c r="AD200" s="5" t="str">
        <f ca="1">IFERROR(__xludf.DUMMYFUNCTION("IF(Z200 = """", """", GOOGLETRANSLATE(Z200, ""en"", ""hi""))"),"सामाजिक एवं पारिवारिक कर्तव्यों का निर्वहन करें")</f>
        <v>सामाजिक एवं पारिवारिक कर्तव्यों का निर्वहन करें</v>
      </c>
      <c r="AE200" s="5" t="str">
        <f ca="1">IFERROR(__xludf.DUMMYFUNCTION("IF(AA200 = """", """", GOOGLETRANSLATE(AA200, ""en"", ""hi""))"),"स्वास्थ्य में धीरे-धीरे सुधार होता है")</f>
        <v>स्वास्थ्य में धीरे-धीरे सुधार होता है</v>
      </c>
      <c r="AF200" s="5" t="str">
        <f ca="1">IFERROR(__xludf.DUMMYFUNCTION("IF(AB200 = """", """", GOOGLETRANSLATE(AB200, ""en"", ""hi""))"),"")</f>
        <v/>
      </c>
      <c r="AG200" s="5" t="str">
        <f ca="1">IFERROR(__xludf.DUMMYFUNCTION("IF(Y200 = """", """", GOOGLETRANSLATE(Y200, ""en"", ""mr""))"),"महत्त्वाचे निर्णय घ्या")</f>
        <v>महत्त्वाचे निर्णय घ्या</v>
      </c>
      <c r="AH200" s="5" t="str">
        <f ca="1">IFERROR(__xludf.DUMMYFUNCTION("IF(Z200 = """", """", GOOGLETRANSLATE(Z200, ""en"", ""mr""))"),"सामाजिक व कौटुंबिक कर्तव्ये पार पाडा")</f>
        <v>सामाजिक व कौटुंबिक कर्तव्ये पार पाडा</v>
      </c>
      <c r="AI200" s="5" t="str">
        <f ca="1">IFERROR(__xludf.DUMMYFUNCTION("IF(AA200 = """", """", GOOGLETRANSLATE(AA200, ""en"", ""mr""))"),"तब्येत हळूहळू सुधारते")</f>
        <v>तब्येत हळूहळू सुधारते</v>
      </c>
      <c r="AJ200" s="5" t="str">
        <f ca="1">IFERROR(__xludf.DUMMYFUNCTION("IF(AB200 = """", """", GOOGLETRANSLATE(AB200, ""en"", ""mr""))"),"")</f>
        <v/>
      </c>
      <c r="AK200" s="5" t="str">
        <f ca="1">IFERROR(__xludf.DUMMYFUNCTION("IF(Y200 = """", """", GOOGLETRANSLATE(Y200, ""en"", ""gu""))"),"મહત્વપૂર્ણ નિર્ણયો લો")</f>
        <v>મહત્વપૂર્ણ નિર્ણયો લો</v>
      </c>
      <c r="AL200" s="5" t="str">
        <f ca="1">IFERROR(__xludf.DUMMYFUNCTION("IF(Z200 = """", """", GOOGLETRANSLATE(Z200, ""en"", ""gu""))"),"સામાજિક અને પારિવારિક ફરજો નિભાવો")</f>
        <v>સામાજિક અને પારિવારિક ફરજો નિભાવો</v>
      </c>
      <c r="AM200" s="5" t="str">
        <f ca="1">IFERROR(__xludf.DUMMYFUNCTION("IF(AA200 = """", """", GOOGLETRANSLATE(AA200, ""en"", ""gu""))"),"સ્વાસ્થ્યમાં ધીમે ધીમે સુધારો થાય છે")</f>
        <v>સ્વાસ્થ્યમાં ધીમે ધીમે સુધારો થાય છે</v>
      </c>
      <c r="AN200" s="5" t="str">
        <f ca="1">IFERROR(__xludf.DUMMYFUNCTION("IF(AB200 = """", """", GOOGLETRANSLATE(AB200, ""en"", ""gu""))"),"")</f>
        <v/>
      </c>
      <c r="AO200" s="5" t="str">
        <f ca="1">IFERROR(__xludf.DUMMYFUNCTION("IF(Y200 = """", """", GOOGLETRANSLATE(Y200, ""en"", ""bn""))"),"গুরুত্বপূর্ণ সিদ্ধান্ত নিন")</f>
        <v>গুরুত্বপূর্ণ সিদ্ধান্ত নিন</v>
      </c>
      <c r="AP200" s="5" t="str">
        <f ca="1">IFERROR(__xludf.DUMMYFUNCTION("IF(Z200 = """", """", GOOGLETRANSLATE(Z200, ""en"", ""bn""))"),"সামাজিক ও পারিবারিক দায়িত্ব পালন করুন")</f>
        <v>সামাজিক ও পারিবারিক দায়িত্ব পালন করুন</v>
      </c>
      <c r="AQ200" s="5" t="str">
        <f ca="1">IFERROR(__xludf.DUMMYFUNCTION("IF(AA200 = """", """", GOOGLETRANSLATE(AA200, ""en"", ""bn""))"),"ধীরে ধীরে স্বাস্থ্যের উন্নতি হয়")</f>
        <v>ধীরে ধীরে স্বাস্থ্যের উন্নতি হয়</v>
      </c>
      <c r="AR200" s="5" t="str">
        <f ca="1">IFERROR(__xludf.DUMMYFUNCTION("IF(AB200 = """", """", GOOGLETRANSLATE(AB200, ""en"", ""bn""))"),"")</f>
        <v/>
      </c>
      <c r="AU200" s="5" t="str">
        <f ca="1">IFERROR(__xludf.DUMMYFUNCTION("IF(Y200 = """", """", GOOGLETRANSLATE(Y200, ""en"", ""te""))"),"ముఖ్యమైన నిర్ణయాలు తీసుకోండి")</f>
        <v>ముఖ్యమైన నిర్ణయాలు తీసుకోండి</v>
      </c>
      <c r="AV200" s="5" t="str">
        <f ca="1">IFERROR(__xludf.DUMMYFUNCTION("IF(Z200 = """", """", GOOGLETRANSLATE(Z200, ""en"", ""te""))"),"సామాజిక &amp; కుటుంబ విధులను స్వీకరించండి")</f>
        <v>సామాజిక &amp; కుటుంబ విధులను స్వీకరించండి</v>
      </c>
      <c r="AW200" s="5" t="str">
        <f ca="1">IFERROR(__xludf.DUMMYFUNCTION("IF(AA200 = """", """", GOOGLETRANSLATE(AA200, ""en"", ""te""))"),"ఆరోగ్యం క్రమంగా మెరుగుపడుతుంది")</f>
        <v>ఆరోగ్యం క్రమంగా మెరుగుపడుతుంది</v>
      </c>
      <c r="AX200" s="5" t="str">
        <f ca="1">IFERROR(__xludf.DUMMYFUNCTION("IF(AB200 = """", """", GOOGLETRANSLATE(AB200, ""en"", ""te""))"),"")</f>
        <v/>
      </c>
    </row>
    <row r="201" spans="1:50" x14ac:dyDescent="0.25">
      <c r="A201" s="1">
        <v>216</v>
      </c>
      <c r="B201" s="1" t="s">
        <v>56</v>
      </c>
      <c r="C201" s="2">
        <v>45839</v>
      </c>
      <c r="D201" s="2">
        <v>45839</v>
      </c>
      <c r="E201" s="1">
        <v>7</v>
      </c>
      <c r="F201" s="1">
        <v>1</v>
      </c>
      <c r="G201" s="3" t="s">
        <v>171</v>
      </c>
      <c r="H201" s="4">
        <v>1.1527777777777777E-2</v>
      </c>
      <c r="I201" s="4">
        <v>4.7453703703703703E-3</v>
      </c>
      <c r="J201" s="4">
        <v>6.6782407407407407E-3</v>
      </c>
      <c r="K201" s="1" t="s">
        <v>58</v>
      </c>
      <c r="L201" s="1" t="s">
        <v>64</v>
      </c>
      <c r="M201" s="1"/>
      <c r="N201" s="1"/>
      <c r="O201" s="1" t="s">
        <v>61</v>
      </c>
      <c r="P201" s="1" t="s">
        <v>61</v>
      </c>
      <c r="Q201" s="1" t="s">
        <v>61</v>
      </c>
      <c r="R201" s="1" t="s">
        <v>61</v>
      </c>
      <c r="S201" s="1" t="s">
        <v>61</v>
      </c>
      <c r="T201" s="1" t="s">
        <v>91</v>
      </c>
      <c r="U201" s="1"/>
      <c r="V201" s="1" t="s">
        <v>61</v>
      </c>
      <c r="W201" s="1" t="s">
        <v>91</v>
      </c>
      <c r="X201" s="1" t="s">
        <v>61</v>
      </c>
      <c r="Y201" s="1" t="s">
        <v>154</v>
      </c>
      <c r="Z201" s="1" t="s">
        <v>609</v>
      </c>
      <c r="AA201" s="1" t="s">
        <v>610</v>
      </c>
      <c r="AB201" s="1"/>
      <c r="AC201" s="5" t="str">
        <f ca="1">IFERROR(__xludf.DUMMYFUNCTION("IF(Y201 = """", """", GOOGLETRANSLATE(Y201, ""en"", ""hi""))
"),"सतर्क रहें")</f>
        <v>सतर्क रहें</v>
      </c>
      <c r="AD201" s="5" t="str">
        <f ca="1">IFERROR(__xludf.DUMMYFUNCTION("IF(Z201 = """", """", GOOGLETRANSLATE(Z201, ""en"", ""hi""))"),"प्रमुख कार्यों को स्थगित करें")</f>
        <v>प्रमुख कार्यों को स्थगित करें</v>
      </c>
      <c r="AE201" s="5" t="str">
        <f ca="1">IFERROR(__xludf.DUMMYFUNCTION("IF(AA201 = """", """", GOOGLETRANSLATE(AA201, ""en"", ""hi""))"),"भावनाओं और प्रतिक्रियाओं पर नियंत्रण रखें")</f>
        <v>भावनाओं और प्रतिक्रियाओं पर नियंत्रण रखें</v>
      </c>
      <c r="AF201" s="5" t="str">
        <f ca="1">IFERROR(__xludf.DUMMYFUNCTION("IF(AB201 = """", """", GOOGLETRANSLATE(AB201, ""en"", ""hi""))"),"")</f>
        <v/>
      </c>
      <c r="AG201" s="5" t="str">
        <f ca="1">IFERROR(__xludf.DUMMYFUNCTION("IF(Y201 = """", """", GOOGLETRANSLATE(Y201, ""en"", ""mr""))"),"सावध राहा")</f>
        <v>सावध राहा</v>
      </c>
      <c r="AH201" s="5" t="str">
        <f ca="1">IFERROR(__xludf.DUMMYFUNCTION("IF(Z201 = """", """", GOOGLETRANSLATE(Z201, ""en"", ""mr""))"),"मोठी कामे पुढे ढकला")</f>
        <v>मोठी कामे पुढे ढकला</v>
      </c>
      <c r="AI201" s="5" t="str">
        <f ca="1">IFERROR(__xludf.DUMMYFUNCTION("IF(AA201 = """", """", GOOGLETRANSLATE(AA201, ""en"", ""mr""))"),"भावना आणि प्रतिक्रियांवर नियंत्रण ठेवा")</f>
        <v>भावना आणि प्रतिक्रियांवर नियंत्रण ठेवा</v>
      </c>
      <c r="AJ201" s="5" t="str">
        <f ca="1">IFERROR(__xludf.DUMMYFUNCTION("IF(AB201 = """", """", GOOGLETRANSLATE(AB201, ""en"", ""mr""))"),"")</f>
        <v/>
      </c>
      <c r="AK201" s="5" t="str">
        <f ca="1">IFERROR(__xludf.DUMMYFUNCTION("IF(Y201 = """", """", GOOGLETRANSLATE(Y201, ""en"", ""gu""))"),"સાવધાન રહો")</f>
        <v>સાવધાન રહો</v>
      </c>
      <c r="AL201" s="5" t="str">
        <f ca="1">IFERROR(__xludf.DUMMYFUNCTION("IF(Z201 = """", """", GOOGLETRANSLATE(Z201, ""en"", ""gu""))"),"મોટા કાર્યો મુલતવી રાખો")</f>
        <v>મોટા કાર્યો મુલતવી રાખો</v>
      </c>
      <c r="AM201" s="5" t="str">
        <f ca="1">IFERROR(__xludf.DUMMYFUNCTION("IF(AA201 = """", """", GOOGLETRANSLATE(AA201, ""en"", ""gu""))"),"લાગણીઓ અને પ્રતિક્રિયાઓને નિયંત્રિત કરો")</f>
        <v>લાગણીઓ અને પ્રતિક્રિયાઓને નિયંત્રિત કરો</v>
      </c>
      <c r="AN201" s="5" t="str">
        <f ca="1">IFERROR(__xludf.DUMMYFUNCTION("IF(AB201 = """", """", GOOGLETRANSLATE(AB201, ""en"", ""gu""))"),"")</f>
        <v/>
      </c>
      <c r="AO201" s="5" t="str">
        <f ca="1">IFERROR(__xludf.DUMMYFUNCTION("IF(Y201 = """", """", GOOGLETRANSLATE(Y201, ""en"", ""bn""))"),"সাবধানে থাকুন")</f>
        <v>সাবধানে থাকুন</v>
      </c>
      <c r="AP201" s="5" t="str">
        <f ca="1">IFERROR(__xludf.DUMMYFUNCTION("IF(Z201 = """", """", GOOGLETRANSLATE(Z201, ""en"", ""bn""))"),"বড় কাজ স্থগিত করুন")</f>
        <v>বড় কাজ স্থগিত করুন</v>
      </c>
      <c r="AQ201" s="5" t="str">
        <f ca="1">IFERROR(__xludf.DUMMYFUNCTION("IF(AA201 = """", """", GOOGLETRANSLATE(AA201, ""en"", ""bn""))"),"আবেগ ও প্রতিক্রিয়া নিয়ন্ত্রণ করুন")</f>
        <v>আবেগ ও প্রতিক্রিয়া নিয়ন্ত্রণ করুন</v>
      </c>
      <c r="AR201" s="5" t="str">
        <f ca="1">IFERROR(__xludf.DUMMYFUNCTION("IF(AB201 = """", """", GOOGLETRANSLATE(AB201, ""en"", ""bn""))"),"")</f>
        <v/>
      </c>
      <c r="AU201" s="5" t="str">
        <f ca="1">IFERROR(__xludf.DUMMYFUNCTION("IF(Y201 = """", """", GOOGLETRANSLATE(Y201, ""en"", ""te""))"),"జాగ్రత్తగా ఉండండి")</f>
        <v>జాగ్రత్తగా ఉండండి</v>
      </c>
      <c r="AV201" s="5" t="str">
        <f ca="1">IFERROR(__xludf.DUMMYFUNCTION("IF(Z201 = """", """", GOOGLETRANSLATE(Z201, ""en"", ""te""))"),"ప్రధాన పనులను వాయిదా వేయండి")</f>
        <v>ప్రధాన పనులను వాయిదా వేయండి</v>
      </c>
      <c r="AW201" s="5" t="str">
        <f ca="1">IFERROR(__xludf.DUMMYFUNCTION("IF(AA201 = """", """", GOOGLETRANSLATE(AA201, ""en"", ""te""))"),"భావోద్వేగాలు &amp; ప్రతిచర్యలను నియంత్రించండి")</f>
        <v>భావోద్వేగాలు &amp; ప్రతిచర్యలను నియంత్రించండి</v>
      </c>
      <c r="AX201" s="5" t="str">
        <f ca="1">IFERROR(__xludf.DUMMYFUNCTION("IF(AB201 = """", """", GOOGLETRANSLATE(AB201, ""en"", ""te""))"),"")</f>
        <v/>
      </c>
    </row>
    <row r="202" spans="1:50" x14ac:dyDescent="0.25">
      <c r="A202" s="1">
        <v>217</v>
      </c>
      <c r="B202" s="1" t="s">
        <v>56</v>
      </c>
      <c r="C202" s="2">
        <v>45839</v>
      </c>
      <c r="D202" s="2">
        <v>45839</v>
      </c>
      <c r="E202" s="1">
        <v>8</v>
      </c>
      <c r="F202" s="1">
        <v>1</v>
      </c>
      <c r="G202" s="3" t="s">
        <v>171</v>
      </c>
      <c r="H202" s="4">
        <v>1.1527777777777777E-2</v>
      </c>
      <c r="I202" s="4">
        <v>6.6782407407407407E-3</v>
      </c>
      <c r="J202" s="4">
        <v>7.1064814814814819E-3</v>
      </c>
      <c r="K202" s="1" t="s">
        <v>58</v>
      </c>
      <c r="L202" s="1" t="s">
        <v>68</v>
      </c>
      <c r="M202" s="1"/>
      <c r="N202" s="1"/>
      <c r="O202" s="1" t="s">
        <v>61</v>
      </c>
      <c r="P202" s="1" t="s">
        <v>61</v>
      </c>
      <c r="Q202" s="1" t="s">
        <v>61</v>
      </c>
      <c r="R202" s="1" t="s">
        <v>91</v>
      </c>
      <c r="S202" s="1" t="s">
        <v>61</v>
      </c>
      <c r="T202" s="1" t="s">
        <v>61</v>
      </c>
      <c r="U202" s="1"/>
      <c r="V202" s="1" t="s">
        <v>61</v>
      </c>
      <c r="W202" s="1" t="s">
        <v>61</v>
      </c>
      <c r="X202" s="1" t="s">
        <v>91</v>
      </c>
      <c r="Y202" s="1" t="s">
        <v>611</v>
      </c>
      <c r="Z202" s="1" t="s">
        <v>612</v>
      </c>
      <c r="AA202" s="1"/>
      <c r="AB202" s="1"/>
      <c r="AC202" s="5" t="str">
        <f ca="1">IFERROR(__xludf.DUMMYFUNCTION("IF(Y202 = """", """", GOOGLETRANSLATE(Y202, ""en"", ""hi""))
"),"व्यस्त दिन लेकिन आप कार्य निपटा लेंगे")</f>
        <v>व्यस्त दिन लेकिन आप कार्य निपटा लेंगे</v>
      </c>
      <c r="AD202" s="5" t="str">
        <f ca="1">IFERROR(__xludf.DUMMYFUNCTION("IF(Z202 = """", """", GOOGLETRANSLATE(Z202, ""en"", ""hi""))"),"किसी भी महिला बुजुर्ग की स्वास्थ्य समस्याओं की देखभाल करें")</f>
        <v>किसी भी महिला बुजुर्ग की स्वास्थ्य समस्याओं की देखभाल करें</v>
      </c>
      <c r="AE202" s="5" t="str">
        <f ca="1">IFERROR(__xludf.DUMMYFUNCTION("IF(AA202 = """", """", GOOGLETRANSLATE(AA202, ""en"", ""hi""))"),"")</f>
        <v/>
      </c>
      <c r="AF202" s="5" t="str">
        <f ca="1">IFERROR(__xludf.DUMMYFUNCTION("IF(AB202 = """", """", GOOGLETRANSLATE(AB202, ""en"", ""hi""))"),"")</f>
        <v/>
      </c>
      <c r="AG202" s="5" t="str">
        <f ca="1">IFERROR(__xludf.DUMMYFUNCTION("IF(Y202 = """", """", GOOGLETRANSLATE(Y202, ""en"", ""mr""))"),"व्यस्त दिवस परंतु तुम्ही कामे पूर्ण कराल")</f>
        <v>व्यस्त दिवस परंतु तुम्ही कामे पूर्ण कराल</v>
      </c>
      <c r="AH202" s="5" t="str">
        <f ca="1">IFERROR(__xludf.DUMMYFUNCTION("IF(Z202 = """", """", GOOGLETRANSLATE(Z202, ""en"", ""mr""))"),"कोणत्याही वृद्ध महिलांच्या आरोग्याच्या समस्यांची काळजी घ्या")</f>
        <v>कोणत्याही वृद्ध महिलांच्या आरोग्याच्या समस्यांची काळजी घ्या</v>
      </c>
      <c r="AI202" s="5" t="str">
        <f ca="1">IFERROR(__xludf.DUMMYFUNCTION("IF(AA202 = """", """", GOOGLETRANSLATE(AA202, ""en"", ""mr""))"),"")</f>
        <v/>
      </c>
      <c r="AJ202" s="5" t="str">
        <f ca="1">IFERROR(__xludf.DUMMYFUNCTION("IF(AB202 = """", """", GOOGLETRANSLATE(AB202, ""en"", ""mr""))"),"")</f>
        <v/>
      </c>
      <c r="AK202" s="5" t="str">
        <f ca="1">IFERROR(__xludf.DUMMYFUNCTION("IF(Y202 = """", """", GOOGLETRANSLATE(Y202, ""en"", ""gu""))"),"વ્યસ્ત દિવસ પરંતુ તમે કાર્યોને સાફ કરશો")</f>
        <v>વ્યસ્ત દિવસ પરંતુ તમે કાર્યોને સાફ કરશો</v>
      </c>
      <c r="AL202" s="5" t="str">
        <f ca="1">IFERROR(__xludf.DUMMYFUNCTION("IF(Z202 = """", """", GOOGLETRANSLATE(Z202, ""en"", ""gu""))"),"કોઈપણ મહિલા વડીલના સ્વાસ્થ્ય સંબંધી સમસ્યાઓનું ધ્યાન રાખો")</f>
        <v>કોઈપણ મહિલા વડીલના સ્વાસ્થ્ય સંબંધી સમસ્યાઓનું ધ્યાન રાખો</v>
      </c>
      <c r="AM202" s="5" t="str">
        <f ca="1">IFERROR(__xludf.DUMMYFUNCTION("IF(AA202 = """", """", GOOGLETRANSLATE(AA202, ""en"", ""gu""))"),"")</f>
        <v/>
      </c>
      <c r="AN202" s="5" t="str">
        <f ca="1">IFERROR(__xludf.DUMMYFUNCTION("IF(AB202 = """", """", GOOGLETRANSLATE(AB202, ""en"", ""gu""))"),"")</f>
        <v/>
      </c>
      <c r="AO202" s="5" t="str">
        <f ca="1">IFERROR(__xludf.DUMMYFUNCTION("IF(Y202 = """", """", GOOGLETRANSLATE(Y202, ""en"", ""bn""))"),"ব্যস্ত দিন তবে আপনি কাজগুলি পরিষ্কার করবেন")</f>
        <v>ব্যস্ত দিন তবে আপনি কাজগুলি পরিষ্কার করবেন</v>
      </c>
      <c r="AP202" s="5" t="str">
        <f ca="1">IFERROR(__xludf.DUMMYFUNCTION("IF(Z202 = """", """", GOOGLETRANSLATE(Z202, ""en"", ""bn""))"),"যে কোনও মহিলা প্রবীণের স্বাস্থ্য সমস্যাগুলির জন্য যত্ন নিন")</f>
        <v>যে কোনও মহিলা প্রবীণের স্বাস্থ্য সমস্যাগুলির জন্য যত্ন নিন</v>
      </c>
      <c r="AQ202" s="5" t="str">
        <f ca="1">IFERROR(__xludf.DUMMYFUNCTION("IF(AA202 = """", """", GOOGLETRANSLATE(AA202, ""en"", ""bn""))"),"")</f>
        <v/>
      </c>
      <c r="AR202" s="5" t="str">
        <f ca="1">IFERROR(__xludf.DUMMYFUNCTION("IF(AB202 = """", """", GOOGLETRANSLATE(AB202, ""en"", ""bn""))"),"")</f>
        <v/>
      </c>
      <c r="AU202" s="5" t="str">
        <f ca="1">IFERROR(__xludf.DUMMYFUNCTION("IF(Y202 = """", """", GOOGLETRANSLATE(Y202, ""en"", ""te""))"),"బిజీగా ఉన్న రోజు కానీ మీరు పనులను క్లియర్ చేస్తారు")</f>
        <v>బిజీగా ఉన్న రోజు కానీ మీరు పనులను క్లియర్ చేస్తారు</v>
      </c>
      <c r="AV202" s="5" t="str">
        <f ca="1">IFERROR(__xludf.DUMMYFUNCTION("IF(Z202 = """", """", GOOGLETRANSLATE(Z202, ""en"", ""te""))"),"ఏదైనా మహిళా పెద్దల ఆరోగ్య సమస్యల పట్ల శ్రద్ధ వహించండి")</f>
        <v>ఏదైనా మహిళా పెద్దల ఆరోగ్య సమస్యల పట్ల శ్రద్ధ వహించండి</v>
      </c>
      <c r="AW202" s="5" t="str">
        <f ca="1">IFERROR(__xludf.DUMMYFUNCTION("IF(AA202 = """", """", GOOGLETRANSLATE(AA202, ""en"", ""te""))"),"")</f>
        <v/>
      </c>
      <c r="AX202" s="5" t="str">
        <f ca="1">IFERROR(__xludf.DUMMYFUNCTION("IF(AB202 = """", """", GOOGLETRANSLATE(AB202, ""en"", ""te""))"),"")</f>
        <v/>
      </c>
    </row>
    <row r="203" spans="1:50" x14ac:dyDescent="0.25">
      <c r="A203" s="1">
        <v>218</v>
      </c>
      <c r="B203" s="1" t="s">
        <v>56</v>
      </c>
      <c r="C203" s="2">
        <v>45839</v>
      </c>
      <c r="D203" s="2">
        <v>45839</v>
      </c>
      <c r="E203" s="1">
        <v>9</v>
      </c>
      <c r="F203" s="1">
        <v>1</v>
      </c>
      <c r="G203" s="3" t="s">
        <v>171</v>
      </c>
      <c r="H203" s="4">
        <v>1.1527777777777777E-2</v>
      </c>
      <c r="I203" s="4">
        <v>7.1064814814814819E-3</v>
      </c>
      <c r="J203" s="4">
        <v>7.5925925925925926E-3</v>
      </c>
      <c r="K203" s="1" t="s">
        <v>58</v>
      </c>
      <c r="L203" s="1" t="s">
        <v>72</v>
      </c>
      <c r="M203" s="1"/>
      <c r="N203" s="1"/>
      <c r="O203" s="1" t="s">
        <v>61</v>
      </c>
      <c r="P203" s="1" t="s">
        <v>61</v>
      </c>
      <c r="Q203" s="1" t="s">
        <v>61</v>
      </c>
      <c r="R203" s="1" t="s">
        <v>91</v>
      </c>
      <c r="S203" s="1" t="s">
        <v>61</v>
      </c>
      <c r="T203" s="1" t="s">
        <v>61</v>
      </c>
      <c r="U203" s="1"/>
      <c r="V203" s="1" t="s">
        <v>61</v>
      </c>
      <c r="W203" s="1" t="s">
        <v>61</v>
      </c>
      <c r="X203" s="1" t="s">
        <v>91</v>
      </c>
      <c r="Y203" s="1" t="s">
        <v>613</v>
      </c>
      <c r="Z203" s="1" t="s">
        <v>614</v>
      </c>
      <c r="AA203" s="1"/>
      <c r="AB203" s="1"/>
      <c r="AC203" s="5" t="str">
        <f ca="1">IFERROR(__xludf.DUMMYFUNCTION("IF(Y203 = """", """", GOOGLETRANSLATE(Y203, ""en"", ""hi""))
"),"एक व्यस्त दिन की अपेक्षा करें")</f>
        <v>एक व्यस्त दिन की अपेक्षा करें</v>
      </c>
      <c r="AD203" s="5" t="str">
        <f ca="1">IFERROR(__xludf.DUMMYFUNCTION("IF(Z203 = """", """", GOOGLETRANSLATE(Z203, ""en"", ""hi""))"),"बदलती प्राथमिकताओं के लिए प्लान बी तैयार रखें")</f>
        <v>बदलती प्राथमिकताओं के लिए प्लान बी तैयार रखें</v>
      </c>
      <c r="AE203" s="5" t="str">
        <f ca="1">IFERROR(__xludf.DUMMYFUNCTION("IF(AA203 = """", """", GOOGLETRANSLATE(AA203, ""en"", ""hi""))"),"")</f>
        <v/>
      </c>
      <c r="AF203" s="5" t="str">
        <f ca="1">IFERROR(__xludf.DUMMYFUNCTION("IF(AB203 = """", """", GOOGLETRANSLATE(AB203, ""en"", ""hi""))"),"")</f>
        <v/>
      </c>
      <c r="AG203" s="5" t="str">
        <f ca="1">IFERROR(__xludf.DUMMYFUNCTION("IF(Y203 = """", """", GOOGLETRANSLATE(Y203, ""en"", ""mr""))"),"व्यस्त दिवसाची अपेक्षा करा")</f>
        <v>व्यस्त दिवसाची अपेक्षा करा</v>
      </c>
      <c r="AH203" s="5" t="str">
        <f ca="1">IFERROR(__xludf.DUMMYFUNCTION("IF(Z203 = """", """", GOOGLETRANSLATE(Z203, ""en"", ""mr""))"),"प्राधान्यक्रम बदलण्यासाठी प्लॅन बी तयार ठेवा")</f>
        <v>प्राधान्यक्रम बदलण्यासाठी प्लॅन बी तयार ठेवा</v>
      </c>
      <c r="AI203" s="5" t="str">
        <f ca="1">IFERROR(__xludf.DUMMYFUNCTION("IF(AA203 = """", """", GOOGLETRANSLATE(AA203, ""en"", ""mr""))"),"")</f>
        <v/>
      </c>
      <c r="AJ203" s="5" t="str">
        <f ca="1">IFERROR(__xludf.DUMMYFUNCTION("IF(AB203 = """", """", GOOGLETRANSLATE(AB203, ""en"", ""mr""))"),"")</f>
        <v/>
      </c>
      <c r="AK203" s="5" t="str">
        <f ca="1">IFERROR(__xludf.DUMMYFUNCTION("IF(Y203 = """", """", GOOGLETRANSLATE(Y203, ""en"", ""gu""))"),"વ્યસ્ત દિવસની અપેક્ષા રાખો")</f>
        <v>વ્યસ્ત દિવસની અપેક્ષા રાખો</v>
      </c>
      <c r="AL203" s="5" t="str">
        <f ca="1">IFERROR(__xludf.DUMMYFUNCTION("IF(Z203 = """", """", GOOGLETRANSLATE(Z203, ""en"", ""gu""))"),"અગ્રતા બદલવા માટે પ્લાન B ને તૈયાર રાખો")</f>
        <v>અગ્રતા બદલવા માટે પ્લાન B ને તૈયાર રાખો</v>
      </c>
      <c r="AM203" s="5" t="str">
        <f ca="1">IFERROR(__xludf.DUMMYFUNCTION("IF(AA203 = """", """", GOOGLETRANSLATE(AA203, ""en"", ""gu""))"),"")</f>
        <v/>
      </c>
      <c r="AN203" s="5" t="str">
        <f ca="1">IFERROR(__xludf.DUMMYFUNCTION("IF(AB203 = """", """", GOOGLETRANSLATE(AB203, ""en"", ""gu""))"),"")</f>
        <v/>
      </c>
      <c r="AO203" s="5" t="str">
        <f ca="1">IFERROR(__xludf.DUMMYFUNCTION("IF(Y203 = """", """", GOOGLETRANSLATE(Y203, ""en"", ""bn""))"),"একটি ব্যস্ত দিন আশা")</f>
        <v>একটি ব্যস্ত দিন আশা</v>
      </c>
      <c r="AP203" s="5" t="str">
        <f ca="1">IFERROR(__xludf.DUMMYFUNCTION("IF(Z203 = """", """", GOOGLETRANSLATE(Z203, ""en"", ""bn""))"),"অগ্রাধিকার পরিবর্তনের জন্য পরিকল্পনা বি প্রস্তুত রাখুন")</f>
        <v>অগ্রাধিকার পরিবর্তনের জন্য পরিকল্পনা বি প্রস্তুত রাখুন</v>
      </c>
      <c r="AQ203" s="5" t="str">
        <f ca="1">IFERROR(__xludf.DUMMYFUNCTION("IF(AA203 = """", """", GOOGLETRANSLATE(AA203, ""en"", ""bn""))"),"")</f>
        <v/>
      </c>
      <c r="AR203" s="5" t="str">
        <f ca="1">IFERROR(__xludf.DUMMYFUNCTION("IF(AB203 = """", """", GOOGLETRANSLATE(AB203, ""en"", ""bn""))"),"")</f>
        <v/>
      </c>
      <c r="AU203" s="5" t="str">
        <f ca="1">IFERROR(__xludf.DUMMYFUNCTION("IF(Y203 = """", """", GOOGLETRANSLATE(Y203, ""en"", ""te""))"),"రద్దీగా ఉండే రోజును ఆశించండి")</f>
        <v>రద్దీగా ఉండే రోజును ఆశించండి</v>
      </c>
      <c r="AV203" s="5" t="str">
        <f ca="1">IFERROR(__xludf.DUMMYFUNCTION("IF(Z203 = """", """", GOOGLETRANSLATE(Z203, ""en"", ""te""))"),"ప్రాధాన్యతలను మార్చడానికి ప్లాన్ Bని సిద్ధంగా ఉంచండి")</f>
        <v>ప్రాధాన్యతలను మార్చడానికి ప్లాన్ Bని సిద్ధంగా ఉంచండి</v>
      </c>
      <c r="AW203" s="5" t="str">
        <f ca="1">IFERROR(__xludf.DUMMYFUNCTION("IF(AA203 = """", """", GOOGLETRANSLATE(AA203, ""en"", ""te""))"),"")</f>
        <v/>
      </c>
      <c r="AX203" s="5" t="str">
        <f ca="1">IFERROR(__xludf.DUMMYFUNCTION("IF(AB203 = """", """", GOOGLETRANSLATE(AB203, ""en"", ""te""))"),"")</f>
        <v/>
      </c>
    </row>
    <row r="204" spans="1:50" x14ac:dyDescent="0.25">
      <c r="A204" s="1">
        <v>219</v>
      </c>
      <c r="B204" s="1" t="s">
        <v>56</v>
      </c>
      <c r="C204" s="2">
        <v>45839</v>
      </c>
      <c r="D204" s="2">
        <v>45839</v>
      </c>
      <c r="E204" s="1">
        <v>10</v>
      </c>
      <c r="F204" s="1">
        <v>1</v>
      </c>
      <c r="G204" s="3" t="s">
        <v>171</v>
      </c>
      <c r="H204" s="4">
        <v>1.1527777777777777E-2</v>
      </c>
      <c r="I204" s="4">
        <v>7.5925925925925926E-3</v>
      </c>
      <c r="J204" s="4">
        <v>8.2175925925925923E-3</v>
      </c>
      <c r="K204" s="1" t="s">
        <v>58</v>
      </c>
      <c r="L204" s="1" t="s">
        <v>76</v>
      </c>
      <c r="M204" s="1"/>
      <c r="N204" s="1"/>
      <c r="O204" s="1" t="s">
        <v>61</v>
      </c>
      <c r="P204" s="1" t="s">
        <v>61</v>
      </c>
      <c r="Q204" s="1" t="s">
        <v>61</v>
      </c>
      <c r="R204" s="1" t="s">
        <v>61</v>
      </c>
      <c r="S204" s="1" t="s">
        <v>61</v>
      </c>
      <c r="T204" s="1" t="s">
        <v>91</v>
      </c>
      <c r="U204" s="1"/>
      <c r="V204" s="1" t="s">
        <v>61</v>
      </c>
      <c r="W204" s="1" t="s">
        <v>91</v>
      </c>
      <c r="X204" s="1" t="s">
        <v>61</v>
      </c>
      <c r="Y204" s="1" t="s">
        <v>615</v>
      </c>
      <c r="Z204" s="1" t="s">
        <v>616</v>
      </c>
      <c r="AA204" s="1" t="s">
        <v>617</v>
      </c>
      <c r="AB204" s="1"/>
      <c r="AC204" s="5" t="str">
        <f ca="1">IFERROR(__xludf.DUMMYFUNCTION("IF(Y204 = """", """", GOOGLETRANSLATE(Y204, ""en"", ""hi""))
"),"धैर्य रखें")</f>
        <v>धैर्य रखें</v>
      </c>
      <c r="AD204" s="5" t="str">
        <f ca="1">IFERROR(__xludf.DUMMYFUNCTION("IF(Z204 = """", """", GOOGLETRANSLATE(Z204, ""en"", ""hi""))"),"पिछले मुद्दों पर दोबारा न जाएं")</f>
        <v>पिछले मुद्दों पर दोबारा न जाएं</v>
      </c>
      <c r="AE204" s="5" t="str">
        <f ca="1">IFERROR(__xludf.DUMMYFUNCTION("IF(AA204 = """", """", GOOGLETRANSLATE(AA204, ""en"", ""hi""))"),"शांति से दिनचर्या को संभालें")</f>
        <v>शांति से दिनचर्या को संभालें</v>
      </c>
      <c r="AF204" s="5" t="str">
        <f ca="1">IFERROR(__xludf.DUMMYFUNCTION("IF(AB204 = """", """", GOOGLETRANSLATE(AB204, ""en"", ""hi""))"),"")</f>
        <v/>
      </c>
      <c r="AG204" s="5" t="str">
        <f ca="1">IFERROR(__xludf.DUMMYFUNCTION("IF(Y204 = """", """", GOOGLETRANSLATE(Y204, ""en"", ""mr""))"),"धीर धरा")</f>
        <v>धीर धरा</v>
      </c>
      <c r="AH204" s="5" t="str">
        <f ca="1">IFERROR(__xludf.DUMMYFUNCTION("IF(Z204 = """", """", GOOGLETRANSLATE(Z204, ""en"", ""mr""))"),"भूतकाळातील समस्यांना पुन्हा भेट देऊ नका")</f>
        <v>भूतकाळातील समस्यांना पुन्हा भेट देऊ नका</v>
      </c>
      <c r="AI204" s="5" t="str">
        <f ca="1">IFERROR(__xludf.DUMMYFUNCTION("IF(AA204 = """", """", GOOGLETRANSLATE(AA204, ""en"", ""mr""))"),"नित्यक्रम शांततेने हाताळा")</f>
        <v>नित्यक्रम शांततेने हाताळा</v>
      </c>
      <c r="AJ204" s="5" t="str">
        <f ca="1">IFERROR(__xludf.DUMMYFUNCTION("IF(AB204 = """", """", GOOGLETRANSLATE(AB204, ""en"", ""mr""))"),"")</f>
        <v/>
      </c>
      <c r="AK204" s="5" t="str">
        <f ca="1">IFERROR(__xludf.DUMMYFUNCTION("IF(Y204 = """", """", GOOGLETRANSLATE(Y204, ""en"", ""gu""))"),"ધીરજ રાખો")</f>
        <v>ધીરજ રાખો</v>
      </c>
      <c r="AL204" s="5" t="str">
        <f ca="1">IFERROR(__xludf.DUMMYFUNCTION("IF(Z204 = """", """", GOOGLETRANSLATE(Z204, ""en"", ""gu""))"),"ભૂતકાળના મુદ્દાઓની ફરી મુલાકાત ન કરો")</f>
        <v>ભૂતકાળના મુદ્દાઓની ફરી મુલાકાત ન કરો</v>
      </c>
      <c r="AM204" s="5" t="str">
        <f ca="1">IFERROR(__xludf.DUMMYFUNCTION("IF(AA204 = """", """", GOOGLETRANSLATE(AA204, ""en"", ""gu""))"),"નિત્યક્રમને શાંતિથી સંભાળો")</f>
        <v>નિત્યક્રમને શાંતિથી સંભાળો</v>
      </c>
      <c r="AN204" s="5" t="str">
        <f ca="1">IFERROR(__xludf.DUMMYFUNCTION("IF(AB204 = """", """", GOOGLETRANSLATE(AB204, ""en"", ""gu""))"),"")</f>
        <v/>
      </c>
      <c r="AO204" s="5" t="str">
        <f ca="1">IFERROR(__xludf.DUMMYFUNCTION("IF(Y204 = """", """", GOOGLETRANSLATE(Y204, ""en"", ""bn""))"),"ধৈর্য ধরে থাকুন")</f>
        <v>ধৈর্য ধরে থাকুন</v>
      </c>
      <c r="AP204" s="5" t="str">
        <f ca="1">IFERROR(__xludf.DUMMYFUNCTION("IF(Z204 = """", """", GOOGLETRANSLATE(Z204, ""en"", ""bn""))"),"অতীতের সমস্যাগুলি পুনর্বিবেচনা করবেন না")</f>
        <v>অতীতের সমস্যাগুলি পুনর্বিবেচনা করবেন না</v>
      </c>
      <c r="AQ204" s="5" t="str">
        <f ca="1">IFERROR(__xludf.DUMMYFUNCTION("IF(AA204 = """", """", GOOGLETRANSLATE(AA204, ""en"", ""bn""))"),"শান্তভাবে রুটিন পরিচালনা করুন")</f>
        <v>শান্তভাবে রুটিন পরিচালনা করুন</v>
      </c>
      <c r="AR204" s="5" t="str">
        <f ca="1">IFERROR(__xludf.DUMMYFUNCTION("IF(AB204 = """", """", GOOGLETRANSLATE(AB204, ""en"", ""bn""))"),"")</f>
        <v/>
      </c>
      <c r="AU204" s="5" t="str">
        <f ca="1">IFERROR(__xludf.DUMMYFUNCTION("IF(Y204 = """", """", GOOGLETRANSLATE(Y204, ""en"", ""te""))"),"ఓపికగా ఉండండి")</f>
        <v>ఓపికగా ఉండండి</v>
      </c>
      <c r="AV204" s="5" t="str">
        <f ca="1">IFERROR(__xludf.DUMMYFUNCTION("IF(Z204 = """", """", GOOGLETRANSLATE(Z204, ""en"", ""te""))"),"గత సమస్యలను పునఃపరిశీలించవద్దు")</f>
        <v>గత సమస్యలను పునఃపరిశీలించవద్దు</v>
      </c>
      <c r="AW204" s="5" t="str">
        <f ca="1">IFERROR(__xludf.DUMMYFUNCTION("IF(AA204 = """", """", GOOGLETRANSLATE(AA204, ""en"", ""te""))"),"ప్రశాంతతతో దినచర్యను నిర్వహించండి")</f>
        <v>ప్రశాంతతతో దినచర్యను నిర్వహించండి</v>
      </c>
      <c r="AX204" s="5" t="str">
        <f ca="1">IFERROR(__xludf.DUMMYFUNCTION("IF(AB204 = """", """", GOOGLETRANSLATE(AB204, ""en"", ""te""))"),"")</f>
        <v/>
      </c>
    </row>
    <row r="205" spans="1:50" x14ac:dyDescent="0.25">
      <c r="A205" s="1">
        <v>220</v>
      </c>
      <c r="B205" s="1" t="s">
        <v>56</v>
      </c>
      <c r="C205" s="2">
        <v>45839</v>
      </c>
      <c r="D205" s="2">
        <v>45839</v>
      </c>
      <c r="E205" s="1">
        <v>11</v>
      </c>
      <c r="F205" s="1">
        <v>1</v>
      </c>
      <c r="G205" s="3" t="s">
        <v>171</v>
      </c>
      <c r="H205" s="4">
        <v>1.1527777777777777E-2</v>
      </c>
      <c r="I205" s="4">
        <v>8.2175925925925923E-3</v>
      </c>
      <c r="J205" s="4">
        <v>8.564814814814815E-3</v>
      </c>
      <c r="K205" s="1" t="s">
        <v>58</v>
      </c>
      <c r="L205" s="1" t="s">
        <v>79</v>
      </c>
      <c r="M205" s="1"/>
      <c r="N205" s="1"/>
      <c r="O205" s="1" t="s">
        <v>61</v>
      </c>
      <c r="P205" s="1" t="s">
        <v>61</v>
      </c>
      <c r="Q205" s="1" t="s">
        <v>61</v>
      </c>
      <c r="R205" s="1" t="s">
        <v>61</v>
      </c>
      <c r="S205" s="1" t="s">
        <v>61</v>
      </c>
      <c r="T205" s="1" t="s">
        <v>91</v>
      </c>
      <c r="U205" s="1"/>
      <c r="V205" s="1" t="s">
        <v>61</v>
      </c>
      <c r="W205" s="1" t="s">
        <v>91</v>
      </c>
      <c r="X205" s="1" t="s">
        <v>61</v>
      </c>
      <c r="Y205" s="1" t="s">
        <v>618</v>
      </c>
      <c r="Z205" s="1" t="s">
        <v>275</v>
      </c>
      <c r="AA205" s="1" t="s">
        <v>619</v>
      </c>
      <c r="AB205" s="1"/>
      <c r="AC205" s="5" t="str">
        <f ca="1">IFERROR(__xludf.DUMMYFUNCTION("IF(Y205 = """", """", GOOGLETRANSLATE(Y205, ""en"", ""hi""))
"),"बड़े वित्तीय सौदों से बचें")</f>
        <v>बड़े वित्तीय सौदों से बचें</v>
      </c>
      <c r="AD205" s="5" t="str">
        <f ca="1">IFERROR(__xludf.DUMMYFUNCTION("IF(Z205 = """", """", GOOGLETRANSLATE(Z205, ""en"", ""hi""))"),"ध्यान से चलाएं")</f>
        <v>ध्यान से चलाएं</v>
      </c>
      <c r="AE205" s="5" t="str">
        <f ca="1">IFERROR(__xludf.DUMMYFUNCTION("IF(AA205 = """", """", GOOGLETRANSLATE(AA205, ""en"", ""hi""))"),"धैर्य रखें")</f>
        <v>धैर्य रखें</v>
      </c>
      <c r="AF205" s="5" t="str">
        <f ca="1">IFERROR(__xludf.DUMMYFUNCTION("IF(AB205 = """", """", GOOGLETRANSLATE(AB205, ""en"", ""hi""))"),"")</f>
        <v/>
      </c>
      <c r="AG205" s="5" t="str">
        <f ca="1">IFERROR(__xludf.DUMMYFUNCTION("IF(Y205 = """", """", GOOGLETRANSLATE(Y205, ""en"", ""mr""))"),"मोठे आर्थिक व्यवहार टाळा")</f>
        <v>मोठे आर्थिक व्यवहार टाळा</v>
      </c>
      <c r="AH205" s="5" t="str">
        <f ca="1">IFERROR(__xludf.DUMMYFUNCTION("IF(Z205 = """", """", GOOGLETRANSLATE(Z205, ""en"", ""mr""))"),"जपून चालवा")</f>
        <v>जपून चालवा</v>
      </c>
      <c r="AI205" s="5" t="str">
        <f ca="1">IFERROR(__xludf.DUMMYFUNCTION("IF(AA205 = """", """", GOOGLETRANSLATE(AA205, ""en"", ""mr""))"),"संयम बाळगा")</f>
        <v>संयम बाळगा</v>
      </c>
      <c r="AJ205" s="5" t="str">
        <f ca="1">IFERROR(__xludf.DUMMYFUNCTION("IF(AB205 = """", """", GOOGLETRANSLATE(AB205, ""en"", ""mr""))"),"")</f>
        <v/>
      </c>
      <c r="AK205" s="5" t="str">
        <f ca="1">IFERROR(__xludf.DUMMYFUNCTION("IF(Y205 = """", """", GOOGLETRANSLATE(Y205, ""en"", ""gu""))"),"મોટા નાણાકીય સોદા ટાળો")</f>
        <v>મોટા નાણાકીય સોદા ટાળો</v>
      </c>
      <c r="AL205" s="5" t="str">
        <f ca="1">IFERROR(__xludf.DUMMYFUNCTION("IF(Z205 = """", """", GOOGLETRANSLATE(Z205, ""en"", ""gu""))"),"કાળજીપૂર્વક વાહન ચલાવો")</f>
        <v>કાળજીપૂર્વક વાહન ચલાવો</v>
      </c>
      <c r="AM205" s="5" t="str">
        <f ca="1">IFERROR(__xludf.DUMMYFUNCTION("IF(AA205 = """", """", GOOGLETRANSLATE(AA205, ""en"", ""gu""))"),"ધીરજ રાખો")</f>
        <v>ધીરજ રાખો</v>
      </c>
      <c r="AN205" s="5" t="str">
        <f ca="1">IFERROR(__xludf.DUMMYFUNCTION("IF(AB205 = """", """", GOOGLETRANSLATE(AB205, ""en"", ""gu""))"),"")</f>
        <v/>
      </c>
      <c r="AO205" s="5" t="str">
        <f ca="1">IFERROR(__xludf.DUMMYFUNCTION("IF(Y205 = """", """", GOOGLETRANSLATE(Y205, ""en"", ""bn""))"),"বড় আর্থিক চুক্তি এড়িয়ে চলুন")</f>
        <v>বড় আর্থিক চুক্তি এড়িয়ে চলুন</v>
      </c>
      <c r="AP205" s="5" t="str">
        <f ca="1">IFERROR(__xludf.DUMMYFUNCTION("IF(Z205 = """", """", GOOGLETRANSLATE(Z205, ""en"", ""bn""))"),"সাবধানে চালান")</f>
        <v>সাবধানে চালান</v>
      </c>
      <c r="AQ205" s="5" t="str">
        <f ca="1">IFERROR(__xludf.DUMMYFUNCTION("IF(AA205 = """", """", GOOGLETRANSLATE(AA205, ""en"", ""bn""))"),"ধৈর্য্য ধারণ করুন")</f>
        <v>ধৈর্য্য ধারণ করুন</v>
      </c>
      <c r="AR205" s="5" t="str">
        <f ca="1">IFERROR(__xludf.DUMMYFUNCTION("IF(AB205 = """", """", GOOGLETRANSLATE(AB205, ""en"", ""bn""))"),"")</f>
        <v/>
      </c>
      <c r="AU205" s="5" t="str">
        <f ca="1">IFERROR(__xludf.DUMMYFUNCTION("IF(Y205 = """", """", GOOGLETRANSLATE(Y205, ""en"", ""te""))"),"పెద్ద ఆర్థిక ఒప్పందాలను నివారించండి")</f>
        <v>పెద్ద ఆర్థిక ఒప్పందాలను నివారించండి</v>
      </c>
      <c r="AV205" s="5" t="str">
        <f ca="1">IFERROR(__xludf.DUMMYFUNCTION("IF(Z205 = """", """", GOOGLETRANSLATE(Z205, ""en"", ""te""))"),"జాగ్రత్తగా డ్రైవ్ చేయండి")</f>
        <v>జాగ్రత్తగా డ్రైవ్ చేయండి</v>
      </c>
      <c r="AW205" s="5" t="str">
        <f ca="1">IFERROR(__xludf.DUMMYFUNCTION("IF(AA205 = """", """", GOOGLETRANSLATE(AA205, ""en"", ""te""))"),"ఓపిక పట్టండి")</f>
        <v>ఓపిక పట్టండి</v>
      </c>
      <c r="AX205" s="5" t="str">
        <f ca="1">IFERROR(__xludf.DUMMYFUNCTION("IF(AB205 = """", """", GOOGLETRANSLATE(AB205, ""en"", ""te""))"),"")</f>
        <v/>
      </c>
    </row>
    <row r="206" spans="1:50" x14ac:dyDescent="0.25">
      <c r="A206" s="1">
        <v>221</v>
      </c>
      <c r="B206" s="1" t="s">
        <v>56</v>
      </c>
      <c r="C206" s="2">
        <v>45839</v>
      </c>
      <c r="D206" s="2">
        <v>45839</v>
      </c>
      <c r="E206" s="1">
        <v>12</v>
      </c>
      <c r="F206" s="1">
        <v>1</v>
      </c>
      <c r="G206" s="3" t="s">
        <v>171</v>
      </c>
      <c r="H206" s="4">
        <v>1.1527777777777777E-2</v>
      </c>
      <c r="I206" s="4">
        <v>8.564814814814815E-3</v>
      </c>
      <c r="J206" s="4">
        <v>8.564814814814815E-3</v>
      </c>
      <c r="K206" s="1" t="s">
        <v>58</v>
      </c>
      <c r="L206" s="1" t="s">
        <v>81</v>
      </c>
      <c r="M206" s="1"/>
      <c r="N206" s="1"/>
      <c r="O206" s="1" t="s">
        <v>91</v>
      </c>
      <c r="P206" s="1" t="s">
        <v>61</v>
      </c>
      <c r="Q206" s="1" t="s">
        <v>61</v>
      </c>
      <c r="R206" s="1" t="s">
        <v>61</v>
      </c>
      <c r="S206" s="1" t="s">
        <v>61</v>
      </c>
      <c r="T206" s="1" t="s">
        <v>61</v>
      </c>
      <c r="U206" s="1"/>
      <c r="V206" s="1" t="s">
        <v>91</v>
      </c>
      <c r="W206" s="1" t="s">
        <v>61</v>
      </c>
      <c r="X206" s="1" t="s">
        <v>61</v>
      </c>
      <c r="Y206" s="1" t="s">
        <v>620</v>
      </c>
      <c r="Z206" s="1" t="s">
        <v>621</v>
      </c>
      <c r="AA206" s="1"/>
      <c r="AB206" s="1"/>
      <c r="AC206" s="5" t="str">
        <f ca="1">IFERROR(__xludf.DUMMYFUNCTION("IF(Y206 = """", """", GOOGLETRANSLATE(Y206, ""en"", ""hi""))
"),"सुबह का तनाव शाम तक कम हो जाता है")</f>
        <v>सुबह का तनाव शाम तक कम हो जाता है</v>
      </c>
      <c r="AD206" s="5" t="str">
        <f ca="1">IFERROR(__xludf.DUMMYFUNCTION("IF(Z206 = """", """", GOOGLETRANSLATE(Z206, ""en"", ""hi""))"),"आराम करें और कार्यों को सामान्य होने दें")</f>
        <v>आराम करें और कार्यों को सामान्य होने दें</v>
      </c>
      <c r="AE206" s="5" t="str">
        <f ca="1">IFERROR(__xludf.DUMMYFUNCTION("IF(AA206 = """", """", GOOGLETRANSLATE(AA206, ""en"", ""hi""))"),"")</f>
        <v/>
      </c>
      <c r="AF206" s="5" t="str">
        <f ca="1">IFERROR(__xludf.DUMMYFUNCTION("IF(AB206 = """", """", GOOGLETRANSLATE(AB206, ""en"", ""hi""))"),"")</f>
        <v/>
      </c>
      <c r="AG206" s="5" t="str">
        <f ca="1">IFERROR(__xludf.DUMMYFUNCTION("IF(Y206 = """", """", GOOGLETRANSLATE(Y206, ""en"", ""mr""))"),"सकाळचा ताण संध्याकाळपर्यंत कमी होतो")</f>
        <v>सकाळचा ताण संध्याकाळपर्यंत कमी होतो</v>
      </c>
      <c r="AH206" s="5" t="str">
        <f ca="1">IFERROR(__xludf.DUMMYFUNCTION("IF(Z206 = """", """", GOOGLETRANSLATE(Z206, ""en"", ""mr""))"),"आराम करा आणि कार्ये सामान्य होऊ द्या")</f>
        <v>आराम करा आणि कार्ये सामान्य होऊ द्या</v>
      </c>
      <c r="AI206" s="5" t="str">
        <f ca="1">IFERROR(__xludf.DUMMYFUNCTION("IF(AA206 = """", """", GOOGLETRANSLATE(AA206, ""en"", ""mr""))"),"")</f>
        <v/>
      </c>
      <c r="AJ206" s="5" t="str">
        <f ca="1">IFERROR(__xludf.DUMMYFUNCTION("IF(AB206 = """", """", GOOGLETRANSLATE(AB206, ""en"", ""mr""))"),"")</f>
        <v/>
      </c>
      <c r="AK206" s="5" t="str">
        <f ca="1">IFERROR(__xludf.DUMMYFUNCTION("IF(Y206 = """", """", GOOGLETRANSLATE(Y206, ""en"", ""gu""))"),"સવારનું ટેન્શન સાંજ સુધીમાં હળવું થાય છે")</f>
        <v>સવારનું ટેન્શન સાંજ સુધીમાં હળવું થાય છે</v>
      </c>
      <c r="AL206" s="5" t="str">
        <f ca="1">IFERROR(__xludf.DUMMYFUNCTION("IF(Z206 = """", """", GOOGLETRANSLATE(Z206, ""en"", ""gu""))"),"આરામ કરો અને કાર્યોને સામાન્ય થવા દો")</f>
        <v>આરામ કરો અને કાર્યોને સામાન્ય થવા દો</v>
      </c>
      <c r="AM206" s="5" t="str">
        <f ca="1">IFERROR(__xludf.DUMMYFUNCTION("IF(AA206 = """", """", GOOGLETRANSLATE(AA206, ""en"", ""gu""))"),"")</f>
        <v/>
      </c>
      <c r="AN206" s="5" t="str">
        <f ca="1">IFERROR(__xludf.DUMMYFUNCTION("IF(AB206 = """", """", GOOGLETRANSLATE(AB206, ""en"", ""gu""))"),"")</f>
        <v/>
      </c>
      <c r="AO206" s="5" t="str">
        <f ca="1">IFERROR(__xludf.DUMMYFUNCTION("IF(Y206 = """", """", GOOGLETRANSLATE(Y206, ""en"", ""bn""))"),"সকালের উত্তেজনা সন্ধ্যায় কমে যায়")</f>
        <v>সকালের উত্তেজনা সন্ধ্যায় কমে যায়</v>
      </c>
      <c r="AP206" s="5" t="str">
        <f ca="1">IFERROR(__xludf.DUMMYFUNCTION("IF(Z206 = """", """", GOOGLETRANSLATE(Z206, ""en"", ""bn""))"),"আরাম করুন এবং কাজগুলিকে স্বাভাবিক হতে দিন")</f>
        <v>আরাম করুন এবং কাজগুলিকে স্বাভাবিক হতে দিন</v>
      </c>
      <c r="AQ206" s="5" t="str">
        <f ca="1">IFERROR(__xludf.DUMMYFUNCTION("IF(AA206 = """", """", GOOGLETRANSLATE(AA206, ""en"", ""bn""))"),"")</f>
        <v/>
      </c>
      <c r="AR206" s="5" t="str">
        <f ca="1">IFERROR(__xludf.DUMMYFUNCTION("IF(AB206 = """", """", GOOGLETRANSLATE(AB206, ""en"", ""bn""))"),"")</f>
        <v/>
      </c>
      <c r="AU206" s="5" t="str">
        <f ca="1">IFERROR(__xludf.DUMMYFUNCTION("IF(Y206 = """", """", GOOGLETRANSLATE(Y206, ""en"", ""te""))"),"ఉదయం టెన్షన్ సాయంత్రానికి తగ్గుతుంది")</f>
        <v>ఉదయం టెన్షన్ సాయంత్రానికి తగ్గుతుంది</v>
      </c>
      <c r="AV206" s="5" t="str">
        <f ca="1">IFERROR(__xludf.DUMMYFUNCTION("IF(Z206 = """", """", GOOGLETRANSLATE(Z206, ""en"", ""te""))"),"విశ్రాంతి తీసుకోండి మరియు పనులను సాధారణీకరించడానికి అనుమతించండి")</f>
        <v>విశ్రాంతి తీసుకోండి మరియు పనులను సాధారణీకరించడానికి అనుమతించండి</v>
      </c>
      <c r="AW206" s="5" t="str">
        <f ca="1">IFERROR(__xludf.DUMMYFUNCTION("IF(AA206 = """", """", GOOGLETRANSLATE(AA206, ""en"", ""te""))"),"")</f>
        <v/>
      </c>
      <c r="AX206" s="5" t="str">
        <f ca="1">IFERROR(__xludf.DUMMYFUNCTION("IF(AB206 = """", """", GOOGLETRANSLATE(AB206, ""en"", ""te""))"),"")</f>
        <v/>
      </c>
    </row>
    <row r="207" spans="1:50" x14ac:dyDescent="0.25">
      <c r="A207" s="1">
        <v>222</v>
      </c>
      <c r="B207" s="1" t="s">
        <v>56</v>
      </c>
      <c r="C207" s="2">
        <v>45839</v>
      </c>
      <c r="D207" s="2">
        <v>45839</v>
      </c>
      <c r="E207" s="1">
        <v>13</v>
      </c>
      <c r="F207" s="1">
        <v>1</v>
      </c>
      <c r="G207" s="3" t="s">
        <v>171</v>
      </c>
      <c r="H207" s="4">
        <v>1.1527777777777777E-2</v>
      </c>
      <c r="I207" s="4">
        <v>8.564814814814815E-3</v>
      </c>
      <c r="J207" s="4">
        <v>1.1527777777777777E-2</v>
      </c>
      <c r="K207" s="1" t="s">
        <v>58</v>
      </c>
      <c r="L207" s="1" t="s">
        <v>137</v>
      </c>
      <c r="M207" s="1"/>
      <c r="N207" s="1"/>
      <c r="O207" s="1" t="s">
        <v>61</v>
      </c>
      <c r="P207" s="1" t="s">
        <v>61</v>
      </c>
      <c r="Q207" s="1" t="s">
        <v>61</v>
      </c>
      <c r="R207" s="1" t="s">
        <v>61</v>
      </c>
      <c r="S207" s="1" t="s">
        <v>61</v>
      </c>
      <c r="T207" s="1" t="s">
        <v>61</v>
      </c>
      <c r="U207" s="1"/>
      <c r="V207" s="1" t="s">
        <v>61</v>
      </c>
      <c r="W207" s="1" t="s">
        <v>61</v>
      </c>
      <c r="X207" s="1" t="s">
        <v>61</v>
      </c>
      <c r="Y207" s="1"/>
      <c r="Z207" s="1"/>
      <c r="AA207" s="1"/>
      <c r="AB207" s="1"/>
      <c r="AC207" s="5" t="str">
        <f ca="1">IFERROR(__xludf.DUMMYFUNCTION("IF(Y207 = """", """", GOOGLETRANSLATE(Y207, ""en"", ""hi""))
"),"")</f>
        <v/>
      </c>
      <c r="AD207" s="5" t="str">
        <f ca="1">IFERROR(__xludf.DUMMYFUNCTION("IF(Z207 = """", """", GOOGLETRANSLATE(Z207, ""en"", ""hi""))"),"")</f>
        <v/>
      </c>
      <c r="AE207" s="5" t="str">
        <f ca="1">IFERROR(__xludf.DUMMYFUNCTION("IF(AA207 = """", """", GOOGLETRANSLATE(AA207, ""en"", ""hi""))"),"")</f>
        <v/>
      </c>
      <c r="AF207" s="5" t="str">
        <f ca="1">IFERROR(__xludf.DUMMYFUNCTION("IF(AB207 = """", """", GOOGLETRANSLATE(AB207, ""en"", ""hi""))"),"")</f>
        <v/>
      </c>
      <c r="AG207" s="5" t="str">
        <f ca="1">IFERROR(__xludf.DUMMYFUNCTION("IF(Y207 = """", """", GOOGLETRANSLATE(Y207, ""en"", ""mr""))"),"")</f>
        <v/>
      </c>
      <c r="AH207" s="5" t="str">
        <f ca="1">IFERROR(__xludf.DUMMYFUNCTION("IF(Z207 = """", """", GOOGLETRANSLATE(Z207, ""en"", ""mr""))"),"")</f>
        <v/>
      </c>
      <c r="AI207" s="5" t="str">
        <f ca="1">IFERROR(__xludf.DUMMYFUNCTION("IF(AA207 = """", """", GOOGLETRANSLATE(AA207, ""en"", ""mr""))"),"")</f>
        <v/>
      </c>
      <c r="AJ207" s="5" t="str">
        <f ca="1">IFERROR(__xludf.DUMMYFUNCTION("IF(AB207 = """", """", GOOGLETRANSLATE(AB207, ""en"", ""mr""))"),"")</f>
        <v/>
      </c>
      <c r="AK207" s="5" t="str">
        <f ca="1">IFERROR(__xludf.DUMMYFUNCTION("IF(Y207 = """", """", GOOGLETRANSLATE(Y207, ""en"", ""gu""))"),"")</f>
        <v/>
      </c>
      <c r="AL207" s="5" t="str">
        <f ca="1">IFERROR(__xludf.DUMMYFUNCTION("IF(Z207 = """", """", GOOGLETRANSLATE(Z207, ""en"", ""gu""))"),"")</f>
        <v/>
      </c>
      <c r="AM207" s="5" t="str">
        <f ca="1">IFERROR(__xludf.DUMMYFUNCTION("IF(AA207 = """", """", GOOGLETRANSLATE(AA207, ""en"", ""gu""))"),"")</f>
        <v/>
      </c>
      <c r="AN207" s="5" t="str">
        <f ca="1">IFERROR(__xludf.DUMMYFUNCTION("IF(AB207 = """", """", GOOGLETRANSLATE(AB207, ""en"", ""gu""))"),"")</f>
        <v/>
      </c>
      <c r="AO207" s="5" t="str">
        <f ca="1">IFERROR(__xludf.DUMMYFUNCTION("IF(Y207 = """", """", GOOGLETRANSLATE(Y207, ""en"", ""bn""))"),"")</f>
        <v/>
      </c>
      <c r="AP207" s="5" t="str">
        <f ca="1">IFERROR(__xludf.DUMMYFUNCTION("IF(Z207 = """", """", GOOGLETRANSLATE(Z207, ""en"", ""bn""))"),"")</f>
        <v/>
      </c>
      <c r="AQ207" s="5" t="str">
        <f ca="1">IFERROR(__xludf.DUMMYFUNCTION("IF(AA207 = """", """", GOOGLETRANSLATE(AA207, ""en"", ""bn""))"),"")</f>
        <v/>
      </c>
      <c r="AR207" s="5" t="str">
        <f ca="1">IFERROR(__xludf.DUMMYFUNCTION("IF(AB207 = """", """", GOOGLETRANSLATE(AB207, ""en"", ""bn""))"),"")</f>
        <v/>
      </c>
      <c r="AU207" s="5" t="str">
        <f ca="1">IFERROR(__xludf.DUMMYFUNCTION("IF(Y207 = """", """", GOOGLETRANSLATE(Y207, ""en"", ""te""))"),"")</f>
        <v/>
      </c>
      <c r="AV207" s="5" t="str">
        <f ca="1">IFERROR(__xludf.DUMMYFUNCTION("IF(Z207 = """", """", GOOGLETRANSLATE(Z207, ""en"", ""te""))"),"")</f>
        <v/>
      </c>
      <c r="AW207" s="5" t="str">
        <f ca="1">IFERROR(__xludf.DUMMYFUNCTION("IF(AA207 = """", """", GOOGLETRANSLATE(AA207, ""en"", ""te""))"),"")</f>
        <v/>
      </c>
      <c r="AX207" s="5" t="str">
        <f ca="1">IFERROR(__xludf.DUMMYFUNCTION("IF(AB207 = """", """", GOOGLETRANSLATE(AB207, ""en"", ""te""))"),"")</f>
        <v/>
      </c>
    </row>
    <row r="208" spans="1:50" x14ac:dyDescent="0.25">
      <c r="A208" s="1">
        <v>223</v>
      </c>
      <c r="B208" s="1" t="s">
        <v>56</v>
      </c>
      <c r="C208" s="2">
        <v>45840</v>
      </c>
      <c r="D208" s="2">
        <v>45840</v>
      </c>
      <c r="E208" s="1">
        <v>0</v>
      </c>
      <c r="F208" s="1">
        <v>1</v>
      </c>
      <c r="G208" s="3" t="s">
        <v>622</v>
      </c>
      <c r="H208" s="4">
        <v>1.0243055555555556E-2</v>
      </c>
      <c r="I208" s="4">
        <v>0</v>
      </c>
      <c r="J208" s="4">
        <v>7.5231481481481482E-4</v>
      </c>
      <c r="K208" s="1" t="s">
        <v>58</v>
      </c>
      <c r="L208" s="1" t="s">
        <v>59</v>
      </c>
      <c r="M208" s="1"/>
      <c r="N208" s="1"/>
      <c r="O208" s="1" t="s">
        <v>61</v>
      </c>
      <c r="P208" s="1" t="s">
        <v>61</v>
      </c>
      <c r="Q208" s="1" t="s">
        <v>61</v>
      </c>
      <c r="R208" s="1" t="s">
        <v>61</v>
      </c>
      <c r="S208" s="1" t="s">
        <v>61</v>
      </c>
      <c r="T208" s="1" t="s">
        <v>61</v>
      </c>
      <c r="U208" s="1"/>
      <c r="V208" s="1" t="s">
        <v>61</v>
      </c>
      <c r="W208" s="1" t="s">
        <v>61</v>
      </c>
      <c r="X208" s="1" t="s">
        <v>61</v>
      </c>
      <c r="Y208" s="1"/>
      <c r="Z208" s="1"/>
      <c r="AA208" s="1"/>
      <c r="AB208" s="1"/>
      <c r="AC208" s="5" t="str">
        <f ca="1">IFERROR(__xludf.DUMMYFUNCTION("IF(Y208 = """", """", GOOGLETRANSLATE(Y208, ""en"", ""hi""))
"),"")</f>
        <v/>
      </c>
      <c r="AD208" s="5" t="str">
        <f ca="1">IFERROR(__xludf.DUMMYFUNCTION("IF(Z208 = """", """", GOOGLETRANSLATE(Z208, ""en"", ""hi""))"),"")</f>
        <v/>
      </c>
      <c r="AE208" s="5" t="str">
        <f ca="1">IFERROR(__xludf.DUMMYFUNCTION("IF(AA208 = """", """", GOOGLETRANSLATE(AA208, ""en"", ""hi""))"),"")</f>
        <v/>
      </c>
      <c r="AF208" s="5" t="str">
        <f ca="1">IFERROR(__xludf.DUMMYFUNCTION("IF(AB208 = """", """", GOOGLETRANSLATE(AB208, ""en"", ""hi""))"),"")</f>
        <v/>
      </c>
      <c r="AG208" s="5" t="str">
        <f ca="1">IFERROR(__xludf.DUMMYFUNCTION("IF(Y208 = """", """", GOOGLETRANSLATE(Y208, ""en"", ""mr""))"),"")</f>
        <v/>
      </c>
      <c r="AH208" s="5" t="str">
        <f ca="1">IFERROR(__xludf.DUMMYFUNCTION("IF(Z208 = """", """", GOOGLETRANSLATE(Z208, ""en"", ""mr""))"),"")</f>
        <v/>
      </c>
      <c r="AI208" s="5" t="str">
        <f ca="1">IFERROR(__xludf.DUMMYFUNCTION("IF(AA208 = """", """", GOOGLETRANSLATE(AA208, ""en"", ""mr""))"),"")</f>
        <v/>
      </c>
      <c r="AJ208" s="5" t="str">
        <f ca="1">IFERROR(__xludf.DUMMYFUNCTION("IF(AB208 = """", """", GOOGLETRANSLATE(AB208, ""en"", ""mr""))"),"")</f>
        <v/>
      </c>
      <c r="AK208" s="5" t="str">
        <f ca="1">IFERROR(__xludf.DUMMYFUNCTION("IF(Y208 = """", """", GOOGLETRANSLATE(Y208, ""en"", ""gu""))"),"")</f>
        <v/>
      </c>
      <c r="AL208" s="5" t="str">
        <f ca="1">IFERROR(__xludf.DUMMYFUNCTION("IF(Z208 = """", """", GOOGLETRANSLATE(Z208, ""en"", ""gu""))"),"")</f>
        <v/>
      </c>
      <c r="AM208" s="5" t="str">
        <f ca="1">IFERROR(__xludf.DUMMYFUNCTION("IF(AA208 = """", """", GOOGLETRANSLATE(AA208, ""en"", ""gu""))"),"")</f>
        <v/>
      </c>
      <c r="AN208" s="5" t="str">
        <f ca="1">IFERROR(__xludf.DUMMYFUNCTION("IF(AB208 = """", """", GOOGLETRANSLATE(AB208, ""en"", ""gu""))"),"")</f>
        <v/>
      </c>
      <c r="AO208" s="5" t="str">
        <f ca="1">IFERROR(__xludf.DUMMYFUNCTION("IF(Y208 = """", """", GOOGLETRANSLATE(Y208, ""en"", ""bn""))"),"")</f>
        <v/>
      </c>
      <c r="AP208" s="5" t="str">
        <f ca="1">IFERROR(__xludf.DUMMYFUNCTION("IF(Z208 = """", """", GOOGLETRANSLATE(Z208, ""en"", ""bn""))"),"")</f>
        <v/>
      </c>
      <c r="AQ208" s="5" t="str">
        <f ca="1">IFERROR(__xludf.DUMMYFUNCTION("IF(AA208 = """", """", GOOGLETRANSLATE(AA208, ""en"", ""bn""))"),"")</f>
        <v/>
      </c>
      <c r="AR208" s="5" t="str">
        <f ca="1">IFERROR(__xludf.DUMMYFUNCTION("IF(AB208 = """", """", GOOGLETRANSLATE(AB208, ""en"", ""bn""))"),"")</f>
        <v/>
      </c>
      <c r="AU208" s="5" t="str">
        <f ca="1">IFERROR(__xludf.DUMMYFUNCTION("IF(Y208 = """", """", GOOGLETRANSLATE(Y208, ""en"", ""te""))"),"")</f>
        <v/>
      </c>
      <c r="AV208" s="5" t="str">
        <f ca="1">IFERROR(__xludf.DUMMYFUNCTION("IF(Z208 = """", """", GOOGLETRANSLATE(Z208, ""en"", ""te""))"),"")</f>
        <v/>
      </c>
      <c r="AW208" s="5" t="str">
        <f ca="1">IFERROR(__xludf.DUMMYFUNCTION("IF(AA208 = """", """", GOOGLETRANSLATE(AA208, ""en"", ""te""))"),"")</f>
        <v/>
      </c>
      <c r="AX208" s="5" t="str">
        <f ca="1">IFERROR(__xludf.DUMMYFUNCTION("IF(AB208 = """", """", GOOGLETRANSLATE(AB208, ""en"", ""te""))"),"")</f>
        <v/>
      </c>
    </row>
    <row r="209" spans="1:50" x14ac:dyDescent="0.25">
      <c r="A209" s="1">
        <v>224</v>
      </c>
      <c r="B209" s="1" t="s">
        <v>56</v>
      </c>
      <c r="C209" s="2">
        <v>45840</v>
      </c>
      <c r="D209" s="2">
        <v>45840</v>
      </c>
      <c r="E209" s="1">
        <v>1</v>
      </c>
      <c r="F209" s="1">
        <v>1</v>
      </c>
      <c r="G209" s="3" t="s">
        <v>622</v>
      </c>
      <c r="H209" s="4">
        <v>1.0243055555555556E-2</v>
      </c>
      <c r="I209" s="4">
        <v>7.5231481481481482E-4</v>
      </c>
      <c r="J209" s="4">
        <v>1.3078703703703703E-3</v>
      </c>
      <c r="K209" s="1" t="s">
        <v>58</v>
      </c>
      <c r="L209" s="1" t="s">
        <v>142</v>
      </c>
      <c r="M209" s="1"/>
      <c r="N209" s="1"/>
      <c r="O209" s="1" t="s">
        <v>61</v>
      </c>
      <c r="P209" s="1" t="s">
        <v>61</v>
      </c>
      <c r="Q209" s="1" t="s">
        <v>61</v>
      </c>
      <c r="R209" s="1" t="s">
        <v>91</v>
      </c>
      <c r="S209" s="1" t="s">
        <v>61</v>
      </c>
      <c r="T209" s="1" t="s">
        <v>61</v>
      </c>
      <c r="U209" s="1"/>
      <c r="V209" s="1" t="s">
        <v>61</v>
      </c>
      <c r="W209" s="1" t="s">
        <v>61</v>
      </c>
      <c r="X209" s="1" t="s">
        <v>91</v>
      </c>
      <c r="Y209" s="1" t="s">
        <v>623</v>
      </c>
      <c r="Z209" s="1" t="s">
        <v>624</v>
      </c>
      <c r="AA209" s="1" t="s">
        <v>625</v>
      </c>
      <c r="AB209" s="1"/>
      <c r="AC209" s="5" t="str">
        <f ca="1">IFERROR(__xludf.DUMMYFUNCTION("IF(Y209 = """", """", GOOGLETRANSLATE(Y209, ""en"", ""hi""))
"),"योजना बनाकर सामाजिक एवं पारिवारिक कर्तव्यों का प्रबंधन करें")</f>
        <v>योजना बनाकर सामाजिक एवं पारिवारिक कर्तव्यों का प्रबंधन करें</v>
      </c>
      <c r="AD209" s="5" t="str">
        <f ca="1">IFERROR(__xludf.DUMMYFUNCTION("IF(Z209 = """", """", GOOGLETRANSLATE(Z209, ""en"", ""hi""))"),"बहुत अधिक कड़ा शेड्यूल न रखें")</f>
        <v>बहुत अधिक कड़ा शेड्यूल न रखें</v>
      </c>
      <c r="AE209" s="5" t="str">
        <f ca="1">IFERROR(__xludf.DUMMYFUNCTION("IF(AA209 = """", """", GOOGLETRANSLATE(AA209, ""en"", ""hi""))"),"शाम को थकान की उम्मीद करें")</f>
        <v>शाम को थकान की उम्मीद करें</v>
      </c>
      <c r="AF209" s="5" t="str">
        <f ca="1">IFERROR(__xludf.DUMMYFUNCTION("IF(AB209 = """", """", GOOGLETRANSLATE(AB209, ""en"", ""hi""))"),"")</f>
        <v/>
      </c>
      <c r="AG209" s="5" t="str">
        <f ca="1">IFERROR(__xludf.DUMMYFUNCTION("IF(Y209 = """", """", GOOGLETRANSLATE(Y209, ""en"", ""mr""))"),"नियोजनासह सामाजिक आणि कौटुंबिक कर्तव्ये व्यवस्थापित करा")</f>
        <v>नियोजनासह सामाजिक आणि कौटुंबिक कर्तव्ये व्यवस्थापित करा</v>
      </c>
      <c r="AH209" s="5" t="str">
        <f ca="1">IFERROR(__xludf.DUMMYFUNCTION("IF(Z209 = """", """", GOOGLETRANSLATE(Z209, ""en"", ""mr""))"),"जास्त घट्ट वेळापत्रक ठेवू नका")</f>
        <v>जास्त घट्ट वेळापत्रक ठेवू नका</v>
      </c>
      <c r="AI209" s="5" t="str">
        <f ca="1">IFERROR(__xludf.DUMMYFUNCTION("IF(AA209 = """", """", GOOGLETRANSLATE(AA209, ""en"", ""mr""))"),"संध्याकाळच्या थकव्याची अपेक्षा करा")</f>
        <v>संध्याकाळच्या थकव्याची अपेक्षा करा</v>
      </c>
      <c r="AJ209" s="5" t="str">
        <f ca="1">IFERROR(__xludf.DUMMYFUNCTION("IF(AB209 = """", """", GOOGLETRANSLATE(AB209, ""en"", ""mr""))"),"")</f>
        <v/>
      </c>
      <c r="AK209" s="5" t="str">
        <f ca="1">IFERROR(__xludf.DUMMYFUNCTION("IF(Y209 = """", """", GOOGLETRANSLATE(Y209, ""en"", ""gu""))"),"આયોજન સાથે સામાજિક અને કૌટુંબિક ફરજોનું સંચાલન કરો")</f>
        <v>આયોજન સાથે સામાજિક અને કૌટુંબિક ફરજોનું સંચાલન કરો</v>
      </c>
      <c r="AL209" s="5" t="str">
        <f ca="1">IFERROR(__xludf.DUMMYFUNCTION("IF(Z209 = """", """", GOOGLETRANSLATE(Z209, ""en"", ""gu""))"),"વધુ પડતું ચુસ્ત શેડ્યૂલ ન રાખો")</f>
        <v>વધુ પડતું ચુસ્ત શેડ્યૂલ ન રાખો</v>
      </c>
      <c r="AM209" s="5" t="str">
        <f ca="1">IFERROR(__xludf.DUMMYFUNCTION("IF(AA209 = """", """", GOOGLETRANSLATE(AA209, ""en"", ""gu""))"),"સાંજના થાકની અપેક્ષા રાખો")</f>
        <v>સાંજના થાકની અપેક્ષા રાખો</v>
      </c>
      <c r="AN209" s="5" t="str">
        <f ca="1">IFERROR(__xludf.DUMMYFUNCTION("IF(AB209 = """", """", GOOGLETRANSLATE(AB209, ""en"", ""gu""))"),"")</f>
        <v/>
      </c>
      <c r="AO209" s="5" t="str">
        <f ca="1">IFERROR(__xludf.DUMMYFUNCTION("IF(Y209 = """", """", GOOGLETRANSLATE(Y209, ""en"", ""bn""))"),"পরিকল্পনার সাথে সামাজিক ও পারিবারিক দায়িত্ব পালন করুন")</f>
        <v>পরিকল্পনার সাথে সামাজিক ও পারিবারিক দায়িত্ব পালন করুন</v>
      </c>
      <c r="AP209" s="5" t="str">
        <f ca="1">IFERROR(__xludf.DUMMYFUNCTION("IF(Z209 = """", """", GOOGLETRANSLATE(Z209, ""en"", ""bn""))"),"অতিরিক্ত টাইট শিডিউল রাখবেন না")</f>
        <v>অতিরিক্ত টাইট শিডিউল রাখবেন না</v>
      </c>
      <c r="AQ209" s="5" t="str">
        <f ca="1">IFERROR(__xludf.DUMMYFUNCTION("IF(AA209 = """", """", GOOGLETRANSLATE(AA209, ""en"", ""bn""))"),"সন্ধ্যার ক্লান্তি আশা করুন")</f>
        <v>সন্ধ্যার ক্লান্তি আশা করুন</v>
      </c>
      <c r="AR209" s="5" t="str">
        <f ca="1">IFERROR(__xludf.DUMMYFUNCTION("IF(AB209 = """", """", GOOGLETRANSLATE(AB209, ""en"", ""bn""))"),"")</f>
        <v/>
      </c>
      <c r="AU209" s="5" t="str">
        <f ca="1">IFERROR(__xludf.DUMMYFUNCTION("IF(Y209 = """", """", GOOGLETRANSLATE(Y209, ""en"", ""te""))"),"ప్రణాళికతో సామాజిక &amp; కుటుంబ విధులను నిర్వహించండి")</f>
        <v>ప్రణాళికతో సామాజిక &amp; కుటుంబ విధులను నిర్వహించండి</v>
      </c>
      <c r="AV209" s="5" t="str">
        <f ca="1">IFERROR(__xludf.DUMMYFUNCTION("IF(Z209 = """", """", GOOGLETRANSLATE(Z209, ""en"", ""te""))"),"చాలా టైట్ షెడ్యూల్ ఉంచవద్దు")</f>
        <v>చాలా టైట్ షెడ్యూల్ ఉంచవద్దు</v>
      </c>
      <c r="AW209" s="5" t="str">
        <f ca="1">IFERROR(__xludf.DUMMYFUNCTION("IF(AA209 = """", """", GOOGLETRANSLATE(AA209, ""en"", ""te""))"),"సాయంత్రం అలసటను ఆశించండి")</f>
        <v>సాయంత్రం అలసటను ఆశించండి</v>
      </c>
      <c r="AX209" s="5" t="str">
        <f ca="1">IFERROR(__xludf.DUMMYFUNCTION("IF(AB209 = """", """", GOOGLETRANSLATE(AB209, ""en"", ""te""))"),"")</f>
        <v/>
      </c>
    </row>
    <row r="210" spans="1:50" x14ac:dyDescent="0.25">
      <c r="A210" s="1">
        <v>225</v>
      </c>
      <c r="B210" s="1" t="s">
        <v>56</v>
      </c>
      <c r="C210" s="2">
        <v>45840</v>
      </c>
      <c r="D210" s="2">
        <v>45840</v>
      </c>
      <c r="E210" s="1">
        <v>2</v>
      </c>
      <c r="F210" s="1">
        <v>1</v>
      </c>
      <c r="G210" s="3" t="s">
        <v>622</v>
      </c>
      <c r="H210" s="4">
        <v>1.0243055555555556E-2</v>
      </c>
      <c r="I210" s="4">
        <v>1.3078703703703703E-3</v>
      </c>
      <c r="J210" s="4">
        <v>1.7939814814814815E-3</v>
      </c>
      <c r="K210" s="1" t="s">
        <v>58</v>
      </c>
      <c r="L210" s="1" t="s">
        <v>90</v>
      </c>
      <c r="M210" s="1"/>
      <c r="N210" s="1"/>
      <c r="O210" s="1" t="s">
        <v>91</v>
      </c>
      <c r="P210" s="1" t="s">
        <v>61</v>
      </c>
      <c r="Q210" s="1" t="s">
        <v>61</v>
      </c>
      <c r="R210" s="1" t="s">
        <v>61</v>
      </c>
      <c r="S210" s="1" t="s">
        <v>61</v>
      </c>
      <c r="T210" s="1" t="s">
        <v>61</v>
      </c>
      <c r="U210" s="1"/>
      <c r="V210" s="1" t="s">
        <v>91</v>
      </c>
      <c r="W210" s="1" t="s">
        <v>61</v>
      </c>
      <c r="X210" s="1" t="s">
        <v>61</v>
      </c>
      <c r="Y210" s="1" t="s">
        <v>626</v>
      </c>
      <c r="Z210" s="1" t="s">
        <v>399</v>
      </c>
      <c r="AA210" s="1" t="s">
        <v>627</v>
      </c>
      <c r="AB210" s="1"/>
      <c r="AC210" s="5" t="str">
        <f ca="1">IFERROR(__xludf.DUMMYFUNCTION("IF(Y210 = """", """", GOOGLETRANSLATE(Y210, ""en"", ""hi""))
"),"पिछले कुछ सप्ताहों से रुके हुए काम को फिर से शुरू करें")</f>
        <v>पिछले कुछ सप्ताहों से रुके हुए काम को फिर से शुरू करें</v>
      </c>
      <c r="AD210" s="5" t="str">
        <f ca="1">IFERROR(__xludf.DUMMYFUNCTION("IF(Z210 = """", """", GOOGLETRANSLATE(Z210, ""en"", ""hi""))"),"प्रियजनों के साथ ग़लतफ़हमी से बचें")</f>
        <v>प्रियजनों के साथ ग़लतफ़हमी से बचें</v>
      </c>
      <c r="AE210" s="5" t="str">
        <f ca="1">IFERROR(__xludf.DUMMYFUNCTION("IF(AA210 = """", """", GOOGLETRANSLATE(AA210, ""en"", ""hi""))"),"मीठा बोलो")</f>
        <v>मीठा बोलो</v>
      </c>
      <c r="AF210" s="5" t="str">
        <f ca="1">IFERROR(__xludf.DUMMYFUNCTION("IF(AB210 = """", """", GOOGLETRANSLATE(AB210, ""en"", ""hi""))"),"")</f>
        <v/>
      </c>
      <c r="AG210" s="5" t="str">
        <f ca="1">IFERROR(__xludf.DUMMYFUNCTION("IF(Y210 = """", """", GOOGLETRANSLATE(Y210, ""en"", ""mr""))"),"अलिकडच्या आठवड्यापासून रखडलेली कामे पुन्हा सुरू करा")</f>
        <v>अलिकडच्या आठवड्यापासून रखडलेली कामे पुन्हा सुरू करा</v>
      </c>
      <c r="AH210" s="5" t="str">
        <f ca="1">IFERROR(__xludf.DUMMYFUNCTION("IF(Z210 = """", """", GOOGLETRANSLATE(Z210, ""en"", ""mr""))"),"प्रियजनांसोबत गैरसमज टाळा")</f>
        <v>प्रियजनांसोबत गैरसमज टाळा</v>
      </c>
      <c r="AI210" s="5" t="str">
        <f ca="1">IFERROR(__xludf.DUMMYFUNCTION("IF(AA210 = """", """", GOOGLETRANSLATE(AA210, ""en"", ""mr""))"),"गोड बोला")</f>
        <v>गोड बोला</v>
      </c>
      <c r="AJ210" s="5" t="str">
        <f ca="1">IFERROR(__xludf.DUMMYFUNCTION("IF(AB210 = """", """", GOOGLETRANSLATE(AB210, ""en"", ""mr""))"),"")</f>
        <v/>
      </c>
      <c r="AK210" s="5" t="str">
        <f ca="1">IFERROR(__xludf.DUMMYFUNCTION("IF(Y210 = """", """", GOOGLETRANSLATE(Y210, ""en"", ""gu""))"),"તાજેતરના અઠવાડિયાથી અટકેલું કામ ફરી શરૂ કરો")</f>
        <v>તાજેતરના અઠવાડિયાથી અટકેલું કામ ફરી શરૂ કરો</v>
      </c>
      <c r="AL210" s="5" t="str">
        <f ca="1">IFERROR(__xludf.DUMMYFUNCTION("IF(Z210 = """", """", GOOGLETRANSLATE(Z210, ""en"", ""gu""))"),"પ્રિયજનો સાથે ગેરસમજ ટાળો")</f>
        <v>પ્રિયજનો સાથે ગેરસમજ ટાળો</v>
      </c>
      <c r="AM210" s="5" t="str">
        <f ca="1">IFERROR(__xludf.DUMMYFUNCTION("IF(AA210 = """", """", GOOGLETRANSLATE(AA210, ""en"", ""gu""))"),"મધુર બોલો")</f>
        <v>મધુર બોલો</v>
      </c>
      <c r="AN210" s="5" t="str">
        <f ca="1">IFERROR(__xludf.DUMMYFUNCTION("IF(AB210 = """", """", GOOGLETRANSLATE(AB210, ""en"", ""gu""))"),"")</f>
        <v/>
      </c>
      <c r="AO210" s="5" t="str">
        <f ca="1">IFERROR(__xludf.DUMMYFUNCTION("IF(Y210 = """", """", GOOGLETRANSLATE(Y210, ""en"", ""bn""))"),"সাম্প্রতিক সপ্তাহ থেকে স্থবির কাজ পুনরায় শুরু করুন")</f>
        <v>সাম্প্রতিক সপ্তাহ থেকে স্থবির কাজ পুনরায় শুরু করুন</v>
      </c>
      <c r="AP210" s="5" t="str">
        <f ca="1">IFERROR(__xludf.DUMMYFUNCTION("IF(Z210 = """", """", GOOGLETRANSLATE(Z210, ""en"", ""bn""))"),"প্রিয়জনের সাথে ভুল বোঝাবুঝি এড়িয়ে চলুন")</f>
        <v>প্রিয়জনের সাথে ভুল বোঝাবুঝি এড়িয়ে চলুন</v>
      </c>
      <c r="AQ210" s="5" t="str">
        <f ca="1">IFERROR(__xludf.DUMMYFUNCTION("IF(AA210 = """", """", GOOGLETRANSLATE(AA210, ""en"", ""bn""))"),"মিষ্টি করে কথা বল")</f>
        <v>মিষ্টি করে কথা বল</v>
      </c>
      <c r="AR210" s="5" t="str">
        <f ca="1">IFERROR(__xludf.DUMMYFUNCTION("IF(AB210 = """", """", GOOGLETRANSLATE(AB210, ""en"", ""bn""))"),"")</f>
        <v/>
      </c>
      <c r="AU210" s="5" t="str">
        <f ca="1">IFERROR(__xludf.DUMMYFUNCTION("IF(Y210 = """", """", GOOGLETRANSLATE(Y210, ""en"", ""te""))"),"ఇటీవలి వారాల నుండి నిలిచిపోయిన పనిని పునఃప్రారంభించండి")</f>
        <v>ఇటీవలి వారాల నుండి నిలిచిపోయిన పనిని పునఃప్రారంభించండి</v>
      </c>
      <c r="AV210" s="5" t="str">
        <f ca="1">IFERROR(__xludf.DUMMYFUNCTION("IF(Z210 = """", """", GOOGLETRANSLATE(Z210, ""en"", ""te""))"),"ప్రియమైన వారితో అపార్థాలకు దూరంగా ఉండండి")</f>
        <v>ప్రియమైన వారితో అపార్థాలకు దూరంగా ఉండండి</v>
      </c>
      <c r="AW210" s="5" t="str">
        <f ca="1">IFERROR(__xludf.DUMMYFUNCTION("IF(AA210 = """", """", GOOGLETRANSLATE(AA210, ""en"", ""te""))"),"మధురంగా ​​మాట్లాడండి")</f>
        <v>మధురంగా ​​మాట్లాడండి</v>
      </c>
      <c r="AX210" s="5" t="str">
        <f ca="1">IFERROR(__xludf.DUMMYFUNCTION("IF(AB210 = """", """", GOOGLETRANSLATE(AB210, ""en"", ""te""))"),"")</f>
        <v/>
      </c>
    </row>
    <row r="211" spans="1:50" x14ac:dyDescent="0.25">
      <c r="A211" s="1">
        <v>226</v>
      </c>
      <c r="B211" s="1" t="s">
        <v>56</v>
      </c>
      <c r="C211" s="2">
        <v>45840</v>
      </c>
      <c r="D211" s="2">
        <v>45840</v>
      </c>
      <c r="E211" s="1">
        <v>3</v>
      </c>
      <c r="F211" s="1">
        <v>1</v>
      </c>
      <c r="G211" s="3" t="s">
        <v>622</v>
      </c>
      <c r="H211" s="4">
        <v>1.0243055555555556E-2</v>
      </c>
      <c r="I211" s="4">
        <v>1.7939814814814815E-3</v>
      </c>
      <c r="J211" s="4">
        <v>2.1527777777777778E-3</v>
      </c>
      <c r="K211" s="1" t="s">
        <v>58</v>
      </c>
      <c r="L211" s="1" t="s">
        <v>97</v>
      </c>
      <c r="M211" s="1"/>
      <c r="N211" s="1"/>
      <c r="O211" s="1" t="s">
        <v>61</v>
      </c>
      <c r="P211" s="1" t="s">
        <v>61</v>
      </c>
      <c r="Q211" s="1" t="s">
        <v>61</v>
      </c>
      <c r="R211" s="1" t="s">
        <v>61</v>
      </c>
      <c r="S211" s="1" t="s">
        <v>61</v>
      </c>
      <c r="T211" s="1" t="s">
        <v>91</v>
      </c>
      <c r="U211" s="1"/>
      <c r="V211" s="1" t="s">
        <v>91</v>
      </c>
      <c r="W211" s="1" t="s">
        <v>61</v>
      </c>
      <c r="X211" s="1" t="s">
        <v>61</v>
      </c>
      <c r="Y211" s="1" t="s">
        <v>628</v>
      </c>
      <c r="Z211" s="1" t="s">
        <v>629</v>
      </c>
      <c r="AA211" s="1"/>
      <c r="AB211" s="1"/>
      <c r="AC211" s="5" t="str">
        <f ca="1">IFERROR(__xludf.DUMMYFUNCTION("IF(Y211 = """", """", GOOGLETRANSLATE(Y211, ""en"", ""hi""))
"),"मानसिक चिंताएँ अप्रत्याशित रूप से बढ़ सकती हैं")</f>
        <v>मानसिक चिंताएँ अप्रत्याशित रूप से बढ़ सकती हैं</v>
      </c>
      <c r="AD211" s="5" t="str">
        <f ca="1">IFERROR(__xludf.DUMMYFUNCTION("IF(Z211 = """", """", GOOGLETRANSLATE(Z211, ""en"", ""hi""))"),"नियमित कार्यों पर शांतिपूर्वक ध्यान केंद्रित करें")</f>
        <v>नियमित कार्यों पर शांतिपूर्वक ध्यान केंद्रित करें</v>
      </c>
      <c r="AE211" s="5" t="str">
        <f ca="1">IFERROR(__xludf.DUMMYFUNCTION("IF(AA211 = """", """", GOOGLETRANSLATE(AA211, ""en"", ""hi""))"),"")</f>
        <v/>
      </c>
      <c r="AF211" s="5" t="str">
        <f ca="1">IFERROR(__xludf.DUMMYFUNCTION("IF(AB211 = """", """", GOOGLETRANSLATE(AB211, ""en"", ""hi""))"),"")</f>
        <v/>
      </c>
      <c r="AG211" s="5" t="str">
        <f ca="1">IFERROR(__xludf.DUMMYFUNCTION("IF(Y211 = """", """", GOOGLETRANSLATE(Y211, ""en"", ""mr""))"),"मानसिक चिंता अनपेक्षितपणे वाढू शकते")</f>
        <v>मानसिक चिंता अनपेक्षितपणे वाढू शकते</v>
      </c>
      <c r="AH211" s="5" t="str">
        <f ca="1">IFERROR(__xludf.DUMMYFUNCTION("IF(Z211 = """", """", GOOGLETRANSLATE(Z211, ""en"", ""mr""))"),"नेहमीच्या कामांवर शांतपणे लक्ष द्या")</f>
        <v>नेहमीच्या कामांवर शांतपणे लक्ष द्या</v>
      </c>
      <c r="AI211" s="5" t="str">
        <f ca="1">IFERROR(__xludf.DUMMYFUNCTION("IF(AA211 = """", """", GOOGLETRANSLATE(AA211, ""en"", ""mr""))"),"")</f>
        <v/>
      </c>
      <c r="AJ211" s="5" t="str">
        <f ca="1">IFERROR(__xludf.DUMMYFUNCTION("IF(AB211 = """", """", GOOGLETRANSLATE(AB211, ""en"", ""mr""))"),"")</f>
        <v/>
      </c>
      <c r="AK211" s="5" t="str">
        <f ca="1">IFERROR(__xludf.DUMMYFUNCTION("IF(Y211 = """", """", GOOGLETRANSLATE(Y211, ""en"", ""gu""))"),"માનસિક ચિંતાઓ અણધારી રીતે વધી શકે છે")</f>
        <v>માનસિક ચિંતાઓ અણધારી રીતે વધી શકે છે</v>
      </c>
      <c r="AL211" s="5" t="str">
        <f ca="1">IFERROR(__xludf.DUMMYFUNCTION("IF(Z211 = """", """", GOOGLETRANSLATE(Z211, ""en"", ""gu""))"),"નિયમિત કાર્યો પર શાંતિથી ધ્યાન કેન્દ્રિત કરો")</f>
        <v>નિયમિત કાર્યો પર શાંતિથી ધ્યાન કેન્દ્રિત કરો</v>
      </c>
      <c r="AM211" s="5" t="str">
        <f ca="1">IFERROR(__xludf.DUMMYFUNCTION("IF(AA211 = """", """", GOOGLETRANSLATE(AA211, ""en"", ""gu""))"),"")</f>
        <v/>
      </c>
      <c r="AN211" s="5" t="str">
        <f ca="1">IFERROR(__xludf.DUMMYFUNCTION("IF(AB211 = """", """", GOOGLETRANSLATE(AB211, ""en"", ""gu""))"),"")</f>
        <v/>
      </c>
      <c r="AO211" s="5" t="str">
        <f ca="1">IFERROR(__xludf.DUMMYFUNCTION("IF(Y211 = """", """", GOOGLETRANSLATE(Y211, ""en"", ""bn""))"),"মানসিক উদ্বেগ অপ্রত্যাশিতভাবে বাড়তে পারে")</f>
        <v>মানসিক উদ্বেগ অপ্রত্যাশিতভাবে বাড়তে পারে</v>
      </c>
      <c r="AP211" s="5" t="str">
        <f ca="1">IFERROR(__xludf.DUMMYFUNCTION("IF(Z211 = """", """", GOOGLETRANSLATE(Z211, ""en"", ""bn""))"),"শান্তভাবে রুটিন কাজগুলিতে মনোনিবেশ করুন")</f>
        <v>শান্তভাবে রুটিন কাজগুলিতে মনোনিবেশ করুন</v>
      </c>
      <c r="AQ211" s="5" t="str">
        <f ca="1">IFERROR(__xludf.DUMMYFUNCTION("IF(AA211 = """", """", GOOGLETRANSLATE(AA211, ""en"", ""bn""))"),"")</f>
        <v/>
      </c>
      <c r="AR211" s="5" t="str">
        <f ca="1">IFERROR(__xludf.DUMMYFUNCTION("IF(AB211 = """", """", GOOGLETRANSLATE(AB211, ""en"", ""bn""))"),"")</f>
        <v/>
      </c>
      <c r="AU211" s="5" t="str">
        <f ca="1">IFERROR(__xludf.DUMMYFUNCTION("IF(Y211 = """", """", GOOGLETRANSLATE(Y211, ""en"", ""te""))"),"మానసిక ఆందోళనలు ఊహించని విధంగా పెరగవచ్చు")</f>
        <v>మానసిక ఆందోళనలు ఊహించని విధంగా పెరగవచ్చు</v>
      </c>
      <c r="AV211" s="5" t="str">
        <f ca="1">IFERROR(__xludf.DUMMYFUNCTION("IF(Z211 = """", """", GOOGLETRANSLATE(Z211, ""en"", ""te""))"),"సాధారణ పనులపై ప్రశాంతంగా దృష్టి పెట్టండి")</f>
        <v>సాధారణ పనులపై ప్రశాంతంగా దృష్టి పెట్టండి</v>
      </c>
      <c r="AW211" s="5" t="str">
        <f ca="1">IFERROR(__xludf.DUMMYFUNCTION("IF(AA211 = """", """", GOOGLETRANSLATE(AA211, ""en"", ""te""))"),"")</f>
        <v/>
      </c>
      <c r="AX211" s="5" t="str">
        <f ca="1">IFERROR(__xludf.DUMMYFUNCTION("IF(AB211 = """", """", GOOGLETRANSLATE(AB211, ""en"", ""te""))"),"")</f>
        <v/>
      </c>
    </row>
    <row r="212" spans="1:50" x14ac:dyDescent="0.25">
      <c r="A212" s="1">
        <v>227</v>
      </c>
      <c r="B212" s="1" t="s">
        <v>56</v>
      </c>
      <c r="C212" s="2">
        <v>45840</v>
      </c>
      <c r="D212" s="2">
        <v>45840</v>
      </c>
      <c r="E212" s="1">
        <v>4</v>
      </c>
      <c r="F212" s="1">
        <v>1</v>
      </c>
      <c r="G212" s="3" t="s">
        <v>622</v>
      </c>
      <c r="H212" s="4">
        <v>1.0243055555555556E-2</v>
      </c>
      <c r="I212" s="4">
        <v>2.1527777777777778E-3</v>
      </c>
      <c r="J212" s="4">
        <v>2.4652777777777776E-3</v>
      </c>
      <c r="K212" s="1" t="s">
        <v>58</v>
      </c>
      <c r="L212" s="1" t="s">
        <v>102</v>
      </c>
      <c r="M212" s="1"/>
      <c r="N212" s="1"/>
      <c r="O212" s="1" t="s">
        <v>91</v>
      </c>
      <c r="P212" s="1" t="s">
        <v>61</v>
      </c>
      <c r="Q212" s="1" t="s">
        <v>61</v>
      </c>
      <c r="R212" s="1" t="s">
        <v>61</v>
      </c>
      <c r="S212" s="1" t="s">
        <v>61</v>
      </c>
      <c r="T212" s="1" t="s">
        <v>61</v>
      </c>
      <c r="U212" s="1"/>
      <c r="V212" s="1" t="s">
        <v>91</v>
      </c>
      <c r="W212" s="1" t="s">
        <v>61</v>
      </c>
      <c r="X212" s="1" t="s">
        <v>61</v>
      </c>
      <c r="Y212" s="1" t="s">
        <v>630</v>
      </c>
      <c r="Z212" s="1" t="s">
        <v>631</v>
      </c>
      <c r="AA212" s="1" t="s">
        <v>632</v>
      </c>
      <c r="AB212" s="1"/>
      <c r="AC212" s="5" t="str">
        <f ca="1">IFERROR(__xludf.DUMMYFUNCTION("IF(Y212 = """", """", GOOGLETRANSLATE(Y212, ""en"", ""hi""))
"),"इस सप्ताह सभी लंबित कार्य निपटाएँ")</f>
        <v>इस सप्ताह सभी लंबित कार्य निपटाएँ</v>
      </c>
      <c r="AD212" s="5" t="str">
        <f ca="1">IFERROR(__xludf.DUMMYFUNCTION("IF(Z212 = """", """", GOOGLETRANSLATE(Z212, ""en"", ""hi""))"),"नए करियर के अवसर उभर रहे हैं")</f>
        <v>नए करियर के अवसर उभर रहे हैं</v>
      </c>
      <c r="AE212" s="5" t="str">
        <f ca="1">IFERROR(__xludf.DUMMYFUNCTION("IF(AA212 = """", """", GOOGLETRANSLATE(AA212, ""en"", ""hi""))"),"आपके प्रयासों के लिए मान्यता")</f>
        <v>आपके प्रयासों के लिए मान्यता</v>
      </c>
      <c r="AF212" s="5" t="str">
        <f ca="1">IFERROR(__xludf.DUMMYFUNCTION("IF(AB212 = """", """", GOOGLETRANSLATE(AB212, ""en"", ""hi""))"),"")</f>
        <v/>
      </c>
      <c r="AG212" s="5" t="str">
        <f ca="1">IFERROR(__xludf.DUMMYFUNCTION("IF(Y212 = """", """", GOOGLETRANSLATE(Y212, ""en"", ""mr""))"),"या आठवड्यात सर्व प्रलंबित कार्ये साफ करा")</f>
        <v>या आठवड्यात सर्व प्रलंबित कार्ये साफ करा</v>
      </c>
      <c r="AH212" s="5" t="str">
        <f ca="1">IFERROR(__xludf.DUMMYFUNCTION("IF(Z212 = """", """", GOOGLETRANSLATE(Z212, ""en"", ""mr""))"),"करिअरच्या नवीन संधी उपलब्ध होतील")</f>
        <v>करिअरच्या नवीन संधी उपलब्ध होतील</v>
      </c>
      <c r="AI212" s="5" t="str">
        <f ca="1">IFERROR(__xludf.DUMMYFUNCTION("IF(AA212 = """", """", GOOGLETRANSLATE(AA212, ""en"", ""mr""))"),"तुमच्या प्रयत्नांची ओळख")</f>
        <v>तुमच्या प्रयत्नांची ओळख</v>
      </c>
      <c r="AJ212" s="5" t="str">
        <f ca="1">IFERROR(__xludf.DUMMYFUNCTION("IF(AB212 = """", """", GOOGLETRANSLATE(AB212, ""en"", ""mr""))"),"")</f>
        <v/>
      </c>
      <c r="AK212" s="5" t="str">
        <f ca="1">IFERROR(__xludf.DUMMYFUNCTION("IF(Y212 = """", """", GOOGLETRANSLATE(Y212, ""en"", ""gu""))"),"આ અઠવાડિયે બાકી રહેલા તમામ કાર્યો સાફ કરો")</f>
        <v>આ અઠવાડિયે બાકી રહેલા તમામ કાર્યો સાફ કરો</v>
      </c>
      <c r="AL212" s="5" t="str">
        <f ca="1">IFERROR(__xludf.DUMMYFUNCTION("IF(Z212 = """", """", GOOGLETRANSLATE(Z212, ""en"", ""gu""))"),"કારકિર્દીની નવી તકો ઉભી થાય")</f>
        <v>કારકિર્દીની નવી તકો ઉભી થાય</v>
      </c>
      <c r="AM212" s="5" t="str">
        <f ca="1">IFERROR(__xludf.DUMMYFUNCTION("IF(AA212 = """", """", GOOGLETRANSLATE(AA212, ""en"", ""gu""))"),"તમારા પ્રયત્નો માટે માન્યતા")</f>
        <v>તમારા પ્રયત્નો માટે માન્યતા</v>
      </c>
      <c r="AN212" s="5" t="str">
        <f ca="1">IFERROR(__xludf.DUMMYFUNCTION("IF(AB212 = """", """", GOOGLETRANSLATE(AB212, ""en"", ""gu""))"),"")</f>
        <v/>
      </c>
      <c r="AO212" s="5" t="str">
        <f ca="1">IFERROR(__xludf.DUMMYFUNCTION("IF(Y212 = """", """", GOOGLETRANSLATE(Y212, ""en"", ""bn""))"),"এই সপ্তাহে সমস্ত মুলতুবি কাজগুলি সাফ করুন")</f>
        <v>এই সপ্তাহে সমস্ত মুলতুবি কাজগুলি সাফ করুন</v>
      </c>
      <c r="AP212" s="5" t="str">
        <f ca="1">IFERROR(__xludf.DUMMYFUNCTION("IF(Z212 = """", """", GOOGLETRANSLATE(Z212, ""en"", ""bn""))"),"নতুন কর্মজীবনের সুযোগ আসবে")</f>
        <v>নতুন কর্মজীবনের সুযোগ আসবে</v>
      </c>
      <c r="AQ212" s="5" t="str">
        <f ca="1">IFERROR(__xludf.DUMMYFUNCTION("IF(AA212 = """", """", GOOGLETRANSLATE(AA212, ""en"", ""bn""))"),"আপনার প্রচেষ্টার জন্য স্বীকৃতি")</f>
        <v>আপনার প্রচেষ্টার জন্য স্বীকৃতি</v>
      </c>
      <c r="AR212" s="5" t="str">
        <f ca="1">IFERROR(__xludf.DUMMYFUNCTION("IF(AB212 = """", """", GOOGLETRANSLATE(AB212, ""en"", ""bn""))"),"")</f>
        <v/>
      </c>
      <c r="AU212" s="5" t="str">
        <f ca="1">IFERROR(__xludf.DUMMYFUNCTION("IF(Y212 = """", """", GOOGLETRANSLATE(Y212, ""en"", ""te""))"),"ఈ వారం పెండింగ్‌లో ఉన్న టాస్క్‌లన్నింటినీ క్లియర్ చేయండి")</f>
        <v>ఈ వారం పెండింగ్‌లో ఉన్న టాస్క్‌లన్నింటినీ క్లియర్ చేయండి</v>
      </c>
      <c r="AV212" s="5" t="str">
        <f ca="1">IFERROR(__xludf.DUMMYFUNCTION("IF(Z212 = """", """", GOOGLETRANSLATE(Z212, ""en"", ""te""))"),"కొత్త కెరీర్ అవకాశాలు వస్తాయి")</f>
        <v>కొత్త కెరీర్ అవకాశాలు వస్తాయి</v>
      </c>
      <c r="AW212" s="5" t="str">
        <f ca="1">IFERROR(__xludf.DUMMYFUNCTION("IF(AA212 = """", """", GOOGLETRANSLATE(AA212, ""en"", ""te""))"),"మీ కృషికి గుర్తింపు")</f>
        <v>మీ కృషికి గుర్తింపు</v>
      </c>
      <c r="AX212" s="5" t="str">
        <f ca="1">IFERROR(__xludf.DUMMYFUNCTION("IF(AB212 = """", """", GOOGLETRANSLATE(AB212, ""en"", ""te""))"),"")</f>
        <v/>
      </c>
    </row>
    <row r="213" spans="1:50" x14ac:dyDescent="0.25">
      <c r="A213" s="1">
        <v>228</v>
      </c>
      <c r="B213" s="1" t="s">
        <v>56</v>
      </c>
      <c r="C213" s="2">
        <v>45840</v>
      </c>
      <c r="D213" s="2">
        <v>45840</v>
      </c>
      <c r="E213" s="1">
        <v>5</v>
      </c>
      <c r="F213" s="1">
        <v>1</v>
      </c>
      <c r="G213" s="3" t="s">
        <v>622</v>
      </c>
      <c r="H213" s="4">
        <v>1.0243055555555556E-2</v>
      </c>
      <c r="I213" s="4">
        <v>2.4652777777777776E-3</v>
      </c>
      <c r="J213" s="4">
        <v>2.9050925925925928E-3</v>
      </c>
      <c r="K213" s="1" t="s">
        <v>58</v>
      </c>
      <c r="L213" s="1" t="s">
        <v>108</v>
      </c>
      <c r="M213" s="1"/>
      <c r="N213" s="1"/>
      <c r="O213" s="1" t="s">
        <v>91</v>
      </c>
      <c r="P213" s="1" t="s">
        <v>61</v>
      </c>
      <c r="Q213" s="1" t="s">
        <v>61</v>
      </c>
      <c r="R213" s="1" t="s">
        <v>61</v>
      </c>
      <c r="S213" s="1" t="s">
        <v>61</v>
      </c>
      <c r="T213" s="1" t="s">
        <v>61</v>
      </c>
      <c r="U213" s="1"/>
      <c r="V213" s="1" t="s">
        <v>61</v>
      </c>
      <c r="W213" s="1" t="s">
        <v>61</v>
      </c>
      <c r="X213" s="1" t="s">
        <v>91</v>
      </c>
      <c r="Y213" s="1" t="s">
        <v>633</v>
      </c>
      <c r="Z213" s="1" t="s">
        <v>634</v>
      </c>
      <c r="AA213" s="1" t="s">
        <v>635</v>
      </c>
      <c r="AB213" s="1"/>
      <c r="AC213" s="5" t="str">
        <f ca="1">IFERROR(__xludf.DUMMYFUNCTION("IF(Y213 = """", """", GOOGLETRANSLATE(Y213, ""en"", ""hi""))
"),"पारिवारिक, सामाजिक और कार्य संबंधी मांगों में संतुलन बनाए रखें")</f>
        <v>पारिवारिक, सामाजिक और कार्य संबंधी मांगों में संतुलन बनाए रखें</v>
      </c>
      <c r="AD213" s="5" t="str">
        <f ca="1">IFERROR(__xludf.DUMMYFUNCTION("IF(Z213 = """", """", GOOGLETRANSLATE(Z213, ""en"", ""hi""))"),"बुद्धिमत्ता और योजना के साथ कार्यान्वित करें")</f>
        <v>बुद्धिमत्ता और योजना के साथ कार्यान्वित करें</v>
      </c>
      <c r="AE213" s="5" t="str">
        <f ca="1">IFERROR(__xludf.DUMMYFUNCTION("IF(AA213 = """", """", GOOGLETRANSLATE(AA213, ""en"", ""hi""))"),"छोटे खर्चों पर ध्यान दें")</f>
        <v>छोटे खर्चों पर ध्यान दें</v>
      </c>
      <c r="AF213" s="5" t="str">
        <f ca="1">IFERROR(__xludf.DUMMYFUNCTION("IF(AB213 = """", """", GOOGLETRANSLATE(AB213, ""en"", ""hi""))"),"")</f>
        <v/>
      </c>
      <c r="AG213" s="5" t="str">
        <f ca="1">IFERROR(__xludf.DUMMYFUNCTION("IF(Y213 = """", """", GOOGLETRANSLATE(Y213, ""en"", ""mr""))"),"कौटुंबिक, सामाजिक आणि कामाच्या मागण्या संतुलित करा ")</f>
        <v xml:space="preserve">कौटुंबिक, सामाजिक आणि कामाच्या मागण्या संतुलित करा </v>
      </c>
      <c r="AH213" s="5" t="str">
        <f ca="1">IFERROR(__xludf.DUMMYFUNCTION("IF(Z213 = """", """", GOOGLETRANSLATE(Z213, ""en"", ""mr""))"),"बुद्धिमत्ता आणि नियोजनासह कार्यान्वित करा")</f>
        <v>बुद्धिमत्ता आणि नियोजनासह कार्यान्वित करा</v>
      </c>
      <c r="AI213" s="5" t="str">
        <f ca="1">IFERROR(__xludf.DUMMYFUNCTION("IF(AA213 = """", """", GOOGLETRANSLATE(AA213, ""en"", ""mr""))"),"लहान खर्चावर लक्ष ठेवा")</f>
        <v>लहान खर्चावर लक्ष ठेवा</v>
      </c>
      <c r="AJ213" s="5" t="str">
        <f ca="1">IFERROR(__xludf.DUMMYFUNCTION("IF(AB213 = """", """", GOOGLETRANSLATE(AB213, ""en"", ""mr""))"),"")</f>
        <v/>
      </c>
      <c r="AK213" s="5" t="str">
        <f ca="1">IFERROR(__xludf.DUMMYFUNCTION("IF(Y213 = """", """", GOOGLETRANSLATE(Y213, ""en"", ""gu""))"),"કુટુંબ, સામાજિક અને કામની માંગને સંતુલિત કરો ")</f>
        <v xml:space="preserve">કુટુંબ, સામાજિક અને કામની માંગને સંતુલિત કરો </v>
      </c>
      <c r="AL213" s="5" t="str">
        <f ca="1">IFERROR(__xludf.DUMMYFUNCTION("IF(Z213 = """", """", GOOGLETRANSLATE(Z213, ""en"", ""gu""))"),"બુદ્ધિ અને આયોજન સાથે અમલ કરો")</f>
        <v>બુદ્ધિ અને આયોજન સાથે અમલ કરો</v>
      </c>
      <c r="AM213" s="5" t="str">
        <f ca="1">IFERROR(__xludf.DUMMYFUNCTION("IF(AA213 = """", """", GOOGLETRANSLATE(AA213, ""en"", ""gu""))"),"નાના ખર્ચાઓ પર ધ્યાન આપો")</f>
        <v>નાના ખર્ચાઓ પર ધ્યાન આપો</v>
      </c>
      <c r="AN213" s="5" t="str">
        <f ca="1">IFERROR(__xludf.DUMMYFUNCTION("IF(AB213 = """", """", GOOGLETRANSLATE(AB213, ""en"", ""gu""))"),"")</f>
        <v/>
      </c>
      <c r="AO213" s="5" t="str">
        <f ca="1">IFERROR(__xludf.DUMMYFUNCTION("IF(Y213 = """", """", GOOGLETRANSLATE(Y213, ""en"", ""bn""))"),"পারিবারিক, সামাজিক এবং কাজের চাহিদার ভারসাম্য বজায় রাখুন ")</f>
        <v xml:space="preserve">পারিবারিক, সামাজিক এবং কাজের চাহিদার ভারসাম্য বজায় রাখুন </v>
      </c>
      <c r="AP213" s="5" t="str">
        <f ca="1">IFERROR(__xludf.DUMMYFUNCTION("IF(Z213 = """", """", GOOGLETRANSLATE(Z213, ""en"", ""bn""))"),"বুদ্ধিমত্তা ও পরিকল্পনার সাথে সম্পাদন করুন")</f>
        <v>বুদ্ধিমত্তা ও পরিকল্পনার সাথে সম্পাদন করুন</v>
      </c>
      <c r="AQ213" s="5" t="str">
        <f ca="1">IFERROR(__xludf.DUMMYFUNCTION("IF(AA213 = """", """", GOOGLETRANSLATE(AA213, ""en"", ""bn""))"),"ছোট খরচের জন্য দেখুন")</f>
        <v>ছোট খরচের জন্য দেখুন</v>
      </c>
      <c r="AR213" s="5" t="str">
        <f ca="1">IFERROR(__xludf.DUMMYFUNCTION("IF(AB213 = """", """", GOOGLETRANSLATE(AB213, ""en"", ""bn""))"),"")</f>
        <v/>
      </c>
      <c r="AU213" s="5" t="str">
        <f ca="1">IFERROR(__xludf.DUMMYFUNCTION("IF(Y213 = """", """", GOOGLETRANSLATE(Y213, ""en"", ""te""))"),"కుటుంబం, సామాజిక &amp; పని డిమాండ్లను సమతుల్యం చేసుకోండి ")</f>
        <v xml:space="preserve">కుటుంబం, సామాజిక &amp; పని డిమాండ్లను సమతుల్యం చేసుకోండి </v>
      </c>
      <c r="AV213" s="5" t="str">
        <f ca="1">IFERROR(__xludf.DUMMYFUNCTION("IF(Z213 = """", """", GOOGLETRANSLATE(Z213, ""en"", ""te""))"),"తెలివితేటలు &amp; ప్రణాళికతో అమలు చేయండి")</f>
        <v>తెలివితేటలు &amp; ప్రణాళికతో అమలు చేయండి</v>
      </c>
      <c r="AW213" s="5" t="str">
        <f ca="1">IFERROR(__xludf.DUMMYFUNCTION("IF(AA213 = """", """", GOOGLETRANSLATE(AA213, ""en"", ""te""))"),"చిన్న ఖర్చుల కోసం చూడండి")</f>
        <v>చిన్న ఖర్చుల కోసం చూడండి</v>
      </c>
      <c r="AX213" s="5" t="str">
        <f ca="1">IFERROR(__xludf.DUMMYFUNCTION("IF(AB213 = """", """", GOOGLETRANSLATE(AB213, ""en"", ""te""))"),"")</f>
        <v/>
      </c>
    </row>
    <row r="214" spans="1:50" x14ac:dyDescent="0.25">
      <c r="A214" s="1">
        <v>229</v>
      </c>
      <c r="B214" s="1" t="s">
        <v>56</v>
      </c>
      <c r="C214" s="2">
        <v>45840</v>
      </c>
      <c r="D214" s="2">
        <v>45840</v>
      </c>
      <c r="E214" s="1">
        <v>6</v>
      </c>
      <c r="F214" s="1">
        <v>1</v>
      </c>
      <c r="G214" s="3" t="s">
        <v>622</v>
      </c>
      <c r="H214" s="4">
        <v>1.0243055555555556E-2</v>
      </c>
      <c r="I214" s="4">
        <v>2.9050925925925928E-3</v>
      </c>
      <c r="J214" s="4">
        <v>3.1712962962962962E-3</v>
      </c>
      <c r="K214" s="1" t="s">
        <v>58</v>
      </c>
      <c r="L214" s="1" t="s">
        <v>113</v>
      </c>
      <c r="M214" s="1"/>
      <c r="N214" s="1"/>
      <c r="O214" s="1" t="s">
        <v>61</v>
      </c>
      <c r="P214" s="1" t="s">
        <v>61</v>
      </c>
      <c r="Q214" s="1" t="s">
        <v>91</v>
      </c>
      <c r="R214" s="1" t="s">
        <v>61</v>
      </c>
      <c r="S214" s="1" t="s">
        <v>61</v>
      </c>
      <c r="T214" s="1" t="s">
        <v>61</v>
      </c>
      <c r="U214" s="1"/>
      <c r="V214" s="1" t="s">
        <v>91</v>
      </c>
      <c r="W214" s="1" t="s">
        <v>61</v>
      </c>
      <c r="X214" s="1" t="s">
        <v>61</v>
      </c>
      <c r="Y214" s="1" t="s">
        <v>636</v>
      </c>
      <c r="Z214" s="1" t="s">
        <v>637</v>
      </c>
      <c r="AA214" s="1"/>
      <c r="AB214" s="1"/>
      <c r="AC214" s="5" t="str">
        <f ca="1">IFERROR(__xludf.DUMMYFUNCTION("IF(Y214 = """", """", GOOGLETRANSLATE(Y214, ""en"", ""hi""))
"),"महत्वपूर्ण निर्णयों और लंबित कार्यों के लिए आदर्श")</f>
        <v>महत्वपूर्ण निर्णयों और लंबित कार्यों के लिए आदर्श</v>
      </c>
      <c r="AD214" s="5" t="str">
        <f ca="1">IFERROR(__xludf.DUMMYFUNCTION("IF(Z214 = """", """", GOOGLETRANSLATE(Z214, ""en"", ""hi""))"),"दिन उत्पादक और भाग्यशाली दोनों है")</f>
        <v>दिन उत्पादक और भाग्यशाली दोनों है</v>
      </c>
      <c r="AE214" s="5" t="str">
        <f ca="1">IFERROR(__xludf.DUMMYFUNCTION("IF(AA214 = """", """", GOOGLETRANSLATE(AA214, ""en"", ""hi""))"),"")</f>
        <v/>
      </c>
      <c r="AF214" s="5" t="str">
        <f ca="1">IFERROR(__xludf.DUMMYFUNCTION("IF(AB214 = """", """", GOOGLETRANSLATE(AB214, ""en"", ""hi""))"),"")</f>
        <v/>
      </c>
      <c r="AG214" s="5" t="str">
        <f ca="1">IFERROR(__xludf.DUMMYFUNCTION("IF(Y214 = """", """", GOOGLETRANSLATE(Y214, ""en"", ""mr""))"),"महत्त्वाचे निर्णय आणि प्रलंबित कामांसाठी आदर्श")</f>
        <v>महत्त्वाचे निर्णय आणि प्रलंबित कामांसाठी आदर्श</v>
      </c>
      <c r="AH214" s="5" t="str">
        <f ca="1">IFERROR(__xludf.DUMMYFUNCTION("IF(Z214 = """", """", GOOGLETRANSLATE(Z214, ""en"", ""mr""))"),"दिवस फलदायी आणि भाग्यवान आहे")</f>
        <v>दिवस फलदायी आणि भाग्यवान आहे</v>
      </c>
      <c r="AI214" s="5" t="str">
        <f ca="1">IFERROR(__xludf.DUMMYFUNCTION("IF(AA214 = """", """", GOOGLETRANSLATE(AA214, ""en"", ""mr""))"),"")</f>
        <v/>
      </c>
      <c r="AJ214" s="5" t="str">
        <f ca="1">IFERROR(__xludf.DUMMYFUNCTION("IF(AB214 = """", """", GOOGLETRANSLATE(AB214, ""en"", ""mr""))"),"")</f>
        <v/>
      </c>
      <c r="AK214" s="5" t="str">
        <f ca="1">IFERROR(__xludf.DUMMYFUNCTION("IF(Y214 = """", """", GOOGLETRANSLATE(Y214, ""en"", ""gu""))"),"મહત્વપૂર્ણ નિર્ણયો અને બાકી કામ માટે આદર્શ")</f>
        <v>મહત્વપૂર્ણ નિર્ણયો અને બાકી કામ માટે આદર્શ</v>
      </c>
      <c r="AL214" s="5" t="str">
        <f ca="1">IFERROR(__xludf.DUMMYFUNCTION("IF(Z214 = """", """", GOOGLETRANSLATE(Z214, ""en"", ""gu""))"),"દિવસ ફળદાયી અને ભાગ્યશાળી બંને છે")</f>
        <v>દિવસ ફળદાયી અને ભાગ્યશાળી બંને છે</v>
      </c>
      <c r="AM214" s="5" t="str">
        <f ca="1">IFERROR(__xludf.DUMMYFUNCTION("IF(AA214 = """", """", GOOGLETRANSLATE(AA214, ""en"", ""gu""))"),"")</f>
        <v/>
      </c>
      <c r="AN214" s="5" t="str">
        <f ca="1">IFERROR(__xludf.DUMMYFUNCTION("IF(AB214 = """", """", GOOGLETRANSLATE(AB214, ""en"", ""gu""))"),"")</f>
        <v/>
      </c>
      <c r="AO214" s="5" t="str">
        <f ca="1">IFERROR(__xludf.DUMMYFUNCTION("IF(Y214 = """", """", GOOGLETRANSLATE(Y214, ""en"", ""bn""))"),"গুরুত্বপূর্ণ সিদ্ধান্ত এবং মুলতুবি কাজের জন্য আদর্শ")</f>
        <v>গুরুত্বপূর্ণ সিদ্ধান্ত এবং মুলতুবি কাজের জন্য আদর্শ</v>
      </c>
      <c r="AP214" s="5" t="str">
        <f ca="1">IFERROR(__xludf.DUMMYFUNCTION("IF(Z214 = """", """", GOOGLETRANSLATE(Z214, ""en"", ""bn""))"),"দিনটি ফলদায়ক এবং ভাগ্যবান উভয়ই")</f>
        <v>দিনটি ফলদায়ক এবং ভাগ্যবান উভয়ই</v>
      </c>
      <c r="AQ214" s="5" t="str">
        <f ca="1">IFERROR(__xludf.DUMMYFUNCTION("IF(AA214 = """", """", GOOGLETRANSLATE(AA214, ""en"", ""bn""))"),"")</f>
        <v/>
      </c>
      <c r="AR214" s="5" t="str">
        <f ca="1">IFERROR(__xludf.DUMMYFUNCTION("IF(AB214 = """", """", GOOGLETRANSLATE(AB214, ""en"", ""bn""))"),"")</f>
        <v/>
      </c>
      <c r="AU214" s="5" t="str">
        <f ca="1">IFERROR(__xludf.DUMMYFUNCTION("IF(Y214 = """", """", GOOGLETRANSLATE(Y214, ""en"", ""te""))"),"ముఖ్యమైన నిర్ణయాలు &amp; పెండింగ్ పని కోసం ఆదర్శ")</f>
        <v>ముఖ్యమైన నిర్ణయాలు &amp; పెండింగ్ పని కోసం ఆదర్శ</v>
      </c>
      <c r="AV214" s="5" t="str">
        <f ca="1">IFERROR(__xludf.DUMMYFUNCTION("IF(Z214 = """", """", GOOGLETRANSLATE(Z214, ""en"", ""te""))"),"రోజు ఉత్పాదకమైనది మరియు అదృష్టవంతమైనది")</f>
        <v>రోజు ఉత్పాదకమైనది మరియు అదృష్టవంతమైనది</v>
      </c>
      <c r="AW214" s="5" t="str">
        <f ca="1">IFERROR(__xludf.DUMMYFUNCTION("IF(AA214 = """", """", GOOGLETRANSLATE(AA214, ""en"", ""te""))"),"")</f>
        <v/>
      </c>
      <c r="AX214" s="5" t="str">
        <f ca="1">IFERROR(__xludf.DUMMYFUNCTION("IF(AB214 = """", """", GOOGLETRANSLATE(AB214, ""en"", ""te""))"),"")</f>
        <v/>
      </c>
    </row>
    <row r="215" spans="1:50" x14ac:dyDescent="0.25">
      <c r="A215" s="1">
        <v>230</v>
      </c>
      <c r="B215" s="1" t="s">
        <v>56</v>
      </c>
      <c r="C215" s="2">
        <v>45840</v>
      </c>
      <c r="D215" s="2">
        <v>45840</v>
      </c>
      <c r="E215" s="1">
        <v>7</v>
      </c>
      <c r="F215" s="1">
        <v>1</v>
      </c>
      <c r="G215" s="3" t="s">
        <v>622</v>
      </c>
      <c r="H215" s="4">
        <v>1.0243055555555556E-2</v>
      </c>
      <c r="I215" s="4">
        <v>3.1712962962962962E-3</v>
      </c>
      <c r="J215" s="4">
        <v>3.6689814814814814E-3</v>
      </c>
      <c r="K215" s="1" t="s">
        <v>58</v>
      </c>
      <c r="L215" s="1" t="s">
        <v>64</v>
      </c>
      <c r="M215" s="1"/>
      <c r="N215" s="1"/>
      <c r="O215" s="1" t="s">
        <v>61</v>
      </c>
      <c r="P215" s="1" t="s">
        <v>61</v>
      </c>
      <c r="Q215" s="1" t="s">
        <v>61</v>
      </c>
      <c r="R215" s="1" t="s">
        <v>61</v>
      </c>
      <c r="S215" s="1" t="s">
        <v>61</v>
      </c>
      <c r="T215" s="1" t="s">
        <v>91</v>
      </c>
      <c r="U215" s="1"/>
      <c r="V215" s="1" t="s">
        <v>61</v>
      </c>
      <c r="W215" s="1" t="s">
        <v>91</v>
      </c>
      <c r="X215" s="1" t="s">
        <v>61</v>
      </c>
      <c r="Y215" s="1" t="s">
        <v>638</v>
      </c>
      <c r="Z215" s="1" t="s">
        <v>639</v>
      </c>
      <c r="AA215" s="1" t="s">
        <v>640</v>
      </c>
      <c r="AB215" s="1"/>
      <c r="AC215" s="5" t="str">
        <f ca="1">IFERROR(__xludf.DUMMYFUNCTION("IF(Y215 = """", """", GOOGLETRANSLATE(Y215, ""en"", ""hi""))
"),"अति-नकारात्मक दिन—केवल नियमित कार्य ही पूरे करें")</f>
        <v>अति-नकारात्मक दिन—केवल नियमित कार्य ही पूरे करें</v>
      </c>
      <c r="AD215" s="5" t="str">
        <f ca="1">IFERROR(__xludf.DUMMYFUNCTION("IF(Z215 = """", """", GOOGLETRANSLATE(Z215, ""en"", ""hi""))"),"उकसावे पर प्रतिक्रिया न करें")</f>
        <v>उकसावे पर प्रतिक्रिया न करें</v>
      </c>
      <c r="AE215" s="5" t="str">
        <f ca="1">IFERROR(__xludf.DUMMYFUNCTION("IF(AA215 = """", """", GOOGLETRANSLATE(AA215, ""en"", ""hi""))"),"शांति बनाए रखें")</f>
        <v>शांति बनाए रखें</v>
      </c>
      <c r="AF215" s="5" t="str">
        <f ca="1">IFERROR(__xludf.DUMMYFUNCTION("IF(AB215 = """", """", GOOGLETRANSLATE(AB215, ""en"", ""hi""))"),"")</f>
        <v/>
      </c>
      <c r="AG215" s="5" t="str">
        <f ca="1">IFERROR(__xludf.DUMMYFUNCTION("IF(Y215 = """", """", GOOGLETRANSLATE(Y215, ""en"", ""mr""))"),"अति-नकारात्मक दिवस-केवळ नियमित कार्ये पूर्ण करा")</f>
        <v>अति-नकारात्मक दिवस-केवळ नियमित कार्ये पूर्ण करा</v>
      </c>
      <c r="AH215" s="5" t="str">
        <f ca="1">IFERROR(__xludf.DUMMYFUNCTION("IF(Z215 = """", """", GOOGLETRANSLATE(Z215, ""en"", ""mr""))"),"चिथावणीला प्रतिक्रिया देऊ नका")</f>
        <v>चिथावणीला प्रतिक्रिया देऊ नका</v>
      </c>
      <c r="AI215" s="5" t="str">
        <f ca="1">IFERROR(__xludf.DUMMYFUNCTION("IF(AA215 = """", """", GOOGLETRANSLATE(AA215, ""en"", ""mr""))"),"शांतता राखा")</f>
        <v>शांतता राखा</v>
      </c>
      <c r="AJ215" s="5" t="str">
        <f ca="1">IFERROR(__xludf.DUMMYFUNCTION("IF(AB215 = """", """", GOOGLETRANSLATE(AB215, ""en"", ""mr""))"),"")</f>
        <v/>
      </c>
      <c r="AK215" s="5" t="str">
        <f ca="1">IFERROR(__xludf.DUMMYFUNCTION("IF(Y215 = """", """", GOOGLETRANSLATE(Y215, ""en"", ""gu""))"),"અતિ-નકારાત્મક દિવસ-માત્ર નિયમિત કાર્યો પૂર્ણ કરો")</f>
        <v>અતિ-નકારાત્મક દિવસ-માત્ર નિયમિત કાર્યો પૂર્ણ કરો</v>
      </c>
      <c r="AL215" s="5" t="str">
        <f ca="1">IFERROR(__xludf.DUMMYFUNCTION("IF(Z215 = """", """", GOOGLETRANSLATE(Z215, ""en"", ""gu""))"),"ઉશ્કેરણી પર પ્રતિક્રિયા આપશો નહીં")</f>
        <v>ઉશ્કેરણી પર પ્રતિક્રિયા આપશો નહીં</v>
      </c>
      <c r="AM215" s="5" t="str">
        <f ca="1">IFERROR(__xludf.DUMMYFUNCTION("IF(AA215 = """", """", GOOGLETRANSLATE(AA215, ""en"", ""gu""))"),"શાંતિ જાળવી રાખો")</f>
        <v>શાંતિ જાળવી રાખો</v>
      </c>
      <c r="AN215" s="5" t="str">
        <f ca="1">IFERROR(__xludf.DUMMYFUNCTION("IF(AB215 = """", """", GOOGLETRANSLATE(AB215, ""en"", ""gu""))"),"")</f>
        <v/>
      </c>
      <c r="AO215" s="5" t="str">
        <f ca="1">IFERROR(__xludf.DUMMYFUNCTION("IF(Y215 = """", """", GOOGLETRANSLATE(Y215, ""en"", ""bn""))"),"অতি-নেতিবাচক দিন—শুধুমাত্র রুটিন কাজগুলি সম্পূর্ণ করুন")</f>
        <v>অতি-নেতিবাচক দিন—শুধুমাত্র রুটিন কাজগুলি সম্পূর্ণ করুন</v>
      </c>
      <c r="AP215" s="5" t="str">
        <f ca="1">IFERROR(__xludf.DUMMYFUNCTION("IF(Z215 = """", """", GOOGLETRANSLATE(Z215, ""en"", ""bn""))"),"উসকানিতে প্রতিক্রিয়া দেখাবেন না")</f>
        <v>উসকানিতে প্রতিক্রিয়া দেখাবেন না</v>
      </c>
      <c r="AQ215" s="5" t="str">
        <f ca="1">IFERROR(__xludf.DUMMYFUNCTION("IF(AA215 = """", """", GOOGLETRANSLATE(AA215, ""en"", ""bn""))"),"শান্ত রাখুন")</f>
        <v>শান্ত রাখুন</v>
      </c>
      <c r="AR215" s="5" t="str">
        <f ca="1">IFERROR(__xludf.DUMMYFUNCTION("IF(AB215 = """", """", GOOGLETRANSLATE(AB215, ""en"", ""bn""))"),"")</f>
        <v/>
      </c>
      <c r="AU215" s="5" t="str">
        <f ca="1">IFERROR(__xludf.DUMMYFUNCTION("IF(Y215 = """", """", GOOGLETRANSLATE(Y215, ""en"", ""te""))"),"సూపర్-నెగటివ్ డే-రొటీన్ పనులను మాత్రమే పూర్తి చేయండి")</f>
        <v>సూపర్-నెగటివ్ డే-రొటీన్ పనులను మాత్రమే పూర్తి చేయండి</v>
      </c>
      <c r="AV215" s="5" t="str">
        <f ca="1">IFERROR(__xludf.DUMMYFUNCTION("IF(Z215 = """", """", GOOGLETRANSLATE(Z215, ""en"", ""te""))"),"రెచ్చగొట్టే చర్యలకు ప్రతిస్పందించవద్దు")</f>
        <v>రెచ్చగొట్టే చర్యలకు ప్రతిస్పందించవద్దు</v>
      </c>
      <c r="AW215" s="5" t="str">
        <f ca="1">IFERROR(__xludf.DUMMYFUNCTION("IF(AA215 = """", """", GOOGLETRANSLATE(AA215, ""en"", ""te""))"),"ప్రశాంతత పాటించండి")</f>
        <v>ప్రశాంతత పాటించండి</v>
      </c>
      <c r="AX215" s="5" t="str">
        <f ca="1">IFERROR(__xludf.DUMMYFUNCTION("IF(AB215 = """", """", GOOGLETRANSLATE(AB215, ""en"", ""te""))"),"")</f>
        <v/>
      </c>
    </row>
    <row r="216" spans="1:50" x14ac:dyDescent="0.25">
      <c r="A216" s="1">
        <v>231</v>
      </c>
      <c r="B216" s="1" t="s">
        <v>56</v>
      </c>
      <c r="C216" s="2">
        <v>45840</v>
      </c>
      <c r="D216" s="2">
        <v>45840</v>
      </c>
      <c r="E216" s="1">
        <v>8</v>
      </c>
      <c r="F216" s="1">
        <v>1</v>
      </c>
      <c r="G216" s="3" t="s">
        <v>622</v>
      </c>
      <c r="H216" s="4">
        <v>1.0243055555555556E-2</v>
      </c>
      <c r="I216" s="4">
        <v>3.6689814814814814E-3</v>
      </c>
      <c r="J216" s="4">
        <v>3.9467592592592592E-3</v>
      </c>
      <c r="K216" s="1" t="s">
        <v>58</v>
      </c>
      <c r="L216" s="1" t="s">
        <v>68</v>
      </c>
      <c r="M216" s="1"/>
      <c r="N216" s="1"/>
      <c r="O216" s="1" t="s">
        <v>61</v>
      </c>
      <c r="P216" s="1" t="s">
        <v>61</v>
      </c>
      <c r="Q216" s="1" t="s">
        <v>61</v>
      </c>
      <c r="R216" s="1" t="s">
        <v>61</v>
      </c>
      <c r="S216" s="1" t="s">
        <v>61</v>
      </c>
      <c r="T216" s="1" t="s">
        <v>91</v>
      </c>
      <c r="U216" s="1"/>
      <c r="V216" s="1" t="s">
        <v>61</v>
      </c>
      <c r="W216" s="1" t="s">
        <v>61</v>
      </c>
      <c r="X216" s="1" t="s">
        <v>91</v>
      </c>
      <c r="Y216" s="1" t="s">
        <v>641</v>
      </c>
      <c r="Z216" s="1" t="s">
        <v>642</v>
      </c>
      <c r="AA216" s="1" t="s">
        <v>643</v>
      </c>
      <c r="AB216" s="1"/>
      <c r="AC216" s="5" t="str">
        <f ca="1">IFERROR(__xludf.DUMMYFUNCTION("IF(Y216 = """", """", GOOGLETRANSLATE(Y216, ""en"", ""hi""))
"),"बच्चों से संबंधित चिंताओं से राहत")</f>
        <v>बच्चों से संबंधित चिंताओं से राहत</v>
      </c>
      <c r="AD216" s="5" t="str">
        <f ca="1">IFERROR(__xludf.DUMMYFUNCTION("IF(Z216 = """", """", GOOGLETRANSLATE(Z216, ""en"", ""hi""))"),"बुजुर्गों के स्वास्थ्य संबंधी कार्यों में सावधानी बरतें")</f>
        <v>बुजुर्गों के स्वास्थ्य संबंधी कार्यों में सावधानी बरतें</v>
      </c>
      <c r="AE216" s="5" t="str">
        <f ca="1">IFERROR(__xludf.DUMMYFUNCTION("IF(AA216 = """", """", GOOGLETRANSLATE(AA216, ""en"", ""hi""))"),"आगे ऊर्जावान दिन")</f>
        <v>आगे ऊर्जावान दिन</v>
      </c>
      <c r="AF216" s="5" t="str">
        <f ca="1">IFERROR(__xludf.DUMMYFUNCTION("IF(AB216 = """", """", GOOGLETRANSLATE(AB216, ""en"", ""hi""))"),"")</f>
        <v/>
      </c>
      <c r="AG216" s="5" t="str">
        <f ca="1">IFERROR(__xludf.DUMMYFUNCTION("IF(Y216 = """", """", GOOGLETRANSLATE(Y216, ""en"", ""mr""))"),"मुलांशी संबंधित चिंता दूर होतील")</f>
        <v>मुलांशी संबंधित चिंता दूर होतील</v>
      </c>
      <c r="AH216" s="5" t="str">
        <f ca="1">IFERROR(__xludf.DUMMYFUNCTION("IF(Z216 = """", """", GOOGLETRANSLATE(Z216, ""en"", ""mr""))"),"वृद्धांच्या आरोग्याच्या कामात सावधगिरी बाळगा")</f>
        <v>वृद्धांच्या आरोग्याच्या कामात सावधगिरी बाळगा</v>
      </c>
      <c r="AI216" s="5" t="str">
        <f ca="1">IFERROR(__xludf.DUMMYFUNCTION("IF(AA216 = """", """", GOOGLETRANSLATE(AA216, ""en"", ""mr""))"),"पुढे उत्साही दिवस")</f>
        <v>पुढे उत्साही दिवस</v>
      </c>
      <c r="AJ216" s="5" t="str">
        <f ca="1">IFERROR(__xludf.DUMMYFUNCTION("IF(AB216 = """", """", GOOGLETRANSLATE(AB216, ""en"", ""mr""))"),"")</f>
        <v/>
      </c>
      <c r="AK216" s="5" t="str">
        <f ca="1">IFERROR(__xludf.DUMMYFUNCTION("IF(Y216 = """", """", GOOGLETRANSLATE(Y216, ""en"", ""gu""))"),"સંતાન સંબંધી ચિંતાઓમાં રાહત")</f>
        <v>સંતાન સંબંધી ચિંતાઓમાં રાહત</v>
      </c>
      <c r="AL216" s="5" t="str">
        <f ca="1">IFERROR(__xludf.DUMMYFUNCTION("IF(Z216 = """", """", GOOGLETRANSLATE(Z216, ""en"", ""gu""))"),"વડીલોના સ્વાસ્થ્ય સંબંધી કાર્યોમાં સાવધાની રાખો")</f>
        <v>વડીલોના સ્વાસ્થ્ય સંબંધી કાર્યોમાં સાવધાની રાખો</v>
      </c>
      <c r="AM216" s="5" t="str">
        <f ca="1">IFERROR(__xludf.DUMMYFUNCTION("IF(AA216 = """", """", GOOGLETRANSLATE(AA216, ""en"", ""gu""))"),"આગળ ઊર્જાસભર દિવસ")</f>
        <v>આગળ ઊર્જાસભર દિવસ</v>
      </c>
      <c r="AN216" s="5" t="str">
        <f ca="1">IFERROR(__xludf.DUMMYFUNCTION("IF(AB216 = """", """", GOOGLETRANSLATE(AB216, ""en"", ""gu""))"),"")</f>
        <v/>
      </c>
      <c r="AO216" s="5" t="str">
        <f ca="1">IFERROR(__xludf.DUMMYFUNCTION("IF(Y216 = """", """", GOOGLETRANSLATE(Y216, ""en"", ""bn""))"),"সন্তান-সম্পর্কিত দুশ্চিন্তায় উপশম")</f>
        <v>সন্তান-সম্পর্কিত দুশ্চিন্তায় উপশম</v>
      </c>
      <c r="AP216" s="5" t="str">
        <f ca="1">IFERROR(__xludf.DUMMYFUNCTION("IF(Z216 = """", """", GOOGLETRANSLATE(Z216, ""en"", ""bn""))"),"বয়স্কদের স্বাস্থ্য সংক্রান্ত কাজে সতর্কতা অবলম্বন করুন")</f>
        <v>বয়স্কদের স্বাস্থ্য সংক্রান্ত কাজে সতর্কতা অবলম্বন করুন</v>
      </c>
      <c r="AQ216" s="5" t="str">
        <f ca="1">IFERROR(__xludf.DUMMYFUNCTION("IF(AA216 = """", """", GOOGLETRANSLATE(AA216, ""en"", ""bn""))"),"সামনে উদ্যমী দিন")</f>
        <v>সামনে উদ্যমী দিন</v>
      </c>
      <c r="AR216" s="5" t="str">
        <f ca="1">IFERROR(__xludf.DUMMYFUNCTION("IF(AB216 = """", """", GOOGLETRANSLATE(AB216, ""en"", ""bn""))"),"")</f>
        <v/>
      </c>
      <c r="AU216" s="5" t="str">
        <f ca="1">IFERROR(__xludf.DUMMYFUNCTION("IF(Y216 = """", """", GOOGLETRANSLATE(Y216, ""en"", ""te""))"),"పిల్లలకు సంబంధించిన ఆందోళనల నుంచి ఉపశమనం")</f>
        <v>పిల్లలకు సంబంధించిన ఆందోళనల నుంచి ఉపశమనం</v>
      </c>
      <c r="AV216" s="5" t="str">
        <f ca="1">IFERROR(__xludf.DUMMYFUNCTION("IF(Z216 = """", """", GOOGLETRANSLATE(Z216, ""en"", ""te""))"),"వృద్ధుల ఆరోగ్య సమస్యల పట్ల జాగ్రత్త వహించండి")</f>
        <v>వృద్ధుల ఆరోగ్య సమస్యల పట్ల జాగ్రత్త వహించండి</v>
      </c>
      <c r="AW216" s="5" t="str">
        <f ca="1">IFERROR(__xludf.DUMMYFUNCTION("IF(AA216 = """", """", GOOGLETRANSLATE(AA216, ""en"", ""te""))"),"ముందుకు శక్తివంతమైన రోజు")</f>
        <v>ముందుకు శక్తివంతమైన రోజు</v>
      </c>
      <c r="AX216" s="5" t="str">
        <f ca="1">IFERROR(__xludf.DUMMYFUNCTION("IF(AB216 = """", """", GOOGLETRANSLATE(AB216, ""en"", ""te""))"),"")</f>
        <v/>
      </c>
    </row>
    <row r="217" spans="1:50" x14ac:dyDescent="0.25">
      <c r="A217" s="1">
        <v>232</v>
      </c>
      <c r="B217" s="1" t="s">
        <v>56</v>
      </c>
      <c r="C217" s="2">
        <v>45840</v>
      </c>
      <c r="D217" s="2">
        <v>45840</v>
      </c>
      <c r="E217" s="1">
        <v>9</v>
      </c>
      <c r="F217" s="1">
        <v>1</v>
      </c>
      <c r="G217" s="3" t="s">
        <v>622</v>
      </c>
      <c r="H217" s="4">
        <v>1.0243055555555556E-2</v>
      </c>
      <c r="I217" s="4">
        <v>3.9467592592592592E-3</v>
      </c>
      <c r="J217" s="4">
        <v>4.4791666666666669E-3</v>
      </c>
      <c r="K217" s="1" t="s">
        <v>58</v>
      </c>
      <c r="L217" s="1" t="s">
        <v>72</v>
      </c>
      <c r="M217" s="1"/>
      <c r="N217" s="1"/>
      <c r="O217" s="1" t="s">
        <v>91</v>
      </c>
      <c r="P217" s="1" t="s">
        <v>61</v>
      </c>
      <c r="Q217" s="1" t="s">
        <v>61</v>
      </c>
      <c r="R217" s="1" t="s">
        <v>61</v>
      </c>
      <c r="S217" s="1" t="s">
        <v>61</v>
      </c>
      <c r="T217" s="1" t="s">
        <v>61</v>
      </c>
      <c r="U217" s="1"/>
      <c r="V217" s="1" t="s">
        <v>91</v>
      </c>
      <c r="W217" s="1" t="s">
        <v>61</v>
      </c>
      <c r="X217" s="1" t="s">
        <v>61</v>
      </c>
      <c r="Y217" s="1" t="s">
        <v>644</v>
      </c>
      <c r="Z217" s="1" t="s">
        <v>645</v>
      </c>
      <c r="AA217" s="1" t="s">
        <v>646</v>
      </c>
      <c r="AB217" s="1"/>
      <c r="AC217" s="5" t="str">
        <f ca="1">IFERROR(__xludf.DUMMYFUNCTION("IF(Y217 = """", """", GOOGLETRANSLATE(Y217, ""en"", ""hi""))
"),"लंबित कार्य का दबाव झेलना")</f>
        <v>लंबित कार्य का दबाव झेलना</v>
      </c>
      <c r="AD217" s="5" t="str">
        <f ca="1">IFERROR(__xludf.DUMMYFUNCTION("IF(Z217 = """", """", GOOGLETRANSLATE(Z217, ""en"", ""hi""))"),"योजना पर भरोसा करें")</f>
        <v>योजना पर भरोसा करें</v>
      </c>
      <c r="AE217" s="5" t="str">
        <f ca="1">IFERROR(__xludf.DUMMYFUNCTION("IF(AA217 = """", """", GOOGLETRANSLATE(AA217, ""en"", ""hi""))"),"गति की अपेक्षा सटीकता को प्राथमिकता दें")</f>
        <v>गति की अपेक्षा सटीकता को प्राथमिकता दें</v>
      </c>
      <c r="AF217" s="5" t="str">
        <f ca="1">IFERROR(__xludf.DUMMYFUNCTION("IF(AB217 = """", """", GOOGLETRANSLATE(AB217, ""en"", ""hi""))"),"")</f>
        <v/>
      </c>
      <c r="AG217" s="5" t="str">
        <f ca="1">IFERROR(__xludf.DUMMYFUNCTION("IF(Y217 = """", """", GOOGLETRANSLATE(Y217, ""en"", ""mr""))"),"प्रलंबित कामाचा ताण वाहणे")</f>
        <v>प्रलंबित कामाचा ताण वाहणे</v>
      </c>
      <c r="AH217" s="5" t="str">
        <f ca="1">IFERROR(__xludf.DUMMYFUNCTION("IF(Z217 = """", """", GOOGLETRANSLATE(Z217, ""en"", ""mr""))"),"नियोजनावर अवलंबून रहा")</f>
        <v>नियोजनावर अवलंबून रहा</v>
      </c>
      <c r="AI217" s="5" t="str">
        <f ca="1">IFERROR(__xludf.DUMMYFUNCTION("IF(AA217 = """", """", GOOGLETRANSLATE(AA217, ""en"", ""mr""))"),"वेगापेक्षा अचूकतेला प्राधान्य द्या")</f>
        <v>वेगापेक्षा अचूकतेला प्राधान्य द्या</v>
      </c>
      <c r="AJ217" s="5" t="str">
        <f ca="1">IFERROR(__xludf.DUMMYFUNCTION("IF(AB217 = """", """", GOOGLETRANSLATE(AB217, ""en"", ""mr""))"),"")</f>
        <v/>
      </c>
      <c r="AK217" s="5" t="str">
        <f ca="1">IFERROR(__xludf.DUMMYFUNCTION("IF(Y217 = """", """", GOOGLETRANSLATE(Y217, ""en"", ""gu""))"),"બાકી કામનું દબાણ વહન કરવું")</f>
        <v>બાકી કામનું દબાણ વહન કરવું</v>
      </c>
      <c r="AL217" s="5" t="str">
        <f ca="1">IFERROR(__xludf.DUMMYFUNCTION("IF(Z217 = """", """", GOOGLETRANSLATE(Z217, ""en"", ""gu""))"),"આયોજન પર ભરોસો રાખો")</f>
        <v>આયોજન પર ભરોસો રાખો</v>
      </c>
      <c r="AM217" s="5" t="str">
        <f ca="1">IFERROR(__xludf.DUMMYFUNCTION("IF(AA217 = """", """", GOOGLETRANSLATE(AA217, ""en"", ""gu""))"),"ઝડપ કરતાં ચોકસાઈને પ્રાધાન્ય આપો")</f>
        <v>ઝડપ કરતાં ચોકસાઈને પ્રાધાન્ય આપો</v>
      </c>
      <c r="AN217" s="5" t="str">
        <f ca="1">IFERROR(__xludf.DUMMYFUNCTION("IF(AB217 = """", """", GOOGLETRANSLATE(AB217, ""en"", ""gu""))"),"")</f>
        <v/>
      </c>
      <c r="AO217" s="5" t="str">
        <f ca="1">IFERROR(__xludf.DUMMYFUNCTION("IF(Y217 = """", """", GOOGLETRANSLATE(Y217, ""en"", ""bn""))"),"মুলতুবি কাজের চাপ বহন করা")</f>
        <v>মুলতুবি কাজের চাপ বহন করা</v>
      </c>
      <c r="AP217" s="5" t="str">
        <f ca="1">IFERROR(__xludf.DUMMYFUNCTION("IF(Z217 = """", """", GOOGLETRANSLATE(Z217, ""en"", ""bn""))"),"পরিকল্পনার উপর নির্ভর করুন")</f>
        <v>পরিকল্পনার উপর নির্ভর করুন</v>
      </c>
      <c r="AQ217" s="5" t="str">
        <f ca="1">IFERROR(__xludf.DUMMYFUNCTION("IF(AA217 = """", """", GOOGLETRANSLATE(AA217, ""en"", ""bn""))"),"গতির চেয়ে নির্ভুলতাকে অগ্রাধিকার দিন")</f>
        <v>গতির চেয়ে নির্ভুলতাকে অগ্রাধিকার দিন</v>
      </c>
      <c r="AR217" s="5" t="str">
        <f ca="1">IFERROR(__xludf.DUMMYFUNCTION("IF(AB217 = """", """", GOOGLETRANSLATE(AB217, ""en"", ""bn""))"),"")</f>
        <v/>
      </c>
      <c r="AU217" s="5" t="str">
        <f ca="1">IFERROR(__xludf.DUMMYFUNCTION("IF(Y217 = """", """", GOOGLETRANSLATE(Y217, ""en"", ""te""))"),"పెండింగ్‌లో ఉన్న పనులపై ఒత్తిడి తీసుకొస్తున్నారు")</f>
        <v>పెండింగ్‌లో ఉన్న పనులపై ఒత్తిడి తీసుకొస్తున్నారు</v>
      </c>
      <c r="AV217" s="5" t="str">
        <f ca="1">IFERROR(__xludf.DUMMYFUNCTION("IF(Z217 = """", """", GOOGLETRANSLATE(Z217, ""en"", ""te""))"),"ప్రణాళికపై ఆధారపడండి")</f>
        <v>ప్రణాళికపై ఆధారపడండి</v>
      </c>
      <c r="AW217" s="5" t="str">
        <f ca="1">IFERROR(__xludf.DUMMYFUNCTION("IF(AA217 = """", """", GOOGLETRANSLATE(AA217, ""en"", ""te""))"),"వేగం కంటే ఖచ్చితత్వానికి ప్రాధాన్యత ఇవ్వండి")</f>
        <v>వేగం కంటే ఖచ్చితత్వానికి ప్రాధాన్యత ఇవ్వండి</v>
      </c>
      <c r="AX217" s="5" t="str">
        <f ca="1">IFERROR(__xludf.DUMMYFUNCTION("IF(AB217 = """", """", GOOGLETRANSLATE(AB217, ""en"", ""te""))"),"")</f>
        <v/>
      </c>
    </row>
    <row r="218" spans="1:50" x14ac:dyDescent="0.25">
      <c r="A218" s="1">
        <v>233</v>
      </c>
      <c r="B218" s="1" t="s">
        <v>56</v>
      </c>
      <c r="C218" s="2">
        <v>45840</v>
      </c>
      <c r="D218" s="2">
        <v>45840</v>
      </c>
      <c r="E218" s="1">
        <v>10</v>
      </c>
      <c r="F218" s="1">
        <v>1</v>
      </c>
      <c r="G218" s="3" t="s">
        <v>622</v>
      </c>
      <c r="H218" s="4">
        <v>1.0243055555555556E-2</v>
      </c>
      <c r="I218" s="4">
        <v>4.4791666666666669E-3</v>
      </c>
      <c r="J218" s="4">
        <v>4.7569444444444447E-3</v>
      </c>
      <c r="K218" s="1" t="s">
        <v>58</v>
      </c>
      <c r="L218" s="1" t="s">
        <v>76</v>
      </c>
      <c r="M218" s="1"/>
      <c r="N218" s="1"/>
      <c r="O218" s="1" t="s">
        <v>91</v>
      </c>
      <c r="P218" s="1" t="s">
        <v>61</v>
      </c>
      <c r="Q218" s="1" t="s">
        <v>61</v>
      </c>
      <c r="R218" s="1" t="s">
        <v>61</v>
      </c>
      <c r="S218" s="1" t="s">
        <v>61</v>
      </c>
      <c r="T218" s="1" t="s">
        <v>61</v>
      </c>
      <c r="U218" s="1"/>
      <c r="V218" s="1" t="s">
        <v>61</v>
      </c>
      <c r="W218" s="1" t="s">
        <v>61</v>
      </c>
      <c r="X218" s="1" t="s">
        <v>91</v>
      </c>
      <c r="Y218" s="1" t="s">
        <v>647</v>
      </c>
      <c r="Z218" s="1" t="s">
        <v>648</v>
      </c>
      <c r="AA218" s="1" t="s">
        <v>649</v>
      </c>
      <c r="AB218" s="1" t="s">
        <v>650</v>
      </c>
      <c r="AC218" s="5" t="str">
        <f ca="1">IFERROR(__xludf.DUMMYFUNCTION("IF(Y218 = """", """", GOOGLETRANSLATE(Y218, ""en"", ""hi""))
"),"अच्छा करियर")</f>
        <v>अच्छा करियर</v>
      </c>
      <c r="AD218" s="5" t="str">
        <f ca="1">IFERROR(__xludf.DUMMYFUNCTION("IF(Z218 = """", """", GOOGLETRANSLATE(Z218, ""en"", ""hi""))"),"सप्ताह के अंत तक संभावित समाचार")</f>
        <v>सप्ताह के अंत तक संभावित समाचार</v>
      </c>
      <c r="AE218" s="5" t="str">
        <f ca="1">IFERROR(__xludf.DUMMYFUNCTION("IF(AA218 = """", """", GOOGLETRANSLATE(AA218, ""en"", ""hi""))"),"पारिवारिक धार्मिक या सामाजिक समारोह संभव")</f>
        <v>पारिवारिक धार्मिक या सामाजिक समारोह संभव</v>
      </c>
      <c r="AF218" s="5" t="str">
        <f ca="1">IFERROR(__xludf.DUMMYFUNCTION("IF(AB218 = """", """", GOOGLETRANSLATE(AB218, ""en"", ""hi""))"),"स्वास्थ्य में सुधार")</f>
        <v>स्वास्थ्य में सुधार</v>
      </c>
      <c r="AG218" s="5" t="str">
        <f ca="1">IFERROR(__xludf.DUMMYFUNCTION("IF(Y218 = """", """", GOOGLETRANSLATE(Y218, ""en"", ""mr""))"),"उत्तम करिअर")</f>
        <v>उत्तम करिअर</v>
      </c>
      <c r="AH218" s="5" t="str">
        <f ca="1">IFERROR(__xludf.DUMMYFUNCTION("IF(Z218 = """", """", GOOGLETRANSLATE(Z218, ""en"", ""mr""))"),"आठवड्याच्या शेवटी संभाव्य बातम्या")</f>
        <v>आठवड्याच्या शेवटी संभाव्य बातम्या</v>
      </c>
      <c r="AI218" s="5" t="str">
        <f ca="1">IFERROR(__xludf.DUMMYFUNCTION("IF(AA218 = """", """", GOOGLETRANSLATE(AA218, ""en"", ""mr""))"),"कौटुंबिक धार्मिक किंवा सामाजिक संमेलन शक्य आहे")</f>
        <v>कौटुंबिक धार्मिक किंवा सामाजिक संमेलन शक्य आहे</v>
      </c>
      <c r="AJ218" s="5" t="str">
        <f ca="1">IFERROR(__xludf.DUMMYFUNCTION("IF(AB218 = """", """", GOOGLETRANSLATE(AB218, ""en"", ""mr""))"),"आरोग्यात वाढ")</f>
        <v>आरोग्यात वाढ</v>
      </c>
      <c r="AK218" s="5" t="str">
        <f ca="1">IFERROR(__xludf.DUMMYFUNCTION("IF(Y218 = """", """", GOOGLETRANSLATE(Y218, ""en"", ""gu""))"),"સારી કારકિર્દી")</f>
        <v>સારી કારકિર્દી</v>
      </c>
      <c r="AL218" s="5" t="str">
        <f ca="1">IFERROR(__xludf.DUMMYFUNCTION("IF(Z218 = """", """", GOOGLETRANSLATE(Z218, ""en"", ""gu""))"),"સપ્તાહના અંત સુધી સંભવિત સમાચાર")</f>
        <v>સપ્તાહના અંત સુધી સંભવિત સમાચાર</v>
      </c>
      <c r="AM218" s="5" t="str">
        <f ca="1">IFERROR(__xludf.DUMMYFUNCTION("IF(AA218 = """", """", GOOGLETRANSLATE(AA218, ""en"", ""gu""))"),"કૌટુંબિક ધાર્મિક અથવા સામાજિક મેળાવડા શક્ય છે")</f>
        <v>કૌટુંબિક ધાર્મિક અથવા સામાજિક મેળાવડા શક્ય છે</v>
      </c>
      <c r="AN218" s="5" t="str">
        <f ca="1">IFERROR(__xludf.DUMMYFUNCTION("IF(AB218 = """", """", GOOGLETRANSLATE(AB218, ""en"", ""gu""))"),"આરોગ્યમાં સુધારો")</f>
        <v>આરોગ્યમાં સુધારો</v>
      </c>
      <c r="AO218" s="5" t="str">
        <f ca="1">IFERROR(__xludf.DUMMYFUNCTION("IF(Y218 = """", """", GOOGLETRANSLATE(Y218, ""en"", ""bn""))"),"ভালো ক্যারিয়ার")</f>
        <v>ভালো ক্যারিয়ার</v>
      </c>
      <c r="AP218" s="5" t="str">
        <f ca="1">IFERROR(__xludf.DUMMYFUNCTION("IF(Z218 = """", """", GOOGLETRANSLATE(Z218, ""en"", ""bn""))"),"সপ্তাহের শেষে সম্ভাবনার খবর")</f>
        <v>সপ্তাহের শেষে সম্ভাবনার খবর</v>
      </c>
      <c r="AQ218" s="5" t="str">
        <f ca="1">IFERROR(__xludf.DUMMYFUNCTION("IF(AA218 = """", """", GOOGLETRANSLATE(AA218, ""en"", ""bn""))"),"পারিবারিক ধর্মীয় বা সামাজিক সমাবেশ সম্ভব")</f>
        <v>পারিবারিক ধর্মীয় বা সামাজিক সমাবেশ সম্ভব</v>
      </c>
      <c r="AR218" s="5" t="str">
        <f ca="1">IFERROR(__xludf.DUMMYFUNCTION("IF(AB218 = """", """", GOOGLETRANSLATE(AB218, ""en"", ""bn""))"),"স্বাস্থ্যের উন্নতি")</f>
        <v>স্বাস্থ্যের উন্নতি</v>
      </c>
      <c r="AU218" s="5" t="str">
        <f ca="1">IFERROR(__xludf.DUMMYFUNCTION("IF(Y218 = """", """", GOOGLETRANSLATE(Y218, ""en"", ""te""))"),"మంచి కెరీర్")</f>
        <v>మంచి కెరీర్</v>
      </c>
      <c r="AV218" s="5" t="str">
        <f ca="1">IFERROR(__xludf.DUMMYFUNCTION("IF(Z218 = """", """", GOOGLETRANSLATE(Z218, ""en"", ""te""))"),"వారం చివరి వరకు వార్తలు")</f>
        <v>వారం చివరి వరకు వార్తలు</v>
      </c>
      <c r="AW218" s="5" t="str">
        <f ca="1">IFERROR(__xludf.DUMMYFUNCTION("IF(AA218 = """", """", GOOGLETRANSLATE(AA218, ""en"", ""te""))"),"కుటుంబ మతపరమైన లేదా సామాజిక కలయిక సాధ్యమవుతుంది")</f>
        <v>కుటుంబ మతపరమైన లేదా సామాజిక కలయిక సాధ్యమవుతుంది</v>
      </c>
      <c r="AX218" s="5" t="str">
        <f ca="1">IFERROR(__xludf.DUMMYFUNCTION("IF(AB218 = """", """", GOOGLETRANSLATE(AB218, ""en"", ""te""))"),"ఆరోగ్యం మెరుగుపడుతుంది")</f>
        <v>ఆరోగ్యం మెరుగుపడుతుంది</v>
      </c>
    </row>
    <row r="219" spans="1:50" x14ac:dyDescent="0.25">
      <c r="A219" s="1">
        <v>234</v>
      </c>
      <c r="B219" s="1" t="s">
        <v>56</v>
      </c>
      <c r="C219" s="2">
        <v>45840</v>
      </c>
      <c r="D219" s="2">
        <v>45840</v>
      </c>
      <c r="E219" s="1">
        <v>11</v>
      </c>
      <c r="F219" s="1">
        <v>1</v>
      </c>
      <c r="G219" s="3" t="s">
        <v>622</v>
      </c>
      <c r="H219" s="4">
        <v>1.0243055555555556E-2</v>
      </c>
      <c r="I219" s="4">
        <v>4.7569444444444447E-3</v>
      </c>
      <c r="J219" s="4">
        <v>5.0810185185185186E-3</v>
      </c>
      <c r="K219" s="1" t="s">
        <v>58</v>
      </c>
      <c r="L219" s="1" t="s">
        <v>79</v>
      </c>
      <c r="M219" s="1"/>
      <c r="N219" s="1"/>
      <c r="O219" s="1" t="s">
        <v>61</v>
      </c>
      <c r="P219" s="1" t="s">
        <v>61</v>
      </c>
      <c r="Q219" s="1" t="s">
        <v>61</v>
      </c>
      <c r="R219" s="1" t="s">
        <v>61</v>
      </c>
      <c r="S219" s="1" t="s">
        <v>61</v>
      </c>
      <c r="T219" s="1" t="s">
        <v>91</v>
      </c>
      <c r="U219" s="1"/>
      <c r="V219" s="1" t="s">
        <v>61</v>
      </c>
      <c r="W219" s="1" t="s">
        <v>91</v>
      </c>
      <c r="X219" s="1" t="s">
        <v>61</v>
      </c>
      <c r="Y219" s="1" t="s">
        <v>651</v>
      </c>
      <c r="Z219" s="1" t="s">
        <v>652</v>
      </c>
      <c r="AA219" s="1" t="s">
        <v>653</v>
      </c>
      <c r="AB219" s="1" t="s">
        <v>654</v>
      </c>
      <c r="AC219" s="5" t="str">
        <f ca="1">IFERROR(__xludf.DUMMYFUNCTION("IF(Y219 = """", """", GOOGLETRANSLATE(Y219, ""en"", ""hi""))
"),"लम्बे समय तक चलने वाली स्वास्थ्य समस्याओं से सावधान रहें")</f>
        <v>लम्बे समय तक चलने वाली स्वास्थ्य समस्याओं से सावधान रहें</v>
      </c>
      <c r="AD219" s="5" t="str">
        <f ca="1">IFERROR(__xludf.DUMMYFUNCTION("IF(Z219 = """", """", GOOGLETRANSLATE(Z219, ""en"", ""hi""))"),"बड़े वित्तीय जोखिमों से बचें")</f>
        <v>बड़े वित्तीय जोखिमों से बचें</v>
      </c>
      <c r="AE219" s="5" t="str">
        <f ca="1">IFERROR(__xludf.DUMMYFUNCTION("IF(AA219 = """", """", GOOGLETRANSLATE(AA219, ""en"", ""hi""))"),"सट्टा सौदे")</f>
        <v>सट्टा सौदे</v>
      </c>
      <c r="AF219" s="5" t="str">
        <f ca="1">IFERROR(__xludf.DUMMYFUNCTION("IF(AB219 = """", """", GOOGLETRANSLATE(AB219, ""en"", ""hi""))"),"सावधानी से वाहन चलाएँ और चलें")</f>
        <v>सावधानी से वाहन चलाएँ और चलें</v>
      </c>
      <c r="AG219" s="5" t="str">
        <f ca="1">IFERROR(__xludf.DUMMYFUNCTION("IF(Y219 = """", """", GOOGLETRANSLATE(Y219, ""en"", ""mr""))"),"प्रदीर्घ आरोग्य समस्यांपासून सावध रहा")</f>
        <v>प्रदीर्घ आरोग्य समस्यांपासून सावध रहा</v>
      </c>
      <c r="AH219" s="5" t="str">
        <f ca="1">IFERROR(__xludf.DUMMYFUNCTION("IF(Z219 = """", """", GOOGLETRANSLATE(Z219, ""en"", ""mr""))"),"मोठे आर्थिक टाळा")</f>
        <v>मोठे आर्थिक टाळा</v>
      </c>
      <c r="AI219" s="5" t="str">
        <f ca="1">IFERROR(__xludf.DUMMYFUNCTION("IF(AA219 = """", """", GOOGLETRANSLATE(AA219, ""en"", ""mr""))"),"सट्टा व्यवहार")</f>
        <v>सट्टा व्यवहार</v>
      </c>
      <c r="AJ219" s="5" t="str">
        <f ca="1">IFERROR(__xludf.DUMMYFUNCTION("IF(AB219 = """", """", GOOGLETRANSLATE(AB219, ""en"", ""mr""))"),"काळजीपूर्वक चालवा आणि चालवा")</f>
        <v>काळजीपूर्वक चालवा आणि चालवा</v>
      </c>
      <c r="AK219" s="5" t="str">
        <f ca="1">IFERROR(__xludf.DUMMYFUNCTION("IF(Y219 = """", """", GOOGLETRANSLATE(Y219, ""en"", ""gu""))"),"વિલંબિત સ્વાસ્થ્ય સમસ્યાઓથી સાવચેત રહો")</f>
        <v>વિલંબિત સ્વાસ્થ્ય સમસ્યાઓથી સાવચેત રહો</v>
      </c>
      <c r="AL219" s="5" t="str">
        <f ca="1">IFERROR(__xludf.DUMMYFUNCTION("IF(Z219 = """", """", GOOGLETRANSLATE(Z219, ""en"", ""gu""))"),"મોટા નાણાકીય ટાળો")</f>
        <v>મોટા નાણાકીય ટાળો</v>
      </c>
      <c r="AM219" s="5" t="str">
        <f ca="1">IFERROR(__xludf.DUMMYFUNCTION("IF(AA219 = """", """", GOOGLETRANSLATE(AA219, ""en"", ""gu""))"),"સટ્ટાકીય સોદા")</f>
        <v>સટ્ટાકીય સોદા</v>
      </c>
      <c r="AN219" s="5" t="str">
        <f ca="1">IFERROR(__xludf.DUMMYFUNCTION("IF(AB219 = """", """", GOOGLETRANSLATE(AB219, ""en"", ""gu""))"),"વાહન ચલાવો અને કાળજીપૂર્વક ખસેડો")</f>
        <v>વાહન ચલાવો અને કાળજીપૂર્વક ખસેડો</v>
      </c>
      <c r="AO219" s="5" t="str">
        <f ca="1">IFERROR(__xludf.DUMMYFUNCTION("IF(Y219 = """", """", GOOGLETRANSLATE(Y219, ""en"", ""bn""))"),"দীর্ঘস্থায়ী স্বাস্থ্য সমস্যা থেকে সাবধান থাকুন")</f>
        <v>দীর্ঘস্থায়ী স্বাস্থ্য সমস্যা থেকে সাবধান থাকুন</v>
      </c>
      <c r="AP219" s="5" t="str">
        <f ca="1">IFERROR(__xludf.DUMMYFUNCTION("IF(Z219 = """", """", GOOGLETRANSLATE(Z219, ""en"", ""bn""))"),"বড় আর্থিক এড়িয়ে চলুন")</f>
        <v>বড় আর্থিক এড়িয়ে চলুন</v>
      </c>
      <c r="AQ219" s="5" t="str">
        <f ca="1">IFERROR(__xludf.DUMMYFUNCTION("IF(AA219 = """", """", GOOGLETRANSLATE(AA219, ""en"", ""bn""))"),"অনুমানমূলক চুক্তি")</f>
        <v>অনুমানমূলক চুক্তি</v>
      </c>
      <c r="AR219" s="5" t="str">
        <f ca="1">IFERROR(__xludf.DUMMYFUNCTION("IF(AB219 = """", """", GOOGLETRANSLATE(AB219, ""en"", ""bn""))"),"গাড়ি চালান এবং সাবধানে যান")</f>
        <v>গাড়ি চালান এবং সাবধানে যান</v>
      </c>
      <c r="AU219" s="5" t="str">
        <f ca="1">IFERROR(__xludf.DUMMYFUNCTION("IF(Y219 = """", """", GOOGLETRANSLATE(Y219, ""en"", ""te""))"),"దీర్ఘకాలిక ఆరోగ్య సమస్యల పట్ల జాగ్రత్త వహించండి")</f>
        <v>దీర్ఘకాలిక ఆరోగ్య సమస్యల పట్ల జాగ్రత్త వహించండి</v>
      </c>
      <c r="AV219" s="5" t="str">
        <f ca="1">IFERROR(__xludf.DUMMYFUNCTION("IF(Z219 = """", """", GOOGLETRANSLATE(Z219, ""en"", ""te""))"),"పెద్ద ఆర్థిక పరిస్థితులను నివారించండి")</f>
        <v>పెద్ద ఆర్థిక పరిస్థితులను నివారించండి</v>
      </c>
      <c r="AW219" s="5" t="str">
        <f ca="1">IFERROR(__xludf.DUMMYFUNCTION("IF(AA219 = """", """", GOOGLETRANSLATE(AA219, ""en"", ""te""))"),"ఊహాజనిత ఒప్పందాలు")</f>
        <v>ఊహాజనిత ఒప్పందాలు</v>
      </c>
      <c r="AX219" s="5" t="str">
        <f ca="1">IFERROR(__xludf.DUMMYFUNCTION("IF(AB219 = """", """", GOOGLETRANSLATE(AB219, ""en"", ""te""))"),"జాగ్రత్తగా డ్రైవ్ చేయండి &amp; తరలించండి")</f>
        <v>జాగ్రత్తగా డ్రైవ్ చేయండి &amp; తరలించండి</v>
      </c>
    </row>
    <row r="220" spans="1:50" x14ac:dyDescent="0.25">
      <c r="A220" s="1">
        <v>235</v>
      </c>
      <c r="B220" s="1" t="s">
        <v>56</v>
      </c>
      <c r="C220" s="2">
        <v>45840</v>
      </c>
      <c r="D220" s="2">
        <v>45840</v>
      </c>
      <c r="E220" s="1">
        <v>12</v>
      </c>
      <c r="F220" s="1">
        <v>1</v>
      </c>
      <c r="G220" s="3" t="s">
        <v>622</v>
      </c>
      <c r="H220" s="4">
        <v>1.0243055555555556E-2</v>
      </c>
      <c r="I220" s="4">
        <v>5.0810185185185186E-3</v>
      </c>
      <c r="J220" s="4">
        <v>5.6481481481481478E-3</v>
      </c>
      <c r="K220" s="1" t="s">
        <v>58</v>
      </c>
      <c r="L220" s="1" t="s">
        <v>81</v>
      </c>
      <c r="M220" s="1"/>
      <c r="N220" s="1"/>
      <c r="O220" s="1" t="s">
        <v>91</v>
      </c>
      <c r="P220" s="1" t="s">
        <v>61</v>
      </c>
      <c r="Q220" s="1" t="s">
        <v>61</v>
      </c>
      <c r="R220" s="1" t="s">
        <v>61</v>
      </c>
      <c r="S220" s="1" t="s">
        <v>61</v>
      </c>
      <c r="T220" s="1" t="s">
        <v>61</v>
      </c>
      <c r="U220" s="1"/>
      <c r="V220" s="1" t="s">
        <v>91</v>
      </c>
      <c r="W220" s="1" t="s">
        <v>61</v>
      </c>
      <c r="X220" s="1" t="s">
        <v>61</v>
      </c>
      <c r="Y220" s="1" t="s">
        <v>655</v>
      </c>
      <c r="Z220" s="1" t="s">
        <v>656</v>
      </c>
      <c r="AA220" s="1" t="s">
        <v>657</v>
      </c>
      <c r="AB220" s="1"/>
      <c r="AC220" s="5" t="str">
        <f ca="1">IFERROR(__xludf.DUMMYFUNCTION("IF(Y220 = """", """", GOOGLETRANSLATE(Y220, ""en"", ""hi""))
"),"शुरुआत तनावपूर्ण लेकिन अंत अच्छा")</f>
        <v>शुरुआत तनावपूर्ण लेकिन अंत अच्छा</v>
      </c>
      <c r="AD220" s="5" t="str">
        <f ca="1">IFERROR(__xludf.DUMMYFUNCTION("IF(Z220 = """", """", GOOGLETRANSLATE(Z220, ""en"", ""hi""))"),"शाम को आराम करें क्योंकि हालात सामान्य हो रहे हैं")</f>
        <v>शाम को आराम करें क्योंकि हालात सामान्य हो रहे हैं</v>
      </c>
      <c r="AE220" s="5" t="str">
        <f ca="1">IFERROR(__xludf.DUMMYFUNCTION("IF(AA220 = """", """", GOOGLETRANSLATE(AA220, ""en"", ""hi""))"),"स्वास्थ्य के लिए पेशेवर मदद लें")</f>
        <v>स्वास्थ्य के लिए पेशेवर मदद लें</v>
      </c>
      <c r="AF220" s="5" t="str">
        <f ca="1">IFERROR(__xludf.DUMMYFUNCTION("IF(AB220 = """", """", GOOGLETRANSLATE(AB220, ""en"", ""hi""))"),"")</f>
        <v/>
      </c>
      <c r="AG220" s="5" t="str">
        <f ca="1">IFERROR(__xludf.DUMMYFUNCTION("IF(Y220 = """", """", GOOGLETRANSLATE(Y220, ""en"", ""mr""))"),"तणावाची सुरुवात करा पण शेवट चांगला होतो")</f>
        <v>तणावाची सुरुवात करा पण शेवट चांगला होतो</v>
      </c>
      <c r="AH220" s="5" t="str">
        <f ca="1">IFERROR(__xludf.DUMMYFUNCTION("IF(Z220 = """", """", GOOGLETRANSLATE(Z220, ""en"", ""mr""))"),"संध्याकाळी परिस्थिती सामान्य झाल्यावर आराम करा")</f>
        <v>संध्याकाळी परिस्थिती सामान्य झाल्यावर आराम करा</v>
      </c>
      <c r="AI220" s="5" t="str">
        <f ca="1">IFERROR(__xludf.DUMMYFUNCTION("IF(AA220 = """", """", GOOGLETRANSLATE(AA220, ""en"", ""mr""))"),"आरोग्यासाठी व्यावसायिकांची मदत घ्या")</f>
        <v>आरोग्यासाठी व्यावसायिकांची मदत घ्या</v>
      </c>
      <c r="AJ220" s="5" t="str">
        <f ca="1">IFERROR(__xludf.DUMMYFUNCTION("IF(AB220 = """", """", GOOGLETRANSLATE(AB220, ""en"", ""mr""))"),"")</f>
        <v/>
      </c>
      <c r="AK220" s="5" t="str">
        <f ca="1">IFERROR(__xludf.DUMMYFUNCTION("IF(Y220 = """", """", GOOGLETRANSLATE(Y220, ""en"", ""gu""))"),"તંગ શરૂ કરો પરંતુ સારી રીતે સમાપ્ત થાય છે")</f>
        <v>તંગ શરૂ કરો પરંતુ સારી રીતે સમાપ્ત થાય છે</v>
      </c>
      <c r="AL220" s="5" t="str">
        <f ca="1">IFERROR(__xludf.DUMMYFUNCTION("IF(Z220 = """", """", GOOGLETRANSLATE(Z220, ""en"", ""gu""))"),"વસ્તુઓ સામાન્ય થતાં સાંજે આરામ કરો")</f>
        <v>વસ્તુઓ સામાન્ય થતાં સાંજે આરામ કરો</v>
      </c>
      <c r="AM220" s="5" t="str">
        <f ca="1">IFERROR(__xludf.DUMMYFUNCTION("IF(AA220 = """", """", GOOGLETRANSLATE(AA220, ""en"", ""gu""))"),"સ્વાસ્થ્ય માટે પ્રોફેશનલની મદદ લો")</f>
        <v>સ્વાસ્થ્ય માટે પ્રોફેશનલની મદદ લો</v>
      </c>
      <c r="AN220" s="5" t="str">
        <f ca="1">IFERROR(__xludf.DUMMYFUNCTION("IF(AB220 = """", """", GOOGLETRANSLATE(AB220, ""en"", ""gu""))"),"")</f>
        <v/>
      </c>
      <c r="AO220" s="5" t="str">
        <f ca="1">IFERROR(__xludf.DUMMYFUNCTION("IF(Y220 = """", """", GOOGLETRANSLATE(Y220, ""en"", ""bn""))"),"কাল শুরু হলেও শেষ হয় ভালো")</f>
        <v>কাল শুরু হলেও শেষ হয় ভালো</v>
      </c>
      <c r="AP220" s="5" t="str">
        <f ca="1">IFERROR(__xludf.DUMMYFUNCTION("IF(Z220 = """", """", GOOGLETRANSLATE(Z220, ""en"", ""bn""))"),"সবকিছু স্বাভাবিক হওয়ার সাথে সাথে সন্ধ্যায় আরাম করুন")</f>
        <v>সবকিছু স্বাভাবিক হওয়ার সাথে সাথে সন্ধ্যায় আরাম করুন</v>
      </c>
      <c r="AQ220" s="5" t="str">
        <f ca="1">IFERROR(__xludf.DUMMYFUNCTION("IF(AA220 = """", """", GOOGLETRANSLATE(AA220, ""en"", ""bn""))"),"স্বাস্থ্যের জন্য পেশাদারদের সাহায্য নিন")</f>
        <v>স্বাস্থ্যের জন্য পেশাদারদের সাহায্য নিন</v>
      </c>
      <c r="AR220" s="5" t="str">
        <f ca="1">IFERROR(__xludf.DUMMYFUNCTION("IF(AB220 = """", """", GOOGLETRANSLATE(AB220, ""en"", ""bn""))"),"")</f>
        <v/>
      </c>
      <c r="AU220" s="5" t="str">
        <f ca="1">IFERROR(__xludf.DUMMYFUNCTION("IF(Y220 = """", """", GOOGLETRANSLATE(Y220, ""en"", ""te""))"),"ఉద్విగ్నంగా ప్రారంభించండి కానీ బాగానే ముగుస్తుంది")</f>
        <v>ఉద్విగ్నంగా ప్రారంభించండి కానీ బాగానే ముగుస్తుంది</v>
      </c>
      <c r="AV220" s="5" t="str">
        <f ca="1">IFERROR(__xludf.DUMMYFUNCTION("IF(Z220 = """", """", GOOGLETRANSLATE(Z220, ""en"", ""te""))"),"విషయాలు సాధారణమైనందున సాయంత్రం విశ్రాంతి తీసుకోండి")</f>
        <v>విషయాలు సాధారణమైనందున సాయంత్రం విశ్రాంతి తీసుకోండి</v>
      </c>
      <c r="AW220" s="5" t="str">
        <f ca="1">IFERROR(__xludf.DUMMYFUNCTION("IF(AA220 = """", """", GOOGLETRANSLATE(AA220, ""en"", ""te""))"),"ఆరోగ్యం కోసం నిపుణుల సహాయం తీసుకోండి")</f>
        <v>ఆరోగ్యం కోసం నిపుణుల సహాయం తీసుకోండి</v>
      </c>
      <c r="AX220" s="5" t="str">
        <f ca="1">IFERROR(__xludf.DUMMYFUNCTION("IF(AB220 = """", """", GOOGLETRANSLATE(AB220, ""en"", ""te""))"),"")</f>
        <v/>
      </c>
    </row>
    <row r="221" spans="1:50" x14ac:dyDescent="0.25">
      <c r="A221" s="1">
        <v>236</v>
      </c>
      <c r="B221" s="1" t="s">
        <v>56</v>
      </c>
      <c r="C221" s="2">
        <v>45840</v>
      </c>
      <c r="D221" s="2">
        <v>45840</v>
      </c>
      <c r="E221" s="1">
        <v>13</v>
      </c>
      <c r="F221" s="1">
        <v>1</v>
      </c>
      <c r="G221" s="3" t="s">
        <v>622</v>
      </c>
      <c r="H221" s="4">
        <v>1.0243055555555556E-2</v>
      </c>
      <c r="I221" s="4">
        <v>5.6481481481481478E-3</v>
      </c>
      <c r="J221" s="4">
        <v>1.0243055555555556E-2</v>
      </c>
      <c r="K221" s="1" t="s">
        <v>58</v>
      </c>
      <c r="L221" s="1" t="s">
        <v>137</v>
      </c>
      <c r="M221" s="1"/>
      <c r="N221" s="1"/>
      <c r="O221" s="1" t="s">
        <v>61</v>
      </c>
      <c r="P221" s="1" t="s">
        <v>61</v>
      </c>
      <c r="Q221" s="1" t="s">
        <v>61</v>
      </c>
      <c r="R221" s="1" t="s">
        <v>61</v>
      </c>
      <c r="S221" s="1" t="s">
        <v>61</v>
      </c>
      <c r="T221" s="1" t="s">
        <v>61</v>
      </c>
      <c r="U221" s="1"/>
      <c r="V221" s="1" t="s">
        <v>61</v>
      </c>
      <c r="W221" s="1" t="s">
        <v>61</v>
      </c>
      <c r="X221" s="1" t="s">
        <v>61</v>
      </c>
      <c r="Y221" s="1"/>
      <c r="Z221" s="1"/>
      <c r="AA221" s="1"/>
      <c r="AB221" s="1"/>
      <c r="AC221" s="5" t="str">
        <f ca="1">IFERROR(__xludf.DUMMYFUNCTION("IF(Y221 = """", """", GOOGLETRANSLATE(Y221, ""en"", ""hi""))
"),"")</f>
        <v/>
      </c>
      <c r="AD221" s="5" t="str">
        <f ca="1">IFERROR(__xludf.DUMMYFUNCTION("IF(Z221 = """", """", GOOGLETRANSLATE(Z221, ""en"", ""hi""))"),"")</f>
        <v/>
      </c>
      <c r="AE221" s="5" t="str">
        <f ca="1">IFERROR(__xludf.DUMMYFUNCTION("IF(AA221 = """", """", GOOGLETRANSLATE(AA221, ""en"", ""hi""))"),"")</f>
        <v/>
      </c>
      <c r="AF221" s="5" t="str">
        <f ca="1">IFERROR(__xludf.DUMMYFUNCTION("IF(AB221 = """", """", GOOGLETRANSLATE(AB221, ""en"", ""hi""))"),"")</f>
        <v/>
      </c>
      <c r="AG221" s="5" t="str">
        <f ca="1">IFERROR(__xludf.DUMMYFUNCTION("IF(Y221 = """", """", GOOGLETRANSLATE(Y221, ""en"", ""mr""))"),"")</f>
        <v/>
      </c>
      <c r="AH221" s="5" t="str">
        <f ca="1">IFERROR(__xludf.DUMMYFUNCTION("IF(Z221 = """", """", GOOGLETRANSLATE(Z221, ""en"", ""mr""))"),"")</f>
        <v/>
      </c>
      <c r="AI221" s="5" t="str">
        <f ca="1">IFERROR(__xludf.DUMMYFUNCTION("IF(AA221 = """", """", GOOGLETRANSLATE(AA221, ""en"", ""mr""))"),"")</f>
        <v/>
      </c>
      <c r="AJ221" s="5" t="str">
        <f ca="1">IFERROR(__xludf.DUMMYFUNCTION("IF(AB221 = """", """", GOOGLETRANSLATE(AB221, ""en"", ""mr""))"),"")</f>
        <v/>
      </c>
      <c r="AK221" s="5" t="str">
        <f ca="1">IFERROR(__xludf.DUMMYFUNCTION("IF(Y221 = """", """", GOOGLETRANSLATE(Y221, ""en"", ""gu""))"),"")</f>
        <v/>
      </c>
      <c r="AL221" s="5" t="str">
        <f ca="1">IFERROR(__xludf.DUMMYFUNCTION("IF(Z221 = """", """", GOOGLETRANSLATE(Z221, ""en"", ""gu""))"),"")</f>
        <v/>
      </c>
      <c r="AM221" s="5" t="str">
        <f ca="1">IFERROR(__xludf.DUMMYFUNCTION("IF(AA221 = """", """", GOOGLETRANSLATE(AA221, ""en"", ""gu""))"),"")</f>
        <v/>
      </c>
      <c r="AN221" s="5" t="str">
        <f ca="1">IFERROR(__xludf.DUMMYFUNCTION("IF(AB221 = """", """", GOOGLETRANSLATE(AB221, ""en"", ""gu""))"),"")</f>
        <v/>
      </c>
      <c r="AO221" s="5" t="str">
        <f ca="1">IFERROR(__xludf.DUMMYFUNCTION("IF(Y221 = """", """", GOOGLETRANSLATE(Y221, ""en"", ""bn""))"),"")</f>
        <v/>
      </c>
      <c r="AP221" s="5" t="str">
        <f ca="1">IFERROR(__xludf.DUMMYFUNCTION("IF(Z221 = """", """", GOOGLETRANSLATE(Z221, ""en"", ""bn""))"),"")</f>
        <v/>
      </c>
      <c r="AQ221" s="5" t="str">
        <f ca="1">IFERROR(__xludf.DUMMYFUNCTION("IF(AA221 = """", """", GOOGLETRANSLATE(AA221, ""en"", ""bn""))"),"")</f>
        <v/>
      </c>
      <c r="AR221" s="5" t="str">
        <f ca="1">IFERROR(__xludf.DUMMYFUNCTION("IF(AB221 = """", """", GOOGLETRANSLATE(AB221, ""en"", ""bn""))"),"")</f>
        <v/>
      </c>
      <c r="AU221" s="5" t="str">
        <f ca="1">IFERROR(__xludf.DUMMYFUNCTION("IF(Y221 = """", """", GOOGLETRANSLATE(Y221, ""en"", ""te""))"),"")</f>
        <v/>
      </c>
      <c r="AV221" s="5" t="str">
        <f ca="1">IFERROR(__xludf.DUMMYFUNCTION("IF(Z221 = """", """", GOOGLETRANSLATE(Z221, ""en"", ""te""))"),"")</f>
        <v/>
      </c>
      <c r="AW221" s="5" t="str">
        <f ca="1">IFERROR(__xludf.DUMMYFUNCTION("IF(AA221 = """", """", GOOGLETRANSLATE(AA221, ""en"", ""te""))"),"")</f>
        <v/>
      </c>
      <c r="AX221" s="5" t="str">
        <f ca="1">IFERROR(__xludf.DUMMYFUNCTION("IF(AB221 = """", """", GOOGLETRANSLATE(AB221, ""en"", ""te""))"),"")</f>
        <v/>
      </c>
    </row>
    <row r="222" spans="1:50" x14ac:dyDescent="0.25">
      <c r="A222" s="1">
        <v>237</v>
      </c>
      <c r="B222" s="1" t="s">
        <v>56</v>
      </c>
      <c r="C222" s="2">
        <v>45841</v>
      </c>
      <c r="D222" s="2">
        <v>45841</v>
      </c>
      <c r="E222" s="1">
        <v>0</v>
      </c>
      <c r="F222" s="1">
        <v>1</v>
      </c>
      <c r="G222" s="3" t="s">
        <v>658</v>
      </c>
      <c r="H222" s="4">
        <v>8.3680555555555557E-3</v>
      </c>
      <c r="I222" s="4">
        <v>0</v>
      </c>
      <c r="J222" s="4">
        <v>8.564814814814815E-4</v>
      </c>
      <c r="K222" s="1"/>
      <c r="L222" s="1" t="s">
        <v>59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 t="str">
        <f ca="1">IFERROR(__xludf.DUMMYFUNCTION("IF(Y222 = """", """", GOOGLETRANSLATE(Y222, ""en"", ""hi""))
"),"")</f>
        <v/>
      </c>
      <c r="AD222" s="5" t="str">
        <f ca="1">IFERROR(__xludf.DUMMYFUNCTION("IF(Z222 = """", """", GOOGLETRANSLATE(Z222, ""en"", ""hi""))"),"")</f>
        <v/>
      </c>
      <c r="AE222" s="5" t="str">
        <f ca="1">IFERROR(__xludf.DUMMYFUNCTION("IF(AA222 = """", """", GOOGLETRANSLATE(AA222, ""en"", ""hi""))"),"")</f>
        <v/>
      </c>
      <c r="AF222" s="5" t="str">
        <f ca="1">IFERROR(__xludf.DUMMYFUNCTION("IF(AB222 = """", """", GOOGLETRANSLATE(AB222, ""en"", ""hi""))"),"")</f>
        <v/>
      </c>
      <c r="AG222" s="5" t="str">
        <f ca="1">IFERROR(__xludf.DUMMYFUNCTION("IF(Y222 = """", """", GOOGLETRANSLATE(Y222, ""en"", ""mr""))"),"")</f>
        <v/>
      </c>
      <c r="AH222" s="5" t="str">
        <f ca="1">IFERROR(__xludf.DUMMYFUNCTION("IF(Z222 = """", """", GOOGLETRANSLATE(Z222, ""en"", ""mr""))"),"")</f>
        <v/>
      </c>
      <c r="AI222" s="5" t="str">
        <f ca="1">IFERROR(__xludf.DUMMYFUNCTION("IF(AA222 = """", """", GOOGLETRANSLATE(AA222, ""en"", ""mr""))"),"")</f>
        <v/>
      </c>
      <c r="AJ222" s="5" t="str">
        <f ca="1">IFERROR(__xludf.DUMMYFUNCTION("IF(AB222 = """", """", GOOGLETRANSLATE(AB222, ""en"", ""mr""))"),"")</f>
        <v/>
      </c>
      <c r="AK222" s="5" t="str">
        <f ca="1">IFERROR(__xludf.DUMMYFUNCTION("IF(Y222 = """", """", GOOGLETRANSLATE(Y222, ""en"", ""gu""))"),"")</f>
        <v/>
      </c>
      <c r="AL222" s="5" t="str">
        <f ca="1">IFERROR(__xludf.DUMMYFUNCTION("IF(Z222 = """", """", GOOGLETRANSLATE(Z222, ""en"", ""gu""))"),"")</f>
        <v/>
      </c>
      <c r="AM222" s="5" t="str">
        <f ca="1">IFERROR(__xludf.DUMMYFUNCTION("IF(AA222 = """", """", GOOGLETRANSLATE(AA222, ""en"", ""gu""))"),"")</f>
        <v/>
      </c>
      <c r="AN222" s="5" t="str">
        <f ca="1">IFERROR(__xludf.DUMMYFUNCTION("IF(AB222 = """", """", GOOGLETRANSLATE(AB222, ""en"", ""gu""))"),"")</f>
        <v/>
      </c>
      <c r="AO222" s="5" t="str">
        <f ca="1">IFERROR(__xludf.DUMMYFUNCTION("IF(Y222 = """", """", GOOGLETRANSLATE(Y222, ""en"", ""bn""))"),"")</f>
        <v/>
      </c>
      <c r="AP222" s="5" t="str">
        <f ca="1">IFERROR(__xludf.DUMMYFUNCTION("IF(Z222 = """", """", GOOGLETRANSLATE(Z222, ""en"", ""bn""))"),"")</f>
        <v/>
      </c>
      <c r="AQ222" s="5" t="str">
        <f ca="1">IFERROR(__xludf.DUMMYFUNCTION("IF(AA222 = """", """", GOOGLETRANSLATE(AA222, ""en"", ""bn""))"),"")</f>
        <v/>
      </c>
      <c r="AR222" s="5" t="str">
        <f ca="1">IFERROR(__xludf.DUMMYFUNCTION("IF(AB222 = """", """", GOOGLETRANSLATE(AB222, ""en"", ""bn""))"),"")</f>
        <v/>
      </c>
      <c r="AU222" s="5" t="str">
        <f ca="1">IFERROR(__xludf.DUMMYFUNCTION("IF(Y222 = """", """", GOOGLETRANSLATE(Y222, ""en"", ""te""))"),"")</f>
        <v/>
      </c>
      <c r="AV222" s="5" t="str">
        <f ca="1">IFERROR(__xludf.DUMMYFUNCTION("IF(Z222 = """", """", GOOGLETRANSLATE(Z222, ""en"", ""te""))"),"")</f>
        <v/>
      </c>
      <c r="AW222" s="5" t="str">
        <f ca="1">IFERROR(__xludf.DUMMYFUNCTION("IF(AA222 = """", """", GOOGLETRANSLATE(AA222, ""en"", ""te""))"),"")</f>
        <v/>
      </c>
      <c r="AX222" s="5" t="str">
        <f ca="1">IFERROR(__xludf.DUMMYFUNCTION("IF(AB222 = """", """", GOOGLETRANSLATE(AB222, ""en"", ""te""))"),"")</f>
        <v/>
      </c>
    </row>
    <row r="223" spans="1:50" x14ac:dyDescent="0.25">
      <c r="A223" s="1">
        <v>238</v>
      </c>
      <c r="B223" s="1" t="s">
        <v>56</v>
      </c>
      <c r="C223" s="2">
        <v>45841</v>
      </c>
      <c r="D223" s="2">
        <v>45841</v>
      </c>
      <c r="E223" s="1">
        <v>1</v>
      </c>
      <c r="F223" s="1">
        <v>1</v>
      </c>
      <c r="G223" s="3" t="s">
        <v>658</v>
      </c>
      <c r="H223" s="4">
        <v>8.3680555555555557E-3</v>
      </c>
      <c r="I223" s="4">
        <v>8.564814814814815E-4</v>
      </c>
      <c r="J223" s="4">
        <v>1.3657407407407407E-3</v>
      </c>
      <c r="K223" s="1"/>
      <c r="L223" s="1" t="s">
        <v>142</v>
      </c>
      <c r="M223" s="1" t="s">
        <v>61</v>
      </c>
      <c r="N223" s="1"/>
      <c r="O223" s="1" t="s">
        <v>91</v>
      </c>
      <c r="P223" s="1"/>
      <c r="Q223" s="1" t="s">
        <v>61</v>
      </c>
      <c r="R223" s="1" t="s">
        <v>61</v>
      </c>
      <c r="S223" s="1" t="s">
        <v>61</v>
      </c>
      <c r="T223" s="1" t="s">
        <v>61</v>
      </c>
      <c r="U223" s="1" t="s">
        <v>61</v>
      </c>
      <c r="V223" s="1" t="s">
        <v>61</v>
      </c>
      <c r="W223" s="1" t="s">
        <v>61</v>
      </c>
      <c r="X223" s="1" t="s">
        <v>91</v>
      </c>
      <c r="Y223" s="1" t="s">
        <v>659</v>
      </c>
      <c r="Z223" s="1" t="s">
        <v>660</v>
      </c>
      <c r="AA223" s="1" t="s">
        <v>661</v>
      </c>
      <c r="AB223" s="1" t="s">
        <v>662</v>
      </c>
      <c r="AC223" s="5" t="str">
        <f ca="1">IFERROR(__xludf.DUMMYFUNCTION("IF(Y223 = """", """", GOOGLETRANSLATE(Y223, ""en"", ""hi""))
"),"व्यस्त दिन के पीछे बुजुर्गों के स्वास्थ्य संबंधी काम")</f>
        <v>व्यस्त दिन के पीछे बुजुर्गों के स्वास्थ्य संबंधी काम</v>
      </c>
      <c r="AD223" s="5" t="str">
        <f ca="1">IFERROR(__xludf.DUMMYFUNCTION("IF(Z223 = """", """", GOOGLETRANSLATE(Z223, ""en"", ""hi""))"),"आकस्मिक पारिवारिक खर्च")</f>
        <v>आकस्मिक पारिवारिक खर्च</v>
      </c>
      <c r="AE223" s="5" t="str">
        <f ca="1">IFERROR(__xludf.DUMMYFUNCTION("IF(AA223 = """", """", GOOGLETRANSLATE(AA223, ""en"", ""hi""))"),"बच्चों से संबंधित चिंताएँ कम होती हैं")</f>
        <v>बच्चों से संबंधित चिंताएँ कम होती हैं</v>
      </c>
      <c r="AF223" s="5" t="str">
        <f ca="1">IFERROR(__xludf.DUMMYFUNCTION("IF(AB223 = """", """", GOOGLETRANSLATE(AB223, ""en"", ""hi""))"),"लंबित कार्य सुचारू रूप से संपन्न होंगे और प्रयास एवं अनुभव से पूरे होंगे")</f>
        <v>लंबित कार्य सुचारू रूप से संपन्न होंगे और प्रयास एवं अनुभव से पूरे होंगे</v>
      </c>
      <c r="AG223" s="5" t="str">
        <f ca="1">IFERROR(__xludf.DUMMYFUNCTION("IF(Y223 = """", """", GOOGLETRANSLATE(Y223, ""en"", ""mr""))"),"व्यस्त दिवसाच्या मागे वयोवृद्ध आरोग्याची कामे करतात")</f>
        <v>व्यस्त दिवसाच्या मागे वयोवृद्ध आरोग्याची कामे करतात</v>
      </c>
      <c r="AH223" s="5" t="str">
        <f ca="1">IFERROR(__xludf.DUMMYFUNCTION("IF(Z223 = """", """", GOOGLETRANSLATE(Z223, ""en"", ""mr""))"),"आकस्मिक कौटुंबिक खर्च")</f>
        <v>आकस्मिक कौटुंबिक खर्च</v>
      </c>
      <c r="AI223" s="5" t="str">
        <f ca="1">IFERROR(__xludf.DUMMYFUNCTION("IF(AA223 = """", """", GOOGLETRANSLATE(AA223, ""en"", ""mr""))"),"मुलांशी संबंधित चिंता कमी होईल")</f>
        <v>मुलांशी संबंधित चिंता कमी होईल</v>
      </c>
      <c r="AJ223" s="5" t="str">
        <f ca="1">IFERROR(__xludf.DUMMYFUNCTION("IF(AB223 = """", """", GOOGLETRANSLATE(AB223, ""en"", ""mr""))"),"प्रलंबित कार्ये सुरळीतपणे पूर्ण होतात आणि प्रयत्न आणि अनुभवाने मात करतात")</f>
        <v>प्रलंबित कार्ये सुरळीतपणे पूर्ण होतात आणि प्रयत्न आणि अनुभवाने मात करतात</v>
      </c>
      <c r="AK223" s="5" t="str">
        <f ca="1">IFERROR(__xludf.DUMMYFUNCTION("IF(Y223 = """", """", GOOGLETRANSLATE(Y223, ""en"", ""gu""))"),"વ્યસ્ત દિવસ પાછળ વડીલોનું સ્વાસ્થ્ય કામકાજ")</f>
        <v>વ્યસ્ત દિવસ પાછળ વડીલોનું સ્વાસ્થ્ય કામકાજ</v>
      </c>
      <c r="AL223" s="5" t="str">
        <f ca="1">IFERROR(__xludf.DUMMYFUNCTION("IF(Z223 = """", """", GOOGLETRANSLATE(Z223, ""en"", ""gu""))"),"આકસ્મિક કૌટુંબિક ખર્ચ")</f>
        <v>આકસ્મિક કૌટુંબિક ખર્ચ</v>
      </c>
      <c r="AM223" s="5" t="str">
        <f ca="1">IFERROR(__xludf.DUMMYFUNCTION("IF(AA223 = """", """", GOOGLETRANSLATE(AA223, ""en"", ""gu""))"),"સંતાન સંબંધી ચિંતાઓ હળવી થાય")</f>
        <v>સંતાન સંબંધી ચિંતાઓ હળવી થાય</v>
      </c>
      <c r="AN223" s="5" t="str">
        <f ca="1">IFERROR(__xludf.DUMMYFUNCTION("IF(AB223 = """", """", GOOGLETRANSLATE(AB223, ""en"", ""gu""))"),"બાકી કાર્યો સરળતાથી પૂર્ણ થાય છે અને પ્રયત્નો અને અનુભવ દ્વારા પાર પડે છે")</f>
        <v>બાકી કાર્યો સરળતાથી પૂર્ણ થાય છે અને પ્રયત્નો અને અનુભવ દ્વારા પાર પડે છે</v>
      </c>
      <c r="AO223" s="5" t="str">
        <f ca="1">IFERROR(__xludf.DUMMYFUNCTION("IF(Y223 = """", """", GOOGLETRANSLATE(Y223, ""en"", ""bn""))"),"ব্যস্ত দিনের পিছনে বয়স্কদের স্বাস্থ্যের কাজ")</f>
        <v>ব্যস্ত দিনের পিছনে বয়স্কদের স্বাস্থ্যের কাজ</v>
      </c>
      <c r="AP223" s="5" t="str">
        <f ca="1">IFERROR(__xludf.DUMMYFUNCTION("IF(Z223 = """", """", GOOGLETRANSLATE(Z223, ""en"", ""bn""))"),"আনুষঙ্গিক পারিবারিক খরচ")</f>
        <v>আনুষঙ্গিক পারিবারিক খরচ</v>
      </c>
      <c r="AQ223" s="5" t="str">
        <f ca="1">IFERROR(__xludf.DUMMYFUNCTION("IF(AA223 = """", """", GOOGLETRANSLATE(AA223, ""en"", ""bn""))"),"সন্তান-সম্পর্কিত দুশ্চিন্তা লাঘব")</f>
        <v>সন্তান-সম্পর্কিত দুশ্চিন্তা লাঘব</v>
      </c>
      <c r="AR223" s="5" t="str">
        <f ca="1">IFERROR(__xludf.DUMMYFUNCTION("IF(AB223 = """", """", GOOGLETRANSLATE(AB223, ""en"", ""bn""))"),"মুলতুবি কাজগুলি মসৃণভাবে শেষ হয় এবং প্রচেষ্টা ও অভিজ্ঞতার মাধ্যমে কাটিয়ে ওঠে")</f>
        <v>মুলতুবি কাজগুলি মসৃণভাবে শেষ হয় এবং প্রচেষ্টা ও অভিজ্ঞতার মাধ্যমে কাটিয়ে ওঠে</v>
      </c>
      <c r="AU223" s="5" t="str">
        <f ca="1">IFERROR(__xludf.DUMMYFUNCTION("IF(Y223 = """", """", GOOGLETRANSLATE(Y223, ""en"", ""te""))"),"బిజీ రోజు వెనుక వృద్ధుల ఆరోగ్యం లోపాలు")</f>
        <v>బిజీ రోజు వెనుక వృద్ధుల ఆరోగ్యం లోపాలు</v>
      </c>
      <c r="AV223" s="5" t="str">
        <f ca="1">IFERROR(__xludf.DUMMYFUNCTION("IF(Z223 = """", """", GOOGLETRANSLATE(Z223, ""en"", ""te""))"),"యాదృచ్ఛిక కుటుంబ ఖర్చులు")</f>
        <v>యాదృచ్ఛిక కుటుంబ ఖర్చులు</v>
      </c>
      <c r="AW223" s="5" t="str">
        <f ca="1">IFERROR(__xludf.DUMMYFUNCTION("IF(AA223 = """", """", GOOGLETRANSLATE(AA223,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X223" s="5" t="str">
        <f ca="1">IFERROR(__xludf.DUMMYFUNCTION("IF(AB223 = """", """", GOOGLETRANSLATE(AB223, ""en"", ""te""))"),"పెండింగ్‌లో ఉన్న పనులు సజావుగా ముగుస్తాయి మరియు కృషి &amp; అనుభవం ద్వారా అధిగమించబడతాయి")</f>
        <v>పెండింగ్‌లో ఉన్న పనులు సజావుగా ముగుస్తాయి మరియు కృషి &amp; అనుభవం ద్వారా అధిగమించబడతాయి</v>
      </c>
    </row>
    <row r="224" spans="1:50" x14ac:dyDescent="0.25">
      <c r="A224" s="1">
        <v>239</v>
      </c>
      <c r="B224" s="1" t="s">
        <v>56</v>
      </c>
      <c r="C224" s="2">
        <v>45841</v>
      </c>
      <c r="D224" s="2">
        <v>45841</v>
      </c>
      <c r="E224" s="1">
        <v>2</v>
      </c>
      <c r="F224" s="1">
        <v>1</v>
      </c>
      <c r="G224" s="3" t="s">
        <v>658</v>
      </c>
      <c r="H224" s="4">
        <v>8.3680555555555557E-3</v>
      </c>
      <c r="I224" s="4">
        <v>1.3657407407407407E-3</v>
      </c>
      <c r="J224" s="4">
        <v>1.9907407407407408E-3</v>
      </c>
      <c r="K224" s="1"/>
      <c r="L224" s="1" t="s">
        <v>90</v>
      </c>
      <c r="M224" s="1" t="s">
        <v>61</v>
      </c>
      <c r="N224" s="1"/>
      <c r="O224" s="1" t="s">
        <v>91</v>
      </c>
      <c r="P224" s="1" t="s">
        <v>61</v>
      </c>
      <c r="Q224" s="1" t="s">
        <v>61</v>
      </c>
      <c r="R224" s="1" t="s">
        <v>61</v>
      </c>
      <c r="S224" s="1" t="s">
        <v>61</v>
      </c>
      <c r="T224" s="1" t="s">
        <v>61</v>
      </c>
      <c r="U224" s="1" t="s">
        <v>61</v>
      </c>
      <c r="V224" s="1" t="s">
        <v>91</v>
      </c>
      <c r="W224" s="1" t="s">
        <v>61</v>
      </c>
      <c r="X224" s="1" t="s">
        <v>61</v>
      </c>
      <c r="Y224" s="1" t="s">
        <v>663</v>
      </c>
      <c r="Z224" s="1" t="s">
        <v>664</v>
      </c>
      <c r="AA224" s="1" t="s">
        <v>665</v>
      </c>
      <c r="AB224" s="1" t="s">
        <v>666</v>
      </c>
      <c r="AC224" s="5" t="str">
        <f ca="1">IFERROR(__xludf.DUMMYFUNCTION("IF(Y224 = """", """", GOOGLETRANSLATE(Y224, ""en"", ""hi""))
"),"वाणी पर नियंत्रण रखें")</f>
        <v>वाणी पर नियंत्रण रखें</v>
      </c>
      <c r="AD224" s="5" t="str">
        <f ca="1">IFERROR(__xludf.DUMMYFUNCTION("IF(Z224 = """", """", GOOGLETRANSLATE(Z224, ""en"", ""hi""))"),"प्रियजनों के साथ ग़लतफ़हमी और बहस से बचें")</f>
        <v>प्रियजनों के साथ ग़लतफ़हमी और बहस से बचें</v>
      </c>
      <c r="AE224" s="5" t="str">
        <f ca="1">IFERROR(__xludf.DUMMYFUNCTION("IF(AA224 = """", """", GOOGLETRANSLATE(AA224, ""en"", ""hi""))"),"प्यार और समर्थन बहता है")</f>
        <v>प्यार और समर्थन बहता है</v>
      </c>
      <c r="AF224" s="5" t="str">
        <f ca="1">IFERROR(__xludf.DUMMYFUNCTION("IF(AB224 = """", """", GOOGLETRANSLATE(AB224, ""en"", ""hi""))"),"कार्य योजना के अनुसार आगे बढ़ते हैं")</f>
        <v>कार्य योजना के अनुसार आगे बढ़ते हैं</v>
      </c>
      <c r="AG224" s="5" t="str">
        <f ca="1">IFERROR(__xludf.DUMMYFUNCTION("IF(Y224 = """", """", GOOGLETRANSLATE(Y224, ""en"", ""mr""))"),"वाणीवर नियंत्रण ठेवा")</f>
        <v>वाणीवर नियंत्रण ठेवा</v>
      </c>
      <c r="AH224" s="5" t="str">
        <f ca="1">IFERROR(__xludf.DUMMYFUNCTION("IF(Z224 = """", """", GOOGLETRANSLATE(Z224, ""en"", ""mr""))"),"प्रियजनांशी गैरसमज आणि वाद टाळा")</f>
        <v>प्रियजनांशी गैरसमज आणि वाद टाळा</v>
      </c>
      <c r="AI224" s="5" t="str">
        <f ca="1">IFERROR(__xludf.DUMMYFUNCTION("IF(AA224 = """", """", GOOGLETRANSLATE(AA224, ""en"", ""mr""))"),"प्रेम आणि समर्थन प्रवाह")</f>
        <v>प्रेम आणि समर्थन प्रवाह</v>
      </c>
      <c r="AJ224" s="5" t="str">
        <f ca="1">IFERROR(__xludf.DUMMYFUNCTION("IF(AB224 = """", """", GOOGLETRANSLATE(AB224, ""en"", ""mr""))"),"ठरल्याप्रमाणे कामे पुढे जातात")</f>
        <v>ठरल्याप्रमाणे कामे पुढे जातात</v>
      </c>
      <c r="AK224" s="5" t="str">
        <f ca="1">IFERROR(__xludf.DUMMYFUNCTION("IF(Y224 = """", """", GOOGLETRANSLATE(Y224, ""en"", ""gu""))"),"વાણી પર નિયંત્રણ રાખો")</f>
        <v>વાણી પર નિયંત્રણ રાખો</v>
      </c>
      <c r="AL224" s="5" t="str">
        <f ca="1">IFERROR(__xludf.DUMMYFUNCTION("IF(Z224 = """", """", GOOGLETRANSLATE(Z224, ""en"", ""gu""))"),"પ્રિયજનો સાથે ગેરસમજ અને દલીલો ટાળો")</f>
        <v>પ્રિયજનો સાથે ગેરસમજ અને દલીલો ટાળો</v>
      </c>
      <c r="AM224" s="5" t="str">
        <f ca="1">IFERROR(__xludf.DUMMYFUNCTION("IF(AA224 = """", """", GOOGLETRANSLATE(AA224, ""en"", ""gu""))"),"પ્રેમ અને સમર્થન વહે છે")</f>
        <v>પ્રેમ અને સમર્થન વહે છે</v>
      </c>
      <c r="AN224" s="5" t="str">
        <f ca="1">IFERROR(__xludf.DUMMYFUNCTION("IF(AB224 = """", """", GOOGLETRANSLATE(AB224, ""en"", ""gu""))"),"યોજના મુજબ કાર્યો આગળ વધો")</f>
        <v>યોજના મુજબ કાર્યો આગળ વધો</v>
      </c>
      <c r="AO224" s="5" t="str">
        <f ca="1">IFERROR(__xludf.DUMMYFUNCTION("IF(Y224 = """", """", GOOGLETRANSLATE(Y224, ""en"", ""bn""))"),"কথার উপর নিয়ন্ত্রণ রাখুন")</f>
        <v>কথার উপর নিয়ন্ত্রণ রাখুন</v>
      </c>
      <c r="AP224" s="5" t="str">
        <f ca="1">IFERROR(__xludf.DUMMYFUNCTION("IF(Z224 = """", """", GOOGLETRANSLATE(Z224, ""en"", ""bn""))"),"প্রিয়জনের সাথে ভুল বোঝাবুঝি এবং তর্ক এড়িয়ে চলুন")</f>
        <v>প্রিয়জনের সাথে ভুল বোঝাবুঝি এবং তর্ক এড়িয়ে চলুন</v>
      </c>
      <c r="AQ224" s="5" t="str">
        <f ca="1">IFERROR(__xludf.DUMMYFUNCTION("IF(AA224 = """", """", GOOGLETRANSLATE(AA224, ""en"", ""bn""))"),"প্রেম এবং সমর্থন প্রবাহিত")</f>
        <v>প্রেম এবং সমর্থন প্রবাহিত</v>
      </c>
      <c r="AR224" s="5" t="str">
        <f ca="1">IFERROR(__xludf.DUMMYFUNCTION("IF(AB224 = """", """", GOOGLETRANSLATE(AB224, ""en"", ""bn""))"),"পরিকল্পনা অনুযায়ী কাজ এগিয়ে")</f>
        <v>পরিকল্পনা অনুযায়ী কাজ এগিয়ে</v>
      </c>
      <c r="AU224" s="5" t="str">
        <f ca="1">IFERROR(__xludf.DUMMYFUNCTION("IF(Y224 = """", """", GOOGLETRANSLATE(Y224, ""en"", ""te""))"),"ప్రసంగంపై నియంత్రణ ఉంచుకోండి")</f>
        <v>ప్రసంగంపై నియంత్రణ ఉంచుకోండి</v>
      </c>
      <c r="AV224" s="5" t="str">
        <f ca="1">IFERROR(__xludf.DUMMYFUNCTION("IF(Z224 = """", """", GOOGLETRANSLATE(Z224, ""en"", ""te""))"),"ప్రియమైన వారితో అపార్థాలు మరియు వాదనలు మానుకోండి")</f>
        <v>ప్రియమైన వారితో అపార్థాలు మరియు వాదనలు మానుకోండి</v>
      </c>
      <c r="AW224" s="5" t="str">
        <f ca="1">IFERROR(__xludf.DUMMYFUNCTION("IF(AA224 = """", """", GOOGLETRANSLATE(AA224, ""en"", ""te""))"),"ప్రేమ &amp; మద్దతు ప్రవహిస్తుంది")</f>
        <v>ప్రేమ &amp; మద్దతు ప్రవహిస్తుంది</v>
      </c>
      <c r="AX224" s="5" t="str">
        <f ca="1">IFERROR(__xludf.DUMMYFUNCTION("IF(AB224 = """", """", GOOGLETRANSLATE(AB224, ""en"", ""te""))"),"అనుకున్న విధంగా పనులు సాగుతాయి")</f>
        <v>అనుకున్న విధంగా పనులు సాగుతాయి</v>
      </c>
    </row>
    <row r="225" spans="1:50" x14ac:dyDescent="0.25">
      <c r="A225" s="1">
        <v>240</v>
      </c>
      <c r="B225" s="1" t="s">
        <v>56</v>
      </c>
      <c r="C225" s="2">
        <v>45841</v>
      </c>
      <c r="D225" s="2">
        <v>45841</v>
      </c>
      <c r="E225" s="1">
        <v>3</v>
      </c>
      <c r="F225" s="1">
        <v>1</v>
      </c>
      <c r="G225" s="3" t="s">
        <v>658</v>
      </c>
      <c r="H225" s="4">
        <v>8.3680555555555557E-3</v>
      </c>
      <c r="I225" s="4">
        <v>1.9907407407407408E-3</v>
      </c>
      <c r="J225" s="4">
        <v>2.3726851851851851E-3</v>
      </c>
      <c r="K225" s="1"/>
      <c r="L225" s="1" t="s">
        <v>97</v>
      </c>
      <c r="M225" s="1" t="s">
        <v>61</v>
      </c>
      <c r="N225" s="1"/>
      <c r="O225" s="1" t="s">
        <v>61</v>
      </c>
      <c r="P225" s="1" t="s">
        <v>61</v>
      </c>
      <c r="Q225" s="1" t="s">
        <v>61</v>
      </c>
      <c r="R225" s="1" t="s">
        <v>61</v>
      </c>
      <c r="S225" s="1" t="s">
        <v>61</v>
      </c>
      <c r="T225" s="1" t="s">
        <v>91</v>
      </c>
      <c r="U225" s="1" t="s">
        <v>61</v>
      </c>
      <c r="V225" s="1" t="s">
        <v>91</v>
      </c>
      <c r="W225" s="1" t="s">
        <v>61</v>
      </c>
      <c r="X225" s="1" t="s">
        <v>61</v>
      </c>
      <c r="Y225" s="1" t="s">
        <v>667</v>
      </c>
      <c r="Z225" s="1" t="s">
        <v>668</v>
      </c>
      <c r="AA225" s="1" t="s">
        <v>669</v>
      </c>
      <c r="AB225" s="1"/>
      <c r="AC225" s="5" t="str">
        <f ca="1">IFERROR(__xludf.DUMMYFUNCTION("IF(Y225 = """", """", GOOGLETRANSLATE(Y225, ""en"", ""hi""))
"),"बुजुर्गों के स्वास्थ्य संबंधी मुद्दों पर ध्यान दें—सावधानी बरतें")</f>
        <v>बुजुर्गों के स्वास्थ्य संबंधी मुद्दों पर ध्यान दें—सावधानी बरतें</v>
      </c>
      <c r="AD225" s="5" t="str">
        <f ca="1">IFERROR(__xludf.DUMMYFUNCTION("IF(Z225 = """", """", GOOGLETRANSLATE(Z225, ""en"", ""hi""))"),"बच्चों से संबंधित अचानक तनाव की संभावना")</f>
        <v>बच्चों से संबंधित अचानक तनाव की संभावना</v>
      </c>
      <c r="AE225" s="5" t="str">
        <f ca="1">IFERROR(__xludf.DUMMYFUNCTION("IF(AA225 = """", """", GOOGLETRANSLATE(AA225, ""en"", ""hi""))"),"नियमित कर्तव्यों को शांतिपूर्वक पूरा करें")</f>
        <v>नियमित कर्तव्यों को शांतिपूर्वक पूरा करें</v>
      </c>
      <c r="AF225" s="5" t="str">
        <f ca="1">IFERROR(__xludf.DUMMYFUNCTION("IF(AB225 = """", """", GOOGLETRANSLATE(AB225, ""en"", ""hi""))"),"")</f>
        <v/>
      </c>
      <c r="AG225" s="5" t="str">
        <f ca="1">IFERROR(__xludf.DUMMYFUNCTION("IF(Y225 = """", """", GOOGLETRANSLATE(Y225, ""en"", ""mr""))"),"वृद्धांच्या आरोग्याच्या समस्या पहा - सावधगिरी बाळगा")</f>
        <v>वृद्धांच्या आरोग्याच्या समस्या पहा - सावधगिरी बाळगा</v>
      </c>
      <c r="AH225" s="5" t="str">
        <f ca="1">IFERROR(__xludf.DUMMYFUNCTION("IF(Z225 = """", """", GOOGLETRANSLATE(Z225, ""en"", ""mr""))"),"संभाव्य अचानक मुलाशी संबंधित तणाव")</f>
        <v>संभाव्य अचानक मुलाशी संबंधित तणाव</v>
      </c>
      <c r="AI225" s="5" t="str">
        <f ca="1">IFERROR(__xludf.DUMMYFUNCTION("IF(AA225 = """", """", GOOGLETRANSLATE(AA225, ""en"", ""mr""))"),"नित्य कर्तव्ये शांतपणे पूर्ण करा")</f>
        <v>नित्य कर्तव्ये शांतपणे पूर्ण करा</v>
      </c>
      <c r="AJ225" s="5" t="str">
        <f ca="1">IFERROR(__xludf.DUMMYFUNCTION("IF(AB225 = """", """", GOOGLETRANSLATE(AB225, ""en"", ""mr""))"),"")</f>
        <v/>
      </c>
      <c r="AK225" s="5" t="str">
        <f ca="1">IFERROR(__xludf.DUMMYFUNCTION("IF(Y225 = """", """", GOOGLETRANSLATE(Y225, ""en"", ""gu""))"),"વડીલ સ્વાસ્થ્ય સમસ્યાઓ જુઓ - સાવધાની રાખો")</f>
        <v>વડીલ સ્વાસ્થ્ય સમસ્યાઓ જુઓ - સાવધાની રાખો</v>
      </c>
      <c r="AL225" s="5" t="str">
        <f ca="1">IFERROR(__xludf.DUMMYFUNCTION("IF(Z225 = """", """", GOOGLETRANSLATE(Z225, ""en"", ""gu""))"),"સંભવિત અચાનક બાળક સંબંધિત તણાવ")</f>
        <v>સંભવિત અચાનક બાળક સંબંધિત તણાવ</v>
      </c>
      <c r="AM225" s="5" t="str">
        <f ca="1">IFERROR(__xludf.DUMMYFUNCTION("IF(AA225 = """", """", GOOGLETRANSLATE(AA225, ""en"", ""gu""))"),"નિયમિત ફરજો શાંતિથી પૂર્ણ કરો")</f>
        <v>નિયમિત ફરજો શાંતિથી પૂર્ણ કરો</v>
      </c>
      <c r="AN225" s="5" t="str">
        <f ca="1">IFERROR(__xludf.DUMMYFUNCTION("IF(AB225 = """", """", GOOGLETRANSLATE(AB225, ""en"", ""gu""))"),"")</f>
        <v/>
      </c>
      <c r="AO225" s="5" t="str">
        <f ca="1">IFERROR(__xludf.DUMMYFUNCTION("IF(Y225 = """", """", GOOGLETRANSLATE(Y225, ""en"", ""bn""))"),"বয়স্ক স্বাস্থ্য সমস্যাগুলি দেখুন - সতর্কতা অবলম্বন করুন")</f>
        <v>বয়স্ক স্বাস্থ্য সমস্যাগুলি দেখুন - সতর্কতা অবলম্বন করুন</v>
      </c>
      <c r="AP225" s="5" t="str">
        <f ca="1">IFERROR(__xludf.DUMMYFUNCTION("IF(Z225 = """", """", GOOGLETRANSLATE(Z225, ""en"", ""bn""))"),"সম্ভাব্য আকস্মিক সন্তান-সম্পর্কিত উত্তেজনা")</f>
        <v>সম্ভাব্য আকস্মিক সন্তান-সম্পর্কিত উত্তেজনা</v>
      </c>
      <c r="AQ225" s="5" t="str">
        <f ca="1">IFERROR(__xludf.DUMMYFUNCTION("IF(AA225 = """", """", GOOGLETRANSLATE(AA225, ""en"", ""bn""))"),"শান্তভাবে রুটিন দায়িত্ব সম্পূর্ণ করুন")</f>
        <v>শান্তভাবে রুটিন দায়িত্ব সম্পূর্ণ করুন</v>
      </c>
      <c r="AR225" s="5" t="str">
        <f ca="1">IFERROR(__xludf.DUMMYFUNCTION("IF(AB225 = """", """", GOOGLETRANSLATE(AB225, ""en"", ""bn""))"),"")</f>
        <v/>
      </c>
      <c r="AU225" s="5" t="str">
        <f ca="1">IFERROR(__xludf.DUMMYFUNCTION("IF(Y225 = """", """", GOOGLETRANSLATE(Y225, ""en"", ""te""))"),"పెద్దల ఆరోగ్య సమస్యలను చూడండి-జాగ్రత్తగా వ్యవహరించండి")</f>
        <v>పెద్దల ఆరోగ్య సమస్యలను చూడండి-జాగ్రత్తగా వ్యవహరించండి</v>
      </c>
      <c r="AV225" s="5" t="str">
        <f ca="1">IFERROR(__xludf.DUMMYFUNCTION("IF(Z225 = """", """", GOOGLETRANSLATE(Z225, ""en"", ""te""))"),"పిల్లలకి సంబంధించిన ఆకస్మిక ఒత్తిడికి అవకాశం")</f>
        <v>పిల్లలకి సంబంధించిన ఆకస్మిక ఒత్తిడికి అవకాశం</v>
      </c>
      <c r="AW225" s="5" t="str">
        <f ca="1">IFERROR(__xludf.DUMMYFUNCTION("IF(AA225 = """", """", GOOGLETRANSLATE(AA225, ""en"", ""te""))"),"సాధారణ విధులను ప్రశాంతంగా పూర్తి చేయండి")</f>
        <v>సాధారణ విధులను ప్రశాంతంగా పూర్తి చేయండి</v>
      </c>
      <c r="AX225" s="5" t="str">
        <f ca="1">IFERROR(__xludf.DUMMYFUNCTION("IF(AB225 = """", """", GOOGLETRANSLATE(AB225, ""en"", ""te""))"),"")</f>
        <v/>
      </c>
    </row>
    <row r="226" spans="1:50" x14ac:dyDescent="0.25">
      <c r="A226" s="1">
        <v>241</v>
      </c>
      <c r="B226" s="1" t="s">
        <v>56</v>
      </c>
      <c r="C226" s="2">
        <v>45841</v>
      </c>
      <c r="D226" s="2">
        <v>45841</v>
      </c>
      <c r="E226" s="1">
        <v>4</v>
      </c>
      <c r="F226" s="1">
        <v>1</v>
      </c>
      <c r="G226" s="3" t="s">
        <v>658</v>
      </c>
      <c r="H226" s="4">
        <v>8.3680555555555557E-3</v>
      </c>
      <c r="I226" s="4">
        <v>2.3726851851851851E-3</v>
      </c>
      <c r="J226" s="4">
        <v>2.7662037037037039E-3</v>
      </c>
      <c r="K226" s="1"/>
      <c r="L226" s="1" t="s">
        <v>102</v>
      </c>
      <c r="M226" s="1" t="s">
        <v>61</v>
      </c>
      <c r="N226" s="1"/>
      <c r="O226" s="1" t="s">
        <v>91</v>
      </c>
      <c r="P226" s="1" t="s">
        <v>61</v>
      </c>
      <c r="Q226" s="1" t="s">
        <v>61</v>
      </c>
      <c r="R226" s="1" t="s">
        <v>61</v>
      </c>
      <c r="S226" s="1" t="s">
        <v>61</v>
      </c>
      <c r="T226" s="1" t="s">
        <v>61</v>
      </c>
      <c r="U226" s="1" t="s">
        <v>61</v>
      </c>
      <c r="V226" s="1" t="s">
        <v>61</v>
      </c>
      <c r="W226" s="1" t="s">
        <v>61</v>
      </c>
      <c r="X226" s="1" t="s">
        <v>91</v>
      </c>
      <c r="Y226" s="1" t="s">
        <v>670</v>
      </c>
      <c r="Z226" s="1" t="s">
        <v>671</v>
      </c>
      <c r="AA226" s="1" t="s">
        <v>672</v>
      </c>
      <c r="AB226" s="1" t="s">
        <v>673</v>
      </c>
      <c r="AC226" s="5" t="str">
        <f ca="1">IFERROR(__xludf.DUMMYFUNCTION("IF(Y226 = """", """", GOOGLETRANSLATE(Y226, ""en"", ""hi""))
"),"भारी कार्यभार बना रहता है")</f>
        <v>भारी कार्यभार बना रहता है</v>
      </c>
      <c r="AD226" s="5" t="str">
        <f ca="1">IFERROR(__xludf.DUMMYFUNCTION("IF(Z226 = """", """", GOOGLETRANSLATE(Z226, ""en"", ""hi""))"),"योजना और प्रयास से काबू पाएं")</f>
        <v>योजना और प्रयास से काबू पाएं</v>
      </c>
      <c r="AE226" s="5" t="str">
        <f ca="1">IFERROR(__xludf.DUMMYFUNCTION("IF(AA226 = """", """", GOOGLETRANSLATE(AA226, ""en"", ""hi""))"),"पूरे सप्ताह नए करियर के अवसर")</f>
        <v>पूरे सप्ताह नए करियर के अवसर</v>
      </c>
      <c r="AF226" s="5" t="str">
        <f ca="1">IFERROR(__xludf.DUMMYFUNCTION("IF(AB226 = """", """", GOOGLETRANSLATE(AB226, ""en"", ""hi""))"),"प्रतिष्ठा में वृद्धि")</f>
        <v>प्रतिष्ठा में वृद्धि</v>
      </c>
      <c r="AG226" s="5" t="str">
        <f ca="1">IFERROR(__xludf.DUMMYFUNCTION("IF(Y226 = """", """", GOOGLETRANSLATE(Y226, ""en"", ""mr""))"),"कामाचा प्रचंड भार कायम आहे")</f>
        <v>कामाचा प्रचंड भार कायम आहे</v>
      </c>
      <c r="AH226" s="5" t="str">
        <f ca="1">IFERROR(__xludf.DUMMYFUNCTION("IF(Z226 = """", """", GOOGLETRANSLATE(Z226, ""en"", ""mr""))"),"नियोजन आणि प्रयत्नातून मात करा")</f>
        <v>नियोजन आणि प्रयत्नातून मात करा</v>
      </c>
      <c r="AI226" s="5" t="str">
        <f ca="1">IFERROR(__xludf.DUMMYFUNCTION("IF(AA226 = """", """", GOOGLETRANSLATE(AA226, ""en"", ""mr""))"),"आठवडाभर नवीन करिअरच्या संधी")</f>
        <v>आठवडाभर नवीन करिअरच्या संधी</v>
      </c>
      <c r="AJ226" s="5" t="str">
        <f ca="1">IFERROR(__xludf.DUMMYFUNCTION("IF(AB226 = """", """", GOOGLETRANSLATE(AB226, ""en"", ""mr""))"),"प्रतिष्ठा वाढवा")</f>
        <v>प्रतिष्ठा वाढवा</v>
      </c>
      <c r="AK226" s="5" t="str">
        <f ca="1">IFERROR(__xludf.DUMMYFUNCTION("IF(Y226 = """", """", GOOGLETRANSLATE(Y226, ""en"", ""gu""))"),"ભારે કામનું ભારણ રહે છે")</f>
        <v>ભારે કામનું ભારણ રહે છે</v>
      </c>
      <c r="AL226" s="5" t="str">
        <f ca="1">IFERROR(__xludf.DUMMYFUNCTION("IF(Z226 = """", """", GOOGLETRANSLATE(Z226, ""en"", ""gu""))"),"આયોજન અને પ્રયત્નો દ્વારા કાબુ મેળવો")</f>
        <v>આયોજન અને પ્રયત્નો દ્વારા કાબુ મેળવો</v>
      </c>
      <c r="AM226" s="5" t="str">
        <f ca="1">IFERROR(__xludf.DUMMYFUNCTION("IF(AA226 = """", """", GOOGLETRANSLATE(AA226, ""en"", ""gu""))"),"આખું સપ્તાહ કારકિર્દીની નવી તકો")</f>
        <v>આખું સપ્તાહ કારકિર્દીની નવી તકો</v>
      </c>
      <c r="AN226" s="5" t="str">
        <f ca="1">IFERROR(__xludf.DUMMYFUNCTION("IF(AB226 = """", """", GOOGLETRANSLATE(AB226, ""en"", ""gu""))"),"પ્રતિષ્ઠામાં વધારો")</f>
        <v>પ્રતિષ્ઠામાં વધારો</v>
      </c>
      <c r="AO226" s="5" t="str">
        <f ca="1">IFERROR(__xludf.DUMMYFUNCTION("IF(Y226 = """", """", GOOGLETRANSLATE(Y226, ""en"", ""bn""))"),"ভারী কাজের চাপ থাকে")</f>
        <v>ভারী কাজের চাপ থাকে</v>
      </c>
      <c r="AP226" s="5" t="str">
        <f ca="1">IFERROR(__xludf.DUMMYFUNCTION("IF(Z226 = """", """", GOOGLETRANSLATE(Z226, ""en"", ""bn""))"),"পরিকল্পনা এবং প্রচেষ্টার মাধ্যমে পরাস্ত")</f>
        <v>পরিকল্পনা এবং প্রচেষ্টার মাধ্যমে পরাস্ত</v>
      </c>
      <c r="AQ226" s="5" t="str">
        <f ca="1">IFERROR(__xludf.DUMMYFUNCTION("IF(AA226 = """", """", GOOGLETRANSLATE(AA226, ""en"", ""bn""))"),"সারা সপ্তাহে নতুন কর্মজীবনের সুযোগ")</f>
        <v>সারা সপ্তাহে নতুন কর্মজীবনের সুযোগ</v>
      </c>
      <c r="AR226" s="5" t="str">
        <f ca="1">IFERROR(__xludf.DUMMYFUNCTION("IF(AB226 = """", """", GOOGLETRANSLATE(AB226, ""en"", ""bn""))"),"খ্যাতি বৃদ্ধি করুন")</f>
        <v>খ্যাতি বৃদ্ধি করুন</v>
      </c>
      <c r="AU226" s="5" t="str">
        <f ca="1">IFERROR(__xludf.DUMMYFUNCTION("IF(Y226 = """", """", GOOGLETRANSLATE(Y226, ""en"", ""te""))"),"అధిక పని భారం కొనసాగుతుంది")</f>
        <v>అధిక పని భారం కొనసాగుతుంది</v>
      </c>
      <c r="AV226" s="5" t="str">
        <f ca="1">IFERROR(__xludf.DUMMYFUNCTION("IF(Z226 = """", """", GOOGLETRANSLATE(Z226, ""en"", ""te""))"),"ప్రణాళిక మరియు ప్రయత్నం ద్వారా అధిగమించండి")</f>
        <v>ప్రణాళిక మరియు ప్రయత్నం ద్వారా అధిగమించండి</v>
      </c>
      <c r="AW226" s="5" t="str">
        <f ca="1">IFERROR(__xludf.DUMMYFUNCTION("IF(AA226 = """", """", GOOGLETRANSLATE(AA226, ""en"", ""te""))"),"వారమంతా కొత్త కెరీర్ అవకాశాలు")</f>
        <v>వారమంతా కొత్త కెరీర్ అవకాశాలు</v>
      </c>
      <c r="AX226" s="5" t="str">
        <f ca="1">IFERROR(__xludf.DUMMYFUNCTION("IF(AB226 = """", """", GOOGLETRANSLATE(AB226, ""en"", ""te""))"),"కీర్తి ప్రతిష్టలు పెరుగుతాయి")</f>
        <v>కీర్తి ప్రతిష్టలు పెరుగుతాయి</v>
      </c>
    </row>
    <row r="227" spans="1:50" x14ac:dyDescent="0.25">
      <c r="A227" s="1">
        <v>242</v>
      </c>
      <c r="B227" s="1" t="s">
        <v>56</v>
      </c>
      <c r="C227" s="2">
        <v>45841</v>
      </c>
      <c r="D227" s="2">
        <v>45841</v>
      </c>
      <c r="E227" s="1">
        <v>5</v>
      </c>
      <c r="F227" s="1">
        <v>1</v>
      </c>
      <c r="G227" s="3" t="s">
        <v>658</v>
      </c>
      <c r="H227" s="4">
        <v>8.3680555555555557E-3</v>
      </c>
      <c r="I227" s="4">
        <v>2.7662037037037039E-3</v>
      </c>
      <c r="J227" s="4">
        <v>3.2754629629629631E-3</v>
      </c>
      <c r="K227" s="1"/>
      <c r="L227" s="1" t="s">
        <v>108</v>
      </c>
      <c r="M227" s="1" t="s">
        <v>61</v>
      </c>
      <c r="N227" s="1"/>
      <c r="O227" s="1" t="s">
        <v>91</v>
      </c>
      <c r="P227" s="1" t="s">
        <v>61</v>
      </c>
      <c r="Q227" s="1" t="s">
        <v>61</v>
      </c>
      <c r="R227" s="1" t="s">
        <v>61</v>
      </c>
      <c r="S227" s="1" t="s">
        <v>61</v>
      </c>
      <c r="T227" s="1" t="s">
        <v>61</v>
      </c>
      <c r="U227" s="1" t="s">
        <v>61</v>
      </c>
      <c r="V227" s="1" t="s">
        <v>91</v>
      </c>
      <c r="W227" s="1" t="s">
        <v>61</v>
      </c>
      <c r="X227" s="1" t="s">
        <v>61</v>
      </c>
      <c r="Y227" s="1" t="s">
        <v>674</v>
      </c>
      <c r="Z227" s="1" t="s">
        <v>675</v>
      </c>
      <c r="AA227" s="1" t="s">
        <v>676</v>
      </c>
      <c r="AB227" s="1" t="s">
        <v>677</v>
      </c>
      <c r="AC227" s="5" t="str">
        <f ca="1">IFERROR(__xludf.DUMMYFUNCTION("IF(Y227 = """", """", GOOGLETRANSLATE(Y227, ""en"", ""hi""))
"),"कैरियर के अवसर उत्पन्न होते हैं")</f>
        <v>कैरियर के अवसर उत्पन्न होते हैं</v>
      </c>
      <c r="AD227" s="5" t="str">
        <f ca="1">IFERROR(__xludf.DUMMYFUNCTION("IF(Z227 = """", """", GOOGLETRANSLATE(Z227, ""en"", ""hi""))"),"लंबे समय से लंबित कार्यों को पूरा करें")</f>
        <v>लंबे समय से लंबित कार्यों को पूरा करें</v>
      </c>
      <c r="AE227" s="5" t="str">
        <f ca="1">IFERROR(__xludf.DUMMYFUNCTION("IF(AA227 = """", """", GOOGLETRANSLATE(AA227, ""en"", ""hi""))"),"छोटे सामाजिक कार्यों पर नज़र रखें")</f>
        <v>छोटे सामाजिक कार्यों पर नज़र रखें</v>
      </c>
      <c r="AF227" s="5" t="str">
        <f ca="1">IFERROR(__xludf.DUMMYFUNCTION("IF(AB227 = """", """", GOOGLETRANSLATE(AB227, ""en"", ""hi""))"),"पारिवारिक खर्च")</f>
        <v>पारिवारिक खर्च</v>
      </c>
      <c r="AG227" s="5" t="str">
        <f ca="1">IFERROR(__xludf.DUMMYFUNCTION("IF(Y227 = """", """", GOOGLETRANSLATE(Y227, ""en"", ""mr""))"),"करिअरच्या संधी निर्माण होतात")</f>
        <v>करिअरच्या संधी निर्माण होतात</v>
      </c>
      <c r="AH227" s="5" t="str">
        <f ca="1">IFERROR(__xludf.DUMMYFUNCTION("IF(Z227 = """", """", GOOGLETRANSLATE(Z227, ""en"", ""mr""))"),"प्रदीर्घ प्रलंबित कामे मार्गी लावा")</f>
        <v>प्रदीर्घ प्रलंबित कामे मार्गी लावा</v>
      </c>
      <c r="AI227" s="5" t="str">
        <f ca="1">IFERROR(__xludf.DUMMYFUNCTION("IF(AA227 = """", """", GOOGLETRANSLATE(AA227, ""en"", ""mr""))"),"लहान सामाजिक साठी पहा")</f>
        <v>लहान सामाजिक साठी पहा</v>
      </c>
      <c r="AJ227" s="5" t="str">
        <f ca="1">IFERROR(__xludf.DUMMYFUNCTION("IF(AB227 = """", """", GOOGLETRANSLATE(AB227, ""en"", ""mr""))"),"कौटुंबिक खर्च")</f>
        <v>कौटुंबिक खर्च</v>
      </c>
      <c r="AK227" s="5" t="str">
        <f ca="1">IFERROR(__xludf.DUMMYFUNCTION("IF(Y227 = """", """", GOOGLETRANSLATE(Y227, ""en"", ""gu""))"),"કરિયરની તકો ઊભી થાય")</f>
        <v>કરિયરની તકો ઊભી થાય</v>
      </c>
      <c r="AL227" s="5" t="str">
        <f ca="1">IFERROR(__xludf.DUMMYFUNCTION("IF(Z227 = """", """", GOOGLETRANSLATE(Z227, ""en"", ""gu""))"),"લાંબા સમયથી બાકી રહેલા કાર્યોને ટિક કરો")</f>
        <v>લાંબા સમયથી બાકી રહેલા કાર્યોને ટિક કરો</v>
      </c>
      <c r="AM227" s="5" t="str">
        <f ca="1">IFERROR(__xludf.DUMMYFUNCTION("IF(AA227 = """", """", GOOGLETRANSLATE(AA227, ""en"", ""gu""))"),"નાના સામાજિક માટે જુઓ")</f>
        <v>નાના સામાજિક માટે જુઓ</v>
      </c>
      <c r="AN227" s="5" t="str">
        <f ca="1">IFERROR(__xludf.DUMMYFUNCTION("IF(AB227 = """", """", GOOGLETRANSLATE(AB227, ""en"", ""gu""))"),"કૌટુંબિક ખર્ચ")</f>
        <v>કૌટુંબિક ખર્ચ</v>
      </c>
      <c r="AO227" s="5" t="str">
        <f ca="1">IFERROR(__xludf.DUMMYFUNCTION("IF(Y227 = """", """", GOOGLETRANSLATE(Y227, ""en"", ""bn""))"),"ক্যারিয়ারের সুযোগ তৈরি হয়")</f>
        <v>ক্যারিয়ারের সুযোগ তৈরি হয়</v>
      </c>
      <c r="AP227" s="5" t="str">
        <f ca="1">IFERROR(__xludf.DUMMYFUNCTION("IF(Z227 = """", """", GOOGLETRANSLATE(Z227, ""en"", ""bn""))"),"দীর্ঘদিনের অমীমাংসিত কাজগুলি বন্ধ করুন")</f>
        <v>দীর্ঘদিনের অমীমাংসিত কাজগুলি বন্ধ করুন</v>
      </c>
      <c r="AQ227" s="5" t="str">
        <f ca="1">IFERROR(__xludf.DUMMYFUNCTION("IF(AA227 = """", """", GOOGLETRANSLATE(AA227, ""en"", ""bn""))"),"ছোট সামাজিক জন্য দেখুন")</f>
        <v>ছোট সামাজিক জন্য দেখুন</v>
      </c>
      <c r="AR227" s="5" t="str">
        <f ca="1">IFERROR(__xludf.DUMMYFUNCTION("IF(AB227 = """", """", GOOGLETRANSLATE(AB227, ""en"", ""bn""))"),"পারিবারিক খরচ")</f>
        <v>পারিবারিক খরচ</v>
      </c>
      <c r="AU227" s="5" t="str">
        <f ca="1">IFERROR(__xludf.DUMMYFUNCTION("IF(Y227 = """", """", GOOGLETRANSLATE(Y227, ""en"", ""te""))"),"ఉద్యోగావకాశాలు లభిస్తాయి")</f>
        <v>ఉద్యోగావకాశాలు లభిస్తాయి</v>
      </c>
      <c r="AV227" s="5" t="str">
        <f ca="1">IFERROR(__xludf.DUMMYFUNCTION("IF(Z227 = """", """", GOOGLETRANSLATE(Z227, ""en"", ""te""))"),"దీర్ఘకాలంగా పెండింగ్‌లో ఉన్న పనులకు చెక్ పెట్టండి")</f>
        <v>దీర్ఘకాలంగా పెండింగ్‌లో ఉన్న పనులకు చెక్ పెట్టండి</v>
      </c>
      <c r="AW227" s="5" t="str">
        <f ca="1">IFERROR(__xludf.DUMMYFUNCTION("IF(AA227 = """", """", GOOGLETRANSLATE(AA227, ""en"", ""te""))"),"చిన్న సామాజిక కోసం చూడండి")</f>
        <v>చిన్న సామాజిక కోసం చూడండి</v>
      </c>
      <c r="AX227" s="5" t="str">
        <f ca="1">IFERROR(__xludf.DUMMYFUNCTION("IF(AB227 = """", """", GOOGLETRANSLATE(AB227, ""en"", ""te""))"),"కుటుంబ ఖర్చులు")</f>
        <v>కుటుంబ ఖర్చులు</v>
      </c>
    </row>
    <row r="228" spans="1:50" x14ac:dyDescent="0.25">
      <c r="A228" s="1">
        <v>243</v>
      </c>
      <c r="B228" s="1" t="s">
        <v>56</v>
      </c>
      <c r="C228" s="2">
        <v>45841</v>
      </c>
      <c r="D228" s="2">
        <v>45841</v>
      </c>
      <c r="E228" s="1">
        <v>6</v>
      </c>
      <c r="F228" s="1">
        <v>1</v>
      </c>
      <c r="G228" s="3" t="s">
        <v>658</v>
      </c>
      <c r="H228" s="4">
        <v>8.3680555555555557E-3</v>
      </c>
      <c r="I228" s="4">
        <v>3.2754629629629631E-3</v>
      </c>
      <c r="J228" s="4">
        <v>3.5185185185185185E-3</v>
      </c>
      <c r="K228" s="1"/>
      <c r="L228" s="1" t="s">
        <v>113</v>
      </c>
      <c r="M228" s="1" t="s">
        <v>61</v>
      </c>
      <c r="N228" s="1"/>
      <c r="O228" s="1" t="s">
        <v>91</v>
      </c>
      <c r="P228" s="1" t="s">
        <v>61</v>
      </c>
      <c r="Q228" s="1" t="s">
        <v>61</v>
      </c>
      <c r="R228" s="1" t="s">
        <v>61</v>
      </c>
      <c r="S228" s="1" t="s">
        <v>61</v>
      </c>
      <c r="T228" s="1" t="s">
        <v>61</v>
      </c>
      <c r="U228" s="1" t="s">
        <v>61</v>
      </c>
      <c r="V228" s="1" t="s">
        <v>61</v>
      </c>
      <c r="W228" s="1" t="s">
        <v>61</v>
      </c>
      <c r="X228" s="1" t="s">
        <v>91</v>
      </c>
      <c r="Y228" s="1" t="s">
        <v>678</v>
      </c>
      <c r="Z228" s="1" t="s">
        <v>679</v>
      </c>
      <c r="AA228" s="1"/>
      <c r="AB228" s="1"/>
      <c r="AC228" s="5" t="str">
        <f ca="1">IFERROR(__xludf.DUMMYFUNCTION("IF(Y228 = """", """", GOOGLETRANSLATE(Y228, ""en"", ""hi""))
"),"सामान्य से अधिक कार्यभार के साथ बहुत व्यस्त दिन")</f>
        <v>सामान्य से अधिक कार्यभार के साथ बहुत व्यस्त दिन</v>
      </c>
      <c r="AD228" s="5" t="str">
        <f ca="1">IFERROR(__xludf.DUMMYFUNCTION("IF(Z228 = """", """", GOOGLETRANSLATE(Z228, ""en"", ""hi""))"),"सब कुछ ख़त्म कर लेंगे लेकिन शाम को थकान की उम्मीद है")</f>
        <v>सब कुछ ख़त्म कर लेंगे लेकिन शाम को थकान की उम्मीद है</v>
      </c>
      <c r="AE228" s="5" t="str">
        <f ca="1">IFERROR(__xludf.DUMMYFUNCTION("IF(AA228 = """", """", GOOGLETRANSLATE(AA228, ""en"", ""hi""))"),"")</f>
        <v/>
      </c>
      <c r="AF228" s="5" t="str">
        <f ca="1">IFERROR(__xludf.DUMMYFUNCTION("IF(AB228 = """", """", GOOGLETRANSLATE(AB228, ""en"", ""hi""))"),"")</f>
        <v/>
      </c>
      <c r="AG228" s="5" t="str">
        <f ca="1">IFERROR(__xludf.DUMMYFUNCTION("IF(Y228 = """", """", GOOGLETRANSLATE(Y228, ""en"", ""mr""))"),"सामान्य-अधिक वर्कलोडसह खूप व्यस्त दिवस")</f>
        <v>सामान्य-अधिक वर्कलोडसह खूप व्यस्त दिवस</v>
      </c>
      <c r="AH228" s="5" t="str">
        <f ca="1">IFERROR(__xludf.DUMMYFUNCTION("IF(Z228 = """", """", GOOGLETRANSLATE(Z228, ""en"", ""mr""))"),"सर्व काही संपेल पण संध्याकाळचा थकवा अपेक्षित आहे")</f>
        <v>सर्व काही संपेल पण संध्याकाळचा थकवा अपेक्षित आहे</v>
      </c>
      <c r="AI228" s="5" t="str">
        <f ca="1">IFERROR(__xludf.DUMMYFUNCTION("IF(AA228 = """", """", GOOGLETRANSLATE(AA228, ""en"", ""mr""))"),"")</f>
        <v/>
      </c>
      <c r="AJ228" s="5" t="str">
        <f ca="1">IFERROR(__xludf.DUMMYFUNCTION("IF(AB228 = """", """", GOOGLETRANSLATE(AB228, ""en"", ""mr""))"),"")</f>
        <v/>
      </c>
      <c r="AK228" s="5" t="str">
        <f ca="1">IFERROR(__xludf.DUMMYFUNCTION("IF(Y228 = """", """", GOOGLETRANSLATE(Y228, ""en"", ""gu""))"),"સામાન્ય-વત્તા કામના ભારણ સાથે ખૂબ જ વ્યસ્ત દિવસ")</f>
        <v>સામાન્ય-વત્તા કામના ભારણ સાથે ખૂબ જ વ્યસ્ત દિવસ</v>
      </c>
      <c r="AL228" s="5" t="str">
        <f ca="1">IFERROR(__xludf.DUMMYFUNCTION("IF(Z228 = """", """", GOOGLETRANSLATE(Z228, ""en"", ""gu""))"),"બધું પૂરું કરશે પણ સાંજના થાકની અપેક્ષા છે")</f>
        <v>બધું પૂરું કરશે પણ સાંજના થાકની અપેક્ષા છે</v>
      </c>
      <c r="AM228" s="5" t="str">
        <f ca="1">IFERROR(__xludf.DUMMYFUNCTION("IF(AA228 = """", """", GOOGLETRANSLATE(AA228, ""en"", ""gu""))"),"")</f>
        <v/>
      </c>
      <c r="AN228" s="5" t="str">
        <f ca="1">IFERROR(__xludf.DUMMYFUNCTION("IF(AB228 = """", """", GOOGLETRANSLATE(AB228, ""en"", ""gu""))"),"")</f>
        <v/>
      </c>
      <c r="AO228" s="5" t="str">
        <f ca="1">IFERROR(__xludf.DUMMYFUNCTION("IF(Y228 = """", """", GOOGLETRANSLATE(Y228, ""en"", ""bn""))"),"স্বাভাবিক-প্লাস কাজের চাপ সহ খুব ব্যস্ত দিন")</f>
        <v>স্বাভাবিক-প্লাস কাজের চাপ সহ খুব ব্যস্ত দিন</v>
      </c>
      <c r="AP228" s="5" t="str">
        <f ca="1">IFERROR(__xludf.DUMMYFUNCTION("IF(Z228 = """", """", GOOGLETRANSLATE(Z228, ""en"", ""bn""))"),"সব শেষ করবে কিন্তু সন্ধ্যার ক্লান্তি আশা করবে")</f>
        <v>সব শেষ করবে কিন্তু সন্ধ্যার ক্লান্তি আশা করবে</v>
      </c>
      <c r="AQ228" s="5" t="str">
        <f ca="1">IFERROR(__xludf.DUMMYFUNCTION("IF(AA228 = """", """", GOOGLETRANSLATE(AA228, ""en"", ""bn""))"),"")</f>
        <v/>
      </c>
      <c r="AR228" s="5" t="str">
        <f ca="1">IFERROR(__xludf.DUMMYFUNCTION("IF(AB228 = """", """", GOOGLETRANSLATE(AB228, ""en"", ""bn""))"),"")</f>
        <v/>
      </c>
      <c r="AU228" s="5" t="str">
        <f ca="1">IFERROR(__xludf.DUMMYFUNCTION("IF(Y228 = """", """", GOOGLETRANSLATE(Y228, ""en"", ""te""))"),"సాధారణ మరియు పనిభారంతో చాలా బిజీగా ఉండే రోజు")</f>
        <v>సాధారణ మరియు పనిభారంతో చాలా బిజీగా ఉండే రోజు</v>
      </c>
      <c r="AV228" s="5" t="str">
        <f ca="1">IFERROR(__xludf.DUMMYFUNCTION("IF(Z228 = """", """", GOOGLETRANSLATE(Z228, ""en"", ""te""))"),"ప్రతిదీ పూర్తి చేస్తుంది కానీ సాయంత్రం అలసటను ఆశించవచ్చు")</f>
        <v>ప్రతిదీ పూర్తి చేస్తుంది కానీ సాయంత్రం అలసటను ఆశించవచ్చు</v>
      </c>
      <c r="AW228" s="5" t="str">
        <f ca="1">IFERROR(__xludf.DUMMYFUNCTION("IF(AA228 = """", """", GOOGLETRANSLATE(AA228, ""en"", ""te""))"),"")</f>
        <v/>
      </c>
      <c r="AX228" s="5" t="str">
        <f ca="1">IFERROR(__xludf.DUMMYFUNCTION("IF(AB228 = """", """", GOOGLETRANSLATE(AB228, ""en"", ""te""))"),"")</f>
        <v/>
      </c>
    </row>
    <row r="229" spans="1:50" x14ac:dyDescent="0.25">
      <c r="A229" s="1">
        <v>244</v>
      </c>
      <c r="B229" s="1" t="s">
        <v>56</v>
      </c>
      <c r="C229" s="2">
        <v>45841</v>
      </c>
      <c r="D229" s="2">
        <v>45841</v>
      </c>
      <c r="E229" s="1">
        <v>7</v>
      </c>
      <c r="F229" s="1">
        <v>1</v>
      </c>
      <c r="G229" s="3" t="s">
        <v>658</v>
      </c>
      <c r="H229" s="4">
        <v>8.3680555555555557E-3</v>
      </c>
      <c r="I229" s="4">
        <v>3.5185185185185185E-3</v>
      </c>
      <c r="J229" s="4">
        <v>4.363425925925926E-3</v>
      </c>
      <c r="K229" s="1"/>
      <c r="L229" s="1" t="s">
        <v>64</v>
      </c>
      <c r="M229" s="1" t="s">
        <v>61</v>
      </c>
      <c r="N229" s="1"/>
      <c r="O229" s="1" t="s">
        <v>61</v>
      </c>
      <c r="P229" s="1" t="s">
        <v>61</v>
      </c>
      <c r="Q229" s="1" t="s">
        <v>61</v>
      </c>
      <c r="R229" s="1" t="s">
        <v>61</v>
      </c>
      <c r="S229" s="1" t="s">
        <v>61</v>
      </c>
      <c r="T229" s="1" t="s">
        <v>91</v>
      </c>
      <c r="U229" s="1" t="s">
        <v>61</v>
      </c>
      <c r="V229" s="1" t="s">
        <v>91</v>
      </c>
      <c r="W229" s="1" t="s">
        <v>61</v>
      </c>
      <c r="X229" s="1" t="s">
        <v>61</v>
      </c>
      <c r="Y229" s="1" t="s">
        <v>680</v>
      </c>
      <c r="Z229" s="1" t="s">
        <v>681</v>
      </c>
      <c r="AA229" s="1" t="s">
        <v>682</v>
      </c>
      <c r="AB229" s="1"/>
      <c r="AC229" s="5" t="str">
        <f ca="1">IFERROR(__xludf.DUMMYFUNCTION("IF(Y229 = """", """", GOOGLETRANSLATE(Y229, ""en"", ""hi""))
"),"परिणामों के योजनाओं के विरुद्ध जाने की अपेक्षा करें")</f>
        <v>परिणामों के योजनाओं के विरुद्ध जाने की अपेक्षा करें</v>
      </c>
      <c r="AD229" s="5" t="str">
        <f ca="1">IFERROR(__xludf.DUMMYFUNCTION("IF(Z229 = """", """", GOOGLETRANSLATE(Z229, ""en"", ""hi""))"),"जोखिम लेने या बड़े निर्णय लेने से बचें")</f>
        <v>जोखिम लेने या बड़े निर्णय लेने से बचें</v>
      </c>
      <c r="AE229" s="5" t="str">
        <f ca="1">IFERROR(__xludf.DUMMYFUNCTION("IF(AA229 = """", """", GOOGLETRANSLATE(AA229, ""en"", ""hi""))"),"नियमित कार्यों को शांतिपूर्वक करते रहें")</f>
        <v>नियमित कार्यों को शांतिपूर्वक करते रहें</v>
      </c>
      <c r="AF229" s="5" t="str">
        <f ca="1">IFERROR(__xludf.DUMMYFUNCTION("IF(AB229 = """", """", GOOGLETRANSLATE(AB229, ""en"", ""hi""))"),"")</f>
        <v/>
      </c>
      <c r="AG229" s="5" t="str">
        <f ca="1">IFERROR(__xludf.DUMMYFUNCTION("IF(Y229 = """", """", GOOGLETRANSLATE(Y229, ""en"", ""mr""))"),"योजनांच्या विरोधात परिणाम होण्याची अपेक्षा करा")</f>
        <v>योजनांच्या विरोधात परिणाम होण्याची अपेक्षा करा</v>
      </c>
      <c r="AH229" s="5" t="str">
        <f ca="1">IFERROR(__xludf.DUMMYFUNCTION("IF(Z229 = """", """", GOOGLETRANSLATE(Z229, ""en"", ""mr""))"),"जोखीम घेणे किंवा मोठे निर्णय घेणे टाळा")</f>
        <v>जोखीम घेणे किंवा मोठे निर्णय घेणे टाळा</v>
      </c>
      <c r="AI229" s="5" t="str">
        <f ca="1">IFERROR(__xludf.DUMMYFUNCTION("IF(AA229 = """", """", GOOGLETRANSLATE(AA229, ""en"", ""mr""))"),"नेहमीच्या कामांना शांतपणे चिकटून राहा")</f>
        <v>नेहमीच्या कामांना शांतपणे चिकटून राहा</v>
      </c>
      <c r="AJ229" s="5" t="str">
        <f ca="1">IFERROR(__xludf.DUMMYFUNCTION("IF(AB229 = """", """", GOOGLETRANSLATE(AB229, ""en"", ""mr""))"),"")</f>
        <v/>
      </c>
      <c r="AK229" s="5" t="str">
        <f ca="1">IFERROR(__xludf.DUMMYFUNCTION("IF(Y229 = """", """", GOOGLETRANSLATE(Y229, ""en"", ""gu""))"),"યોજનાઓ વિરુદ્ધ પરિણામોની અપેક્ષા રાખો")</f>
        <v>યોજનાઓ વિરુદ્ધ પરિણામોની અપેક્ષા રાખો</v>
      </c>
      <c r="AL229" s="5" t="str">
        <f ca="1">IFERROR(__xludf.DUMMYFUNCTION("IF(Z229 = """", """", GOOGLETRANSLATE(Z229, ""en"", ""gu""))"),"જોખમ લેવાનું કે મોટા નિર્ણયો લેવાનું ટાળો")</f>
        <v>જોખમ લેવાનું કે મોટા નિર્ણયો લેવાનું ટાળો</v>
      </c>
      <c r="AM229" s="5" t="str">
        <f ca="1">IFERROR(__xludf.DUMMYFUNCTION("IF(AA229 = """", """", GOOGLETRANSLATE(AA229, ""en"", ""gu""))"),"નિયમિત કાર્યોને શાંતિથી વળગી રહો")</f>
        <v>નિયમિત કાર્યોને શાંતિથી વળગી રહો</v>
      </c>
      <c r="AN229" s="5" t="str">
        <f ca="1">IFERROR(__xludf.DUMMYFUNCTION("IF(AB229 = """", """", GOOGLETRANSLATE(AB229, ""en"", ""gu""))"),"")</f>
        <v/>
      </c>
      <c r="AO229" s="5" t="str">
        <f ca="1">IFERROR(__xludf.DUMMYFUNCTION("IF(Y229 = """", """", GOOGLETRANSLATE(Y229, ""en"", ""bn""))"),"পরিকল্পনার বিপরীতে ফলাফল আশা করুন")</f>
        <v>পরিকল্পনার বিপরীতে ফলাফল আশা করুন</v>
      </c>
      <c r="AP229" s="5" t="str">
        <f ca="1">IFERROR(__xludf.DUMMYFUNCTION("IF(Z229 = """", """", GOOGLETRANSLATE(Z229, ""en"", ""bn""))"),"ঝুঁকি নেওয়া বা বড় সিদ্ধান্ত এড়িয়ে চলুন")</f>
        <v>ঝুঁকি নেওয়া বা বড় সিদ্ধান্ত এড়িয়ে চলুন</v>
      </c>
      <c r="AQ229" s="5" t="str">
        <f ca="1">IFERROR(__xludf.DUMMYFUNCTION("IF(AA229 = """", """", GOOGLETRANSLATE(AA229, ""en"", ""bn""))"),"শান্তভাবে রুটিন কাজগুলিতে লেগে থাকুন")</f>
        <v>শান্তভাবে রুটিন কাজগুলিতে লেগে থাকুন</v>
      </c>
      <c r="AR229" s="5" t="str">
        <f ca="1">IFERROR(__xludf.DUMMYFUNCTION("IF(AB229 = """", """", GOOGLETRANSLATE(AB229, ""en"", ""bn""))"),"")</f>
        <v/>
      </c>
      <c r="AU229" s="5" t="str">
        <f ca="1">IFERROR(__xludf.DUMMYFUNCTION("IF(Y229 = """", """", GOOGLETRANSLATE(Y229, ""en"", ""te""))"),"ప్రణాళికలకు విరుద్ధంగా ఫలితాలు వస్తాయని ఆశించండి")</f>
        <v>ప్రణాళికలకు విరుద్ధంగా ఫలితాలు వస్తాయని ఆశించండి</v>
      </c>
      <c r="AV229" s="5" t="str">
        <f ca="1">IFERROR(__xludf.DUMMYFUNCTION("IF(Z229 = """", """", GOOGLETRANSLATE(Z229, ""en"", ""te""))"),"రిస్క్ తీసుకోవడం లేదా పెద్ద నిర్ణయాలు తీసుకోవడం మానుకోండి")</f>
        <v>రిస్క్ తీసుకోవడం లేదా పెద్ద నిర్ణయాలు తీసుకోవడం మానుకోండి</v>
      </c>
      <c r="AW229" s="5" t="str">
        <f ca="1">IFERROR(__xludf.DUMMYFUNCTION("IF(AA229 = """", """", GOOGLETRANSLATE(AA229, ""en"", ""te""))"),"ప్రశాంతంగా సాధారణ పనులకు కట్టుబడి ఉండండి")</f>
        <v>ప్రశాంతంగా సాధారణ పనులకు కట్టుబడి ఉండండి</v>
      </c>
      <c r="AX229" s="5" t="str">
        <f ca="1">IFERROR(__xludf.DUMMYFUNCTION("IF(AB229 = """", """", GOOGLETRANSLATE(AB229, ""en"", ""te""))"),"")</f>
        <v/>
      </c>
    </row>
    <row r="230" spans="1:50" x14ac:dyDescent="0.25">
      <c r="A230" s="1">
        <v>245</v>
      </c>
      <c r="B230" s="1" t="s">
        <v>56</v>
      </c>
      <c r="C230" s="2">
        <v>45841</v>
      </c>
      <c r="D230" s="2">
        <v>45841</v>
      </c>
      <c r="E230" s="1">
        <v>8</v>
      </c>
      <c r="F230" s="1">
        <v>1</v>
      </c>
      <c r="G230" s="3" t="s">
        <v>658</v>
      </c>
      <c r="H230" s="4">
        <v>8.3680555555555557E-3</v>
      </c>
      <c r="I230" s="4">
        <v>4.363425925925926E-3</v>
      </c>
      <c r="J230" s="4">
        <v>4.6759259259259263E-3</v>
      </c>
      <c r="K230" s="1"/>
      <c r="L230" s="1" t="s">
        <v>68</v>
      </c>
      <c r="M230" s="1" t="s">
        <v>61</v>
      </c>
      <c r="N230" s="1"/>
      <c r="O230" s="1" t="s">
        <v>91</v>
      </c>
      <c r="P230" s="1" t="s">
        <v>61</v>
      </c>
      <c r="Q230" s="1" t="s">
        <v>61</v>
      </c>
      <c r="R230" s="1" t="s">
        <v>61</v>
      </c>
      <c r="S230" s="1" t="s">
        <v>61</v>
      </c>
      <c r="T230" s="1" t="s">
        <v>61</v>
      </c>
      <c r="U230" s="1" t="s">
        <v>61</v>
      </c>
      <c r="V230" s="1" t="s">
        <v>91</v>
      </c>
      <c r="W230" s="1" t="s">
        <v>61</v>
      </c>
      <c r="X230" s="1" t="s">
        <v>61</v>
      </c>
      <c r="Y230" s="1" t="s">
        <v>683</v>
      </c>
      <c r="Z230" s="1" t="s">
        <v>684</v>
      </c>
      <c r="AA230" s="1" t="s">
        <v>685</v>
      </c>
      <c r="AB230" s="1" t="s">
        <v>686</v>
      </c>
      <c r="AC230" s="5" t="str">
        <f ca="1">IFERROR(__xludf.DUMMYFUNCTION("IF(Y230 = """", """", GOOGLETRANSLATE(Y230, ""en"", ""hi""))
"),"पुराने लंबित कार्य को कुशलतापूर्वक निपटाएँ")</f>
        <v>पुराने लंबित कार्य को कुशलतापूर्वक निपटाएँ</v>
      </c>
      <c r="AD230" s="5" t="str">
        <f ca="1">IFERROR(__xludf.DUMMYFUNCTION("IF(Z230 = """", """", GOOGLETRANSLATE(Z230, ""en"", ""hi""))"),"परिवार से मिला मजबूत समर्थन")</f>
        <v>परिवार से मिला मजबूत समर्थन</v>
      </c>
      <c r="AE230" s="5" t="str">
        <f ca="1">IFERROR(__xludf.DUMMYFUNCTION("IF(AA230 = """", """", GOOGLETRANSLATE(AA230, ""en"", ""hi""))"),"दोस्त")</f>
        <v>दोस्त</v>
      </c>
      <c r="AF230" s="5" t="str">
        <f ca="1">IFERROR(__xludf.DUMMYFUNCTION("IF(AB230 = """", """", GOOGLETRANSLATE(AB230, ""en"", ""hi""))"),"बुजुर्गों के स्वास्थ्य और अतिरिक्त खर्चों के प्रति सावधानी")</f>
        <v>बुजुर्गों के स्वास्थ्य और अतिरिक्त खर्चों के प्रति सावधानी</v>
      </c>
      <c r="AG230" s="5" t="str">
        <f ca="1">IFERROR(__xludf.DUMMYFUNCTION("IF(Y230 = """", """", GOOGLETRANSLATE(Y230, ""en"", ""mr""))"),"जुनी प्रलंबित कामे कार्यक्षमतेने मिटवा")</f>
        <v>जुनी प्रलंबित कामे कार्यक्षमतेने मिटवा</v>
      </c>
      <c r="AH230" s="5" t="str">
        <f ca="1">IFERROR(__xludf.DUMMYFUNCTION("IF(Z230 = """", """", GOOGLETRANSLATE(Z230, ""en"", ""mr""))"),"कुटुंबाकडून भक्कम पाठिंबा मिळेल")</f>
        <v>कुटुंबाकडून भक्कम पाठिंबा मिळेल</v>
      </c>
      <c r="AI230" s="5" t="str">
        <f ca="1">IFERROR(__xludf.DUMMYFUNCTION("IF(AA230 = """", """", GOOGLETRANSLATE(AA230, ""en"", ""mr""))"),"मित्र")</f>
        <v>मित्र</v>
      </c>
      <c r="AJ230" s="5" t="str">
        <f ca="1">IFERROR(__xludf.DUMMYFUNCTION("IF(AB230 = """", """", GOOGLETRANSLATE(AB230, ""en"", ""mr""))"),"ज्येष्ठांचे आरोग्य आणि अतिरिक्त खर्च याबाबत सावधगिरी बाळगा")</f>
        <v>ज्येष्ठांचे आरोग्य आणि अतिरिक्त खर्च याबाबत सावधगिरी बाळगा</v>
      </c>
      <c r="AK230" s="5" t="str">
        <f ca="1">IFERROR(__xludf.DUMMYFUNCTION("IF(Y230 = """", """", GOOGLETRANSLATE(Y230, ""en"", ""gu""))"),"જૂના પેન્ડિંગ કામને અસરકારક રીતે સાફ કરો")</f>
        <v>જૂના પેન્ડિંગ કામને અસરકારક રીતે સાફ કરો</v>
      </c>
      <c r="AL230" s="5" t="str">
        <f ca="1">IFERROR(__xludf.DUMMYFUNCTION("IF(Z230 = """", """", GOOGLETRANSLATE(Z230, ""en"", ""gu""))"),"પરિવાર તરફથી મજબૂત સહયોગ મળશે")</f>
        <v>પરિવાર તરફથી મજબૂત સહયોગ મળશે</v>
      </c>
      <c r="AM230" s="5" t="str">
        <f ca="1">IFERROR(__xludf.DUMMYFUNCTION("IF(AA230 = """", """", GOOGLETRANSLATE(AA230, ""en"", ""gu""))"),"મિત્રો")</f>
        <v>મિત્રો</v>
      </c>
      <c r="AN230" s="5" t="str">
        <f ca="1">IFERROR(__xludf.DUMMYFUNCTION("IF(AB230 = """", """", GOOGLETRANSLATE(AB230, ""en"", ""gu""))"),"વડીલોના સ્વાસ્થ્ય અને વધારાના ખર્ચ અંગે સાવધાની રાખો")</f>
        <v>વડીલોના સ્વાસ્થ્ય અને વધારાના ખર્ચ અંગે સાવધાની રાખો</v>
      </c>
      <c r="AO230" s="5" t="str">
        <f ca="1">IFERROR(__xludf.DUMMYFUNCTION("IF(Y230 = """", """", GOOGLETRANSLATE(Y230, ""en"", ""bn""))"),"পুরানো মুলতুবি কাজ দক্ষতার সাথে সাফ করুন")</f>
        <v>পুরানো মুলতুবি কাজ দক্ষতার সাথে সাফ করুন</v>
      </c>
      <c r="AP230" s="5" t="str">
        <f ca="1">IFERROR(__xludf.DUMMYFUNCTION("IF(Z230 = """", """", GOOGLETRANSLATE(Z230, ""en"", ""bn""))"),"পরিবার থেকে জোরালো সমর্থন")</f>
        <v>পরিবার থেকে জোরালো সমর্থন</v>
      </c>
      <c r="AQ230" s="5" t="str">
        <f ca="1">IFERROR(__xludf.DUMMYFUNCTION("IF(AA230 = """", """", GOOGLETRANSLATE(AA230, ""en"", ""bn""))"),"বন্ধুরা")</f>
        <v>বন্ধুরা</v>
      </c>
      <c r="AR230" s="5" t="str">
        <f ca="1">IFERROR(__xludf.DUMMYFUNCTION("IF(AB230 = """", """", GOOGLETRANSLATE(AB230, ""en"", ""bn""))"),"বয়স্কদের স্বাস্থ্য এবং অতিরিক্ত খরচ সম্পর্কে সতর্কতা")</f>
        <v>বয়স্কদের স্বাস্থ্য এবং অতিরিক্ত খরচ সম্পর্কে সতর্কতা</v>
      </c>
      <c r="AU230" s="5" t="str">
        <f ca="1">IFERROR(__xludf.DUMMYFUNCTION("IF(Y230 = """", """", GOOGLETRANSLATE(Y230, ""en"", ""te""))"),"పాత పెండింగ్ పనిని సమర్థవంతంగా క్లియర్ చేయండి")</f>
        <v>పాత పెండింగ్ పనిని సమర్థవంతంగా క్లియర్ చేయండి</v>
      </c>
      <c r="AV230" s="5" t="str">
        <f ca="1">IFERROR(__xludf.DUMMYFUNCTION("IF(Z230 = """", """", GOOGLETRANSLATE(Z230, ""en"", ""te""))"),"కుటుంబం నుండి బలమైన మద్దతు")</f>
        <v>కుటుంబం నుండి బలమైన మద్దతు</v>
      </c>
      <c r="AW230" s="5" t="str">
        <f ca="1">IFERROR(__xludf.DUMMYFUNCTION("IF(AA230 = """", """", GOOGLETRANSLATE(AA230, ""en"", ""te""))"),"స్నేహితులు")</f>
        <v>స్నేహితులు</v>
      </c>
      <c r="AX230" s="5" t="str">
        <f ca="1">IFERROR(__xludf.DUMMYFUNCTION("IF(AB230 = """", """", GOOGLETRANSLATE(AB230, ""en"", ""te""))"),"పెద్దల ఆరోగ్యం &amp; అదనపు ఖర్చుల విషయంలో జాగ్రత్త")</f>
        <v>పెద్దల ఆరోగ్యం &amp; అదనపు ఖర్చుల విషయంలో జాగ్రత్త</v>
      </c>
    </row>
    <row r="231" spans="1:50" x14ac:dyDescent="0.25">
      <c r="A231" s="1">
        <v>246</v>
      </c>
      <c r="B231" s="1" t="s">
        <v>56</v>
      </c>
      <c r="C231" s="2">
        <v>45841</v>
      </c>
      <c r="D231" s="2">
        <v>45841</v>
      </c>
      <c r="E231" s="1">
        <v>9</v>
      </c>
      <c r="F231" s="1">
        <v>1</v>
      </c>
      <c r="G231" s="3" t="s">
        <v>658</v>
      </c>
      <c r="H231" s="4">
        <v>8.3680555555555557E-3</v>
      </c>
      <c r="I231" s="4">
        <v>4.6759259259259263E-3</v>
      </c>
      <c r="J231" s="4">
        <v>4.6759259259259263E-3</v>
      </c>
      <c r="K231" s="1"/>
      <c r="L231" s="1" t="s">
        <v>72</v>
      </c>
      <c r="M231" s="1" t="s">
        <v>61</v>
      </c>
      <c r="N231" s="1"/>
      <c r="O231" s="1" t="s">
        <v>91</v>
      </c>
      <c r="P231" s="1" t="s">
        <v>61</v>
      </c>
      <c r="Q231" s="1" t="s">
        <v>61</v>
      </c>
      <c r="R231" s="1" t="s">
        <v>61</v>
      </c>
      <c r="S231" s="1" t="s">
        <v>61</v>
      </c>
      <c r="T231" s="1" t="s">
        <v>61</v>
      </c>
      <c r="U231" s="1" t="s">
        <v>61</v>
      </c>
      <c r="V231" s="1" t="s">
        <v>61</v>
      </c>
      <c r="W231" s="1" t="s">
        <v>61</v>
      </c>
      <c r="X231" s="1" t="s">
        <v>91</v>
      </c>
      <c r="Y231" s="1" t="s">
        <v>687</v>
      </c>
      <c r="Z231" s="1" t="s">
        <v>688</v>
      </c>
      <c r="AA231" s="1" t="s">
        <v>689</v>
      </c>
      <c r="AB231" s="1"/>
      <c r="AC231" s="5" t="str">
        <f ca="1">IFERROR(__xludf.DUMMYFUNCTION("IF(Y231 = """", """", GOOGLETRANSLATE(Y231, ""en"", ""hi""))
"),"सामाजिक, पारिवारिक और कार्य संबंधी जिम्मेदारियों में व्यस्त दिन")</f>
        <v>सामाजिक, पारिवारिक और कार्य संबंधी जिम्मेदारियों में व्यस्त दिन</v>
      </c>
      <c r="AD231" s="5" t="str">
        <f ca="1">IFERROR(__xludf.DUMMYFUNCTION("IF(Z231 = """", """", GOOGLETRANSLATE(Z231, ""en"", ""hi""))"),"कार्यों की अच्छी तरह से योजना बनाएं और उन्हें क्रियान्वित करें")</f>
        <v>कार्यों की अच्छी तरह से योजना बनाएं और उन्हें क्रियान्वित करें</v>
      </c>
      <c r="AE231" s="5" t="str">
        <f ca="1">IFERROR(__xludf.DUMMYFUNCTION("IF(AA231 = """", """", GOOGLETRANSLATE(AA231, ""en"", ""hi""))"),"पूरा होने के बाद राहत और थकान")</f>
        <v>पूरा होने के बाद राहत और थकान</v>
      </c>
      <c r="AF231" s="5" t="str">
        <f ca="1">IFERROR(__xludf.DUMMYFUNCTION("IF(AB231 = """", """", GOOGLETRANSLATE(AB231, ""en"", ""hi""))"),"")</f>
        <v/>
      </c>
      <c r="AG231" s="5" t="str">
        <f ca="1">IFERROR(__xludf.DUMMYFUNCTION("IF(Y231 = """", """", GOOGLETRANSLATE(Y231, ""en"", ""mr""))"),"सामाजिक, कौटुंबिक आणि कामाच्या कर्तव्यात व्यस्त दिवस ")</f>
        <v xml:space="preserve">सामाजिक, कौटुंबिक आणि कामाच्या कर्तव्यात व्यस्त दिवस </v>
      </c>
      <c r="AH231" s="5" t="str">
        <f ca="1">IFERROR(__xludf.DUMMYFUNCTION("IF(Z231 = """", """", GOOGLETRANSLATE(Z231, ""en"", ""mr""))"),"योजना आणि कार्ये चांगल्या प्रकारे पार पाडा")</f>
        <v>योजना आणि कार्ये चांगल्या प्रकारे पार पाडा</v>
      </c>
      <c r="AI231" s="5" t="str">
        <f ca="1">IFERROR(__xludf.DUMMYFUNCTION("IF(AA231 = """", """", GOOGLETRANSLATE(AA231, ""en"", ""mr""))"),"आराम आणि थकवा पूर्ण झाल्यानंतर")</f>
        <v>आराम आणि थकवा पूर्ण झाल्यानंतर</v>
      </c>
      <c r="AJ231" s="5" t="str">
        <f ca="1">IFERROR(__xludf.DUMMYFUNCTION("IF(AB231 = """", """", GOOGLETRANSLATE(AB231, ""en"", ""mr""))"),"")</f>
        <v/>
      </c>
      <c r="AK231" s="5" t="str">
        <f ca="1">IFERROR(__xludf.DUMMYFUNCTION("IF(Y231 = """", """", GOOGLETRANSLATE(Y231, ""en"", ""gu""))"),"સામાજીક, કૌટુંબિક અને કામની ફરજોમાં વ્યસ્ત દિવસ ")</f>
        <v xml:space="preserve">સામાજીક, કૌટુંબિક અને કામની ફરજોમાં વ્યસ્ત દિવસ </v>
      </c>
      <c r="AL231" s="5" t="str">
        <f ca="1">IFERROR(__xludf.DUMMYFUNCTION("IF(Z231 = """", """", GOOGLETRANSLATE(Z231, ""en"", ""gu""))"),"યોજનાઓ અને કાર્યોને સારી રીતે ચલાવો")</f>
        <v>યોજનાઓ અને કાર્યોને સારી રીતે ચલાવો</v>
      </c>
      <c r="AM231" s="5" t="str">
        <f ca="1">IFERROR(__xludf.DUMMYFUNCTION("IF(AA231 = """", """", GOOGLETRANSLATE(AA231, ""en"", ""gu""))"),"રાહત અને થાક પૂર્ણ થયા પછી")</f>
        <v>રાહત અને થાક પૂર્ણ થયા પછી</v>
      </c>
      <c r="AN231" s="5" t="str">
        <f ca="1">IFERROR(__xludf.DUMMYFUNCTION("IF(AB231 = """", """", GOOGLETRANSLATE(AB231, ""en"", ""gu""))"),"")</f>
        <v/>
      </c>
      <c r="AO231" s="5" t="str">
        <f ca="1">IFERROR(__xludf.DUMMYFUNCTION("IF(Y231 = """", """", GOOGLETRANSLATE(Y231, ""en"", ""bn""))"),"সামাজিক, পারিবারিক ও কাজের দায়িত্ব নিয়ে ব্যস্ত দিন ")</f>
        <v xml:space="preserve">সামাজিক, পারিবারিক ও কাজের দায়িত্ব নিয়ে ব্যস্ত দিন </v>
      </c>
      <c r="AP231" s="5" t="str">
        <f ca="1">IFERROR(__xludf.DUMMYFUNCTION("IF(Z231 = """", """", GOOGLETRANSLATE(Z231, ""en"", ""bn""))"),"পরিকল্পনা করুন এবং কাজগুলি ভালভাবে সম্পাদন করুন")</f>
        <v>পরিকল্পনা করুন এবং কাজগুলি ভালভাবে সম্পাদন করুন</v>
      </c>
      <c r="AQ231" s="5" t="str">
        <f ca="1">IFERROR(__xludf.DUMMYFUNCTION("IF(AA231 = """", """", GOOGLETRANSLATE(AA231, ""en"", ""bn""))"),"ত্রাণ এবং ক্লান্তি সমাপ্তি অনুসরণ")</f>
        <v>ত্রাণ এবং ক্লান্তি সমাপ্তি অনুসরণ</v>
      </c>
      <c r="AR231" s="5" t="str">
        <f ca="1">IFERROR(__xludf.DUMMYFUNCTION("IF(AB231 = """", """", GOOGLETRANSLATE(AB231, ""en"", ""bn""))"),"")</f>
        <v/>
      </c>
      <c r="AU231" s="5" t="str">
        <f ca="1">IFERROR(__xludf.DUMMYFUNCTION("IF(Y231 = """", """", GOOGLETRANSLATE(Y231, ""en"", ""te""))"),"సామాజిక, కుటుంబ &amp; పని విధులను గారడీ చేసే బిజీ రోజు ")</f>
        <v xml:space="preserve">సామాజిక, కుటుంబ &amp; పని విధులను గారడీ చేసే బిజీ రోజు </v>
      </c>
      <c r="AV231" s="5" t="str">
        <f ca="1">IFERROR(__xludf.DUMMYFUNCTION("IF(Z231 = """", """", GOOGLETRANSLATE(Z231, ""en"", ""te""))"),"పనులను చక్కగా ప్లాన్ చేసి అమలు చేయండి")</f>
        <v>పనులను చక్కగా ప్లాన్ చేసి అమలు చేయండి</v>
      </c>
      <c r="AW231" s="5" t="str">
        <f ca="1">IFERROR(__xludf.DUMMYFUNCTION("IF(AA231 = """", """", GOOGLETRANSLATE(AA231, ""en"", ""te""))"),"ఉపశమనం &amp; అలసట పూర్తయిన తర్వాత")</f>
        <v>ఉపశమనం &amp; అలసట పూర్తయిన తర్వాత</v>
      </c>
      <c r="AX231" s="5" t="str">
        <f ca="1">IFERROR(__xludf.DUMMYFUNCTION("IF(AB231 = """", """", GOOGLETRANSLATE(AB231, ""en"", ""te""))"),"")</f>
        <v/>
      </c>
    </row>
    <row r="232" spans="1:50" x14ac:dyDescent="0.25">
      <c r="A232" s="1">
        <v>247</v>
      </c>
      <c r="B232" s="1" t="s">
        <v>56</v>
      </c>
      <c r="C232" s="2">
        <v>45841</v>
      </c>
      <c r="D232" s="2">
        <v>45841</v>
      </c>
      <c r="E232" s="1">
        <v>10</v>
      </c>
      <c r="F232" s="1">
        <v>1</v>
      </c>
      <c r="G232" s="3" t="s">
        <v>658</v>
      </c>
      <c r="H232" s="4">
        <v>8.3680555555555557E-3</v>
      </c>
      <c r="I232" s="4">
        <v>4.6759259259259263E-3</v>
      </c>
      <c r="J232" s="4">
        <v>5.0462962962962961E-3</v>
      </c>
      <c r="K232" s="1"/>
      <c r="L232" s="1" t="s">
        <v>76</v>
      </c>
      <c r="M232" s="1" t="s">
        <v>61</v>
      </c>
      <c r="N232" s="1"/>
      <c r="O232" s="1" t="s">
        <v>91</v>
      </c>
      <c r="P232" s="1" t="s">
        <v>61</v>
      </c>
      <c r="Q232" s="1" t="s">
        <v>61</v>
      </c>
      <c r="R232" s="1" t="s">
        <v>61</v>
      </c>
      <c r="S232" s="1" t="s">
        <v>61</v>
      </c>
      <c r="T232" s="1" t="s">
        <v>61</v>
      </c>
      <c r="U232" s="1" t="s">
        <v>61</v>
      </c>
      <c r="V232" s="1" t="s">
        <v>91</v>
      </c>
      <c r="W232" s="1" t="s">
        <v>61</v>
      </c>
      <c r="X232" s="1" t="s">
        <v>61</v>
      </c>
      <c r="Y232" s="1" t="s">
        <v>690</v>
      </c>
      <c r="Z232" s="1" t="s">
        <v>691</v>
      </c>
      <c r="AA232" s="1" t="s">
        <v>692</v>
      </c>
      <c r="AB232" s="1"/>
      <c r="AC232" s="5" t="str">
        <f ca="1">IFERROR(__xludf.DUMMYFUNCTION("IF(Y232 = """", """", GOOGLETRANSLATE(Y232, ""en"", ""hi""))
"),"पारिवारिक, सामाजिक समारोह की तैयारी और खर्च")</f>
        <v>पारिवारिक, सामाजिक समारोह की तैयारी और खर्च</v>
      </c>
      <c r="AD232" s="5" t="str">
        <f ca="1">IFERROR(__xludf.DUMMYFUNCTION("IF(Z232 = """", """", GOOGLETRANSLATE(Z232, ""en"", ""hi""))"),"बुजुर्गों का स्वास्थ्य बेहतर हो रहा है—इसमें शामिल रहें")</f>
        <v>बुजुर्गों का स्वास्थ्य बेहतर हो रहा है—इसमें शामिल रहें</v>
      </c>
      <c r="AE232" s="5" t="str">
        <f ca="1">IFERROR(__xludf.DUMMYFUNCTION("IF(AA232 = """", """", GOOGLETRANSLATE(AA232, ""en"", ""hi""))"),"विदेशी व्यापार या व्यवसाय को प्राथमिकता दी गई")</f>
        <v>विदेशी व्यापार या व्यवसाय को प्राथमिकता दी गई</v>
      </c>
      <c r="AF232" s="5" t="str">
        <f ca="1">IFERROR(__xludf.DUMMYFUNCTION("IF(AB232 = """", """", GOOGLETRANSLATE(AB232, ""en"", ""hi""))"),"")</f>
        <v/>
      </c>
      <c r="AG232" s="5" t="str">
        <f ca="1">IFERROR(__xludf.DUMMYFUNCTION("IF(Y232 = """", """", GOOGLETRANSLATE(Y232, ""en"", ""mr""))"),"कौटुंबिक, सामाजिक कार्याची तयारी आणि खर्च ")</f>
        <v xml:space="preserve">कौटुंबिक, सामाजिक कार्याची तयारी आणि खर्च </v>
      </c>
      <c r="AH232" s="5" t="str">
        <f ca="1">IFERROR(__xludf.DUMMYFUNCTION("IF(Z232 = """", """", GOOGLETRANSLATE(Z232, ""en"", ""mr""))"),"वृद्धांची तब्येत सुधारत आहे - गुंतून रहा")</f>
        <v>वृद्धांची तब्येत सुधारत आहे - गुंतून रहा</v>
      </c>
      <c r="AI232" s="5" t="str">
        <f ca="1">IFERROR(__xludf.DUMMYFUNCTION("IF(AA232 = """", """", GOOGLETRANSLATE(AA232, ""en"", ""mr""))"),"परदेशातील व्यापारी व्यवसायाला अनुकूल")</f>
        <v>परदेशातील व्यापारी व्यवसायाला अनुकूल</v>
      </c>
      <c r="AJ232" s="5" t="str">
        <f ca="1">IFERROR(__xludf.DUMMYFUNCTION("IF(AB232 = """", """", GOOGLETRANSLATE(AB232, ""en"", ""mr""))"),"")</f>
        <v/>
      </c>
      <c r="AK232" s="5" t="str">
        <f ca="1">IFERROR(__xludf.DUMMYFUNCTION("IF(Y232 = """", """", GOOGLETRANSLATE(Y232, ""en"", ""gu""))"),"કૌટુંબિક, સામાજિક કાર્યની તૈયારી અને ખર્ચ ")</f>
        <v xml:space="preserve">કૌટુંબિક, સામાજિક કાર્યની તૈયારી અને ખર્ચ </v>
      </c>
      <c r="AL232" s="5" t="str">
        <f ca="1">IFERROR(__xludf.DUMMYFUNCTION("IF(Z232 = """", """", GOOGLETRANSLATE(Z232, ""en"", ""gu""))"),"વડીલોના સ્વાસ્થ્યમાં સુધારો - સામેલ રહો")</f>
        <v>વડીલોના સ્વાસ્થ્યમાં સુધારો - સામેલ રહો</v>
      </c>
      <c r="AM232" s="5" t="str">
        <f ca="1">IFERROR(__xludf.DUMMYFUNCTION("IF(AA232 = """", """", GOOGLETRANSLATE(AA232, ""en"", ""gu""))"),"વિદેશી વેપારી વ્યવસાય તરફેણ કરે છે")</f>
        <v>વિદેશી વેપારી વ્યવસાય તરફેણ કરે છે</v>
      </c>
      <c r="AN232" s="5" t="str">
        <f ca="1">IFERROR(__xludf.DUMMYFUNCTION("IF(AB232 = """", """", GOOGLETRANSLATE(AB232, ""en"", ""gu""))"),"")</f>
        <v/>
      </c>
      <c r="AO232" s="5" t="str">
        <f ca="1">IFERROR(__xludf.DUMMYFUNCTION("IF(Y232 = """", """", GOOGLETRANSLATE(Y232, ""en"", ""bn""))"),"পারিবারিক, সামাজিক অনুষ্ঠানের প্রস্তুতি এবং খরচ ")</f>
        <v xml:space="preserve">পারিবারিক, সামাজিক অনুষ্ঠানের প্রস্তুতি এবং খরচ </v>
      </c>
      <c r="AP232" s="5" t="str">
        <f ca="1">IFERROR(__xludf.DUMMYFUNCTION("IF(Z232 = """", """", GOOGLETRANSLATE(Z232, ""en"", ""bn""))"),"বয়স্কদের স্বাস্থ্যের উন্নতি হচ্ছে - জড়িত থাকুন")</f>
        <v>বয়স্কদের স্বাস্থ্যের উন্নতি হচ্ছে - জড়িত থাকুন</v>
      </c>
      <c r="AQ232" s="5" t="str">
        <f ca="1">IFERROR(__xludf.DUMMYFUNCTION("IF(AA232 = """", """", GOOGLETRANSLATE(AA232, ""en"", ""bn""))"),"বিদেশী ব্যবসায়ীদের ব্যবসার পক্ষপাতী")</f>
        <v>বিদেশী ব্যবসায়ীদের ব্যবসার পক্ষপাতী</v>
      </c>
      <c r="AR232" s="5" t="str">
        <f ca="1">IFERROR(__xludf.DUMMYFUNCTION("IF(AB232 = """", """", GOOGLETRANSLATE(AB232, ""en"", ""bn""))"),"")</f>
        <v/>
      </c>
      <c r="AU232" s="5" t="str">
        <f ca="1">IFERROR(__xludf.DUMMYFUNCTION("IF(Y232 = """", """", GOOGLETRANSLATE(Y232, ""en"", ""te""))"),"కుటుంబం, సామాజిక ఫంక్షన్ ప్రిపరేషన్ &amp; ఖర్చులు ")</f>
        <v xml:space="preserve">కుటుంబం, సామాజిక ఫంక్షన్ ప్రిపరేషన్ &amp; ఖర్చులు </v>
      </c>
      <c r="AV232" s="5" t="str">
        <f ca="1">IFERROR(__xludf.DUMMYFUNCTION("IF(Z232 = """", """", GOOGLETRANSLATE(Z232, ""en"", ""te""))"),"వృద్ధుల ఆరోగ్యం మెరుగుపడుతుంది - పాలుపంచుకోండి")</f>
        <v>వృద్ధుల ఆరోగ్యం మెరుగుపడుతుంది - పాలుపంచుకోండి</v>
      </c>
      <c r="AW232" s="5" t="str">
        <f ca="1">IFERROR(__xludf.DUMMYFUNCTION("IF(AA232 = """", """", GOOGLETRANSLATE(AA232, ""en"", ""te""))"),"విదేశీ వర్తకుల వ్యాపారానికి అనుకూలం")</f>
        <v>విదేశీ వర్తకుల వ్యాపారానికి అనుకూలం</v>
      </c>
      <c r="AX232" s="5" t="str">
        <f ca="1">IFERROR(__xludf.DUMMYFUNCTION("IF(AB232 = """", """", GOOGLETRANSLATE(AB232, ""en"", ""te""))"),"")</f>
        <v/>
      </c>
    </row>
    <row r="233" spans="1:50" x14ac:dyDescent="0.25">
      <c r="A233" s="1">
        <v>248</v>
      </c>
      <c r="B233" s="1" t="s">
        <v>56</v>
      </c>
      <c r="C233" s="2">
        <v>45841</v>
      </c>
      <c r="D233" s="2">
        <v>45841</v>
      </c>
      <c r="E233" s="1">
        <v>11</v>
      </c>
      <c r="F233" s="1">
        <v>1</v>
      </c>
      <c r="G233" s="3" t="s">
        <v>658</v>
      </c>
      <c r="H233" s="4">
        <v>8.3680555555555557E-3</v>
      </c>
      <c r="I233" s="4">
        <v>5.0462962962962961E-3</v>
      </c>
      <c r="J233" s="4">
        <v>5.5787037037037038E-3</v>
      </c>
      <c r="K233" s="1"/>
      <c r="L233" s="1" t="s">
        <v>79</v>
      </c>
      <c r="M233" s="1" t="s">
        <v>61</v>
      </c>
      <c r="N233" s="1"/>
      <c r="O233" s="1" t="s">
        <v>61</v>
      </c>
      <c r="P233" s="1" t="s">
        <v>61</v>
      </c>
      <c r="Q233" s="1" t="s">
        <v>61</v>
      </c>
      <c r="R233" s="1" t="s">
        <v>61</v>
      </c>
      <c r="S233" s="1" t="s">
        <v>61</v>
      </c>
      <c r="T233" s="1" t="s">
        <v>91</v>
      </c>
      <c r="U233" s="1" t="s">
        <v>61</v>
      </c>
      <c r="V233" s="1" t="s">
        <v>61</v>
      </c>
      <c r="W233" s="1" t="s">
        <v>91</v>
      </c>
      <c r="X233" s="1" t="s">
        <v>61</v>
      </c>
      <c r="Y233" s="1" t="s">
        <v>693</v>
      </c>
      <c r="Z233" s="1" t="s">
        <v>694</v>
      </c>
      <c r="AA233" s="1" t="s">
        <v>695</v>
      </c>
      <c r="AB233" s="1" t="s">
        <v>696</v>
      </c>
      <c r="AC233" s="5" t="str">
        <f ca="1">IFERROR(__xludf.DUMMYFUNCTION("IF(Y233 = """", """", GOOGLETRANSLATE(Y233, ""en"", ""hi""))
"),"अपने और जीवनसाथी के स्वास्थ्य की रक्षा करें")</f>
        <v>अपने और जीवनसाथी के स्वास्थ्य की रक्षा करें</v>
      </c>
      <c r="AD233" s="5" t="str">
        <f ca="1">IFERROR(__xludf.DUMMYFUNCTION("IF(Z233 = """", """", GOOGLETRANSLATE(Z233, ""en"", ""hi""))"),"शारीरिक परेशानी का खतरा")</f>
        <v>शारीरिक परेशानी का खतरा</v>
      </c>
      <c r="AE233" s="5" t="str">
        <f ca="1">IFERROR(__xludf.DUMMYFUNCTION("IF(AA233 = """", """", GOOGLETRANSLATE(AA233, ""en"", ""hi""))"),"बहुत सावधानी से वाहन चलाएँ और चलें")</f>
        <v>बहुत सावधानी से वाहन चलाएँ और चलें</v>
      </c>
      <c r="AF233" s="5" t="str">
        <f ca="1">IFERROR(__xludf.DUMMYFUNCTION("IF(AB233 = """", """", GOOGLETRANSLATE(AB233, ""en"", ""hi""))"),"आकस्मिक खर्चों पर नज़र रखें")</f>
        <v>आकस्मिक खर्चों पर नज़र रखें</v>
      </c>
      <c r="AG233" s="5" t="str">
        <f ca="1">IFERROR(__xludf.DUMMYFUNCTION("IF(Y233 = """", """", GOOGLETRANSLATE(Y233, ""en"", ""mr""))"),"स्वतःच्या आणि जोडीदाराच्या आरोग्याची काळजी घ्या")</f>
        <v>स्वतःच्या आणि जोडीदाराच्या आरोग्याची काळजी घ्या</v>
      </c>
      <c r="AH233" s="5" t="str">
        <f ca="1">IFERROR(__xludf.DUMMYFUNCTION("IF(Z233 = """", """", GOOGLETRANSLATE(Z233, ""en"", ""mr""))"),"शारीरिक अस्वस्थतेचा धोका")</f>
        <v>शारीरिक अस्वस्थतेचा धोका</v>
      </c>
      <c r="AI233" s="5" t="str">
        <f ca="1">IFERROR(__xludf.DUMMYFUNCTION("IF(AA233 = """", """", GOOGLETRANSLATE(AA233, ""en"", ""mr""))"),"अतिशय काळजीपूर्वक चालवा आणि चालवा")</f>
        <v>अतिशय काळजीपूर्वक चालवा आणि चालवा</v>
      </c>
      <c r="AJ233" s="5" t="str">
        <f ca="1">IFERROR(__xludf.DUMMYFUNCTION("IF(AB233 = """", """", GOOGLETRANSLATE(AB233, ""en"", ""mr""))"),"प्रासंगिक खर्च पहा")</f>
        <v>प्रासंगिक खर्च पहा</v>
      </c>
      <c r="AK233" s="5" t="str">
        <f ca="1">IFERROR(__xludf.DUMMYFUNCTION("IF(Y233 = """", """", GOOGLETRANSLATE(Y233, ""en"", ""gu""))"),"તમારા પોતાના અને જીવનસાથીના સ્વાસ્થ્યનું ધ્યાન રાખો")</f>
        <v>તમારા પોતાના અને જીવનસાથીના સ્વાસ્થ્યનું ધ્યાન રાખો</v>
      </c>
      <c r="AL233" s="5" t="str">
        <f ca="1">IFERROR(__xludf.DUMMYFUNCTION("IF(Z233 = """", """", GOOGLETRANSLATE(Z233, ""en"", ""gu""))"),"શારીરિક અસ્વસ્થતાનું જોખમ")</f>
        <v>શારીરિક અસ્વસ્થતાનું જોખમ</v>
      </c>
      <c r="AM233" s="5" t="str">
        <f ca="1">IFERROR(__xludf.DUMMYFUNCTION("IF(AA233 = """", """", GOOGLETRANSLATE(AA233, ""en"", ""gu""))"),"ખૂબ જ કાળજીપૂર્વક વાહન ચલાવો અને ખસેડો")</f>
        <v>ખૂબ જ કાળજીપૂર્વક વાહન ચલાવો અને ખસેડો</v>
      </c>
      <c r="AN233" s="5" t="str">
        <f ca="1">IFERROR(__xludf.DUMMYFUNCTION("IF(AB233 = """", """", GOOGLETRANSLATE(AB233, ""en"", ""gu""))"),"આકસ્મિક ખર્ચ જુઓ")</f>
        <v>આકસ્મિક ખર્ચ જુઓ</v>
      </c>
      <c r="AO233" s="5" t="str">
        <f ca="1">IFERROR(__xludf.DUMMYFUNCTION("IF(Y233 = """", """", GOOGLETRANSLATE(Y233, ""en"", ""bn""))"),"আপনার নিজের এবং স্ত্রীর স্বাস্থ্য রক্ষা করুন")</f>
        <v>আপনার নিজের এবং স্ত্রীর স্বাস্থ্য রক্ষা করুন</v>
      </c>
      <c r="AP233" s="5" t="str">
        <f ca="1">IFERROR(__xludf.DUMMYFUNCTION("IF(Z233 = """", """", GOOGLETRANSLATE(Z233, ""en"", ""bn""))"),"শারীরিক অস্বস্তির ঝুঁকি")</f>
        <v>শারীরিক অস্বস্তির ঝুঁকি</v>
      </c>
      <c r="AQ233" s="5" t="str">
        <f ca="1">IFERROR(__xludf.DUMMYFUNCTION("IF(AA233 = """", """", GOOGLETRANSLATE(AA233, ""en"", ""bn""))"),"খুব সাবধানে গাড়ি চালান এবং চলাচল করুন")</f>
        <v>খুব সাবধানে গাড়ি চালান এবং চলাচল করুন</v>
      </c>
      <c r="AR233" s="5" t="str">
        <f ca="1">IFERROR(__xludf.DUMMYFUNCTION("IF(AB233 = """", """", GOOGLETRANSLATE(AB233, ""en"", ""bn""))"),"আনুষঙ্গিক খরচ দেখুন")</f>
        <v>আনুষঙ্গিক খরচ দেখুন</v>
      </c>
      <c r="AU233" s="5" t="str">
        <f ca="1">IFERROR(__xludf.DUMMYFUNCTION("IF(Y233 = """", """", GOOGLETRANSLATE(Y233, ""en"", ""te""))"),"మీ స్వంత &amp; జీవిత భాగస్వామి ఆరోగ్యాన్ని కాపాడుకోండి")</f>
        <v>మీ స్వంత &amp; జీవిత భాగస్వామి ఆరోగ్యాన్ని కాపాడుకోండి</v>
      </c>
      <c r="AV233" s="5" t="str">
        <f ca="1">IFERROR(__xludf.DUMMYFUNCTION("IF(Z233 = """", """", GOOGLETRANSLATE(Z233, ""en"", ""te""))"),"శారీరక అసౌకర్యానికి గురయ్యే ప్రమాదం")</f>
        <v>శారీరక అసౌకర్యానికి గురయ్యే ప్రమాదం</v>
      </c>
      <c r="AW233" s="5" t="str">
        <f ca="1">IFERROR(__xludf.DUMMYFUNCTION("IF(AA233 = """", """", GOOGLETRANSLATE(AA233, ""en"", ""te""))"),"చాలా జాగ్రత్తగా డ్రైవ్ చేయండి &amp; తరలించండి")</f>
        <v>చాలా జాగ్రత్తగా డ్రైవ్ చేయండి &amp; తరలించండి</v>
      </c>
      <c r="AX233" s="5" t="str">
        <f ca="1">IFERROR(__xludf.DUMMYFUNCTION("IF(AB233 = """", """", GOOGLETRANSLATE(AB233, ""en"", ""te""))"),"యాదృచ్ఛిక ఖర్చులను చూడండి")</f>
        <v>యాదృచ్ఛిక ఖర్చులను చూడండి</v>
      </c>
    </row>
    <row r="234" spans="1:50" x14ac:dyDescent="0.25">
      <c r="A234" s="1">
        <v>249</v>
      </c>
      <c r="B234" s="1" t="s">
        <v>56</v>
      </c>
      <c r="C234" s="2">
        <v>45841</v>
      </c>
      <c r="D234" s="2">
        <v>45841</v>
      </c>
      <c r="E234" s="1">
        <v>12</v>
      </c>
      <c r="F234" s="1">
        <v>1</v>
      </c>
      <c r="G234" s="3" t="s">
        <v>658</v>
      </c>
      <c r="H234" s="4">
        <v>8.3680555555555557E-3</v>
      </c>
      <c r="I234" s="4">
        <v>5.5787037037037038E-3</v>
      </c>
      <c r="J234" s="4">
        <v>6.1342592592592594E-3</v>
      </c>
      <c r="K234" s="1"/>
      <c r="L234" s="1" t="s">
        <v>81</v>
      </c>
      <c r="M234" s="1" t="s">
        <v>61</v>
      </c>
      <c r="N234" s="1"/>
      <c r="O234" s="1" t="s">
        <v>91</v>
      </c>
      <c r="P234" s="1" t="s">
        <v>61</v>
      </c>
      <c r="Q234" s="1" t="s">
        <v>61</v>
      </c>
      <c r="R234" s="1" t="s">
        <v>61</v>
      </c>
      <c r="S234" s="1" t="s">
        <v>61</v>
      </c>
      <c r="T234" s="1" t="s">
        <v>61</v>
      </c>
      <c r="U234" s="1" t="s">
        <v>61</v>
      </c>
      <c r="V234" s="1" t="s">
        <v>91</v>
      </c>
      <c r="W234" s="1" t="s">
        <v>61</v>
      </c>
      <c r="X234" s="1" t="s">
        <v>61</v>
      </c>
      <c r="Y234" s="1" t="s">
        <v>697</v>
      </c>
      <c r="Z234" s="1" t="s">
        <v>698</v>
      </c>
      <c r="AA234" s="1" t="s">
        <v>699</v>
      </c>
      <c r="AB234" s="1"/>
      <c r="AC234" s="5" t="str">
        <f ca="1">IFERROR(__xludf.DUMMYFUNCTION("IF(Y234 = """", """", GOOGLETRANSLATE(Y234, ""en"", ""hi""))
"),"दिन योजना के अनुसार बीतता है—काम गणनाओं के साथ संरेखित होता है")</f>
        <v>दिन योजना के अनुसार बीतता है—काम गणनाओं के साथ संरेखित होता है</v>
      </c>
      <c r="AD234" s="5" t="str">
        <f ca="1">IFERROR(__xludf.DUMMYFUNCTION("IF(Z234 = """", """", GOOGLETRANSLATE(Z234, ""en"", ""hi""))"),"स्व-उपचार से बचें—डॉक्टर और दवा लें")</f>
        <v>स्व-उपचार से बचें—डॉक्टर और दवा लें</v>
      </c>
      <c r="AE234" s="5" t="str">
        <f ca="1">IFERROR(__xludf.DUMMYFUNCTION("IF(AA234 = """", """", GOOGLETRANSLATE(AA234, ""en"", ""hi""))"),"कोई बड़ा जोखिम नहीं")</f>
        <v>कोई बड़ा जोखिम नहीं</v>
      </c>
      <c r="AF234" s="5" t="str">
        <f ca="1">IFERROR(__xludf.DUMMYFUNCTION("IF(AB234 = """", """", GOOGLETRANSLATE(AB234, ""en"", ""hi""))"),"")</f>
        <v/>
      </c>
      <c r="AG234" s="5" t="str">
        <f ca="1">IFERROR(__xludf.DUMMYFUNCTION("IF(Y234 = """", """", GOOGLETRANSLATE(Y234, ""en"", ""mr""))"),"नियोजित प्रमाणे दिवस उलगडतो - कार्य गणनासह संरेखित होते")</f>
        <v>नियोजित प्रमाणे दिवस उलगडतो - कार्य गणनासह संरेखित होते</v>
      </c>
      <c r="AH234" s="5" t="str">
        <f ca="1">IFERROR(__xludf.DUMMYFUNCTION("IF(Z234 = """", """", GOOGLETRANSLATE(Z234, ""en"", ""mr""))"),"स्व-उपचार टाळा - डॉक्टर आणि औषधांचा सल्ला घ्या")</f>
        <v>स्व-उपचार टाळा - डॉक्टर आणि औषधांचा सल्ला घ्या</v>
      </c>
      <c r="AI234" s="5" t="str">
        <f ca="1">IFERROR(__xludf.DUMMYFUNCTION("IF(AA234 = """", """", GOOGLETRANSLATE(AA234, ""en"", ""mr""))"),"कोणतीही मोठी जोखीम नाही")</f>
        <v>कोणतीही मोठी जोखीम नाही</v>
      </c>
      <c r="AJ234" s="5" t="str">
        <f ca="1">IFERROR(__xludf.DUMMYFUNCTION("IF(AB234 = """", """", GOOGLETRANSLATE(AB234, ""en"", ""mr""))"),"")</f>
        <v/>
      </c>
      <c r="AK234" s="5" t="str">
        <f ca="1">IFERROR(__xludf.DUMMYFUNCTION("IF(Y234 = """", """", GOOGLETRANSLATE(Y234, ""en"", ""gu""))"),"દિવસ આયોજિત તરીકે પ્રગટ થાય છે - કાર્ય ગણતરીઓ સાથે સંરેખિત થાય છે")</f>
        <v>દિવસ આયોજિત તરીકે પ્રગટ થાય છે - કાર્ય ગણતરીઓ સાથે સંરેખિત થાય છે</v>
      </c>
      <c r="AL234" s="5" t="str">
        <f ca="1">IFERROR(__xludf.DUMMYFUNCTION("IF(Z234 = """", """", GOOGLETRANSLATE(Z234, ""en"", ""gu""))"),"સ્વ-સારવાર ટાળો - ડૉક્ટર અને દવાઓ શોધો")</f>
        <v>સ્વ-સારવાર ટાળો - ડૉક્ટર અને દવાઓ શોધો</v>
      </c>
      <c r="AM234" s="5" t="str">
        <f ca="1">IFERROR(__xludf.DUMMYFUNCTION("IF(AA234 = """", """", GOOGLETRANSLATE(AA234, ""en"", ""gu""))"),"કોઈ મોટું જોખમ નથી")</f>
        <v>કોઈ મોટું જોખમ નથી</v>
      </c>
      <c r="AN234" s="5" t="str">
        <f ca="1">IFERROR(__xludf.DUMMYFUNCTION("IF(AB234 = """", """", GOOGLETRANSLATE(AB234, ""en"", ""gu""))"),"")</f>
        <v/>
      </c>
      <c r="AO234" s="5" t="str">
        <f ca="1">IFERROR(__xludf.DUMMYFUNCTION("IF(Y234 = """", """", GOOGLETRANSLATE(Y234, ""en"", ""bn""))"),"দিনটি পরিকল্পিত হিসাবে উদ্ভাসিত হয় - কাজ গণনার সাথে সারিবদ্ধ হয়")</f>
        <v>দিনটি পরিকল্পিত হিসাবে উদ্ভাসিত হয় - কাজ গণনার সাথে সারিবদ্ধ হয়</v>
      </c>
      <c r="AP234" s="5" t="str">
        <f ca="1">IFERROR(__xludf.DUMMYFUNCTION("IF(Z234 = """", """", GOOGLETRANSLATE(Z234, ""en"", ""bn""))"),"স্ব-চিকিৎসা এড়িয়ে চলুন - ডাক্তার এবং ওষুধের সন্ধান করুন")</f>
        <v>স্ব-চিকিৎসা এড়িয়ে চলুন - ডাক্তার এবং ওষুধের সন্ধান করুন</v>
      </c>
      <c r="AQ234" s="5" t="str">
        <f ca="1">IFERROR(__xludf.DUMMYFUNCTION("IF(AA234 = """", """", GOOGLETRANSLATE(AA234, ""en"", ""bn""))"),"কোন বড় ঝুঁকি নেই")</f>
        <v>কোন বড় ঝুঁকি নেই</v>
      </c>
      <c r="AR234" s="5" t="str">
        <f ca="1">IFERROR(__xludf.DUMMYFUNCTION("IF(AB234 = """", """", GOOGLETRANSLATE(AB234, ""en"", ""bn""))"),"")</f>
        <v/>
      </c>
      <c r="AU234" s="5" t="str">
        <f ca="1">IFERROR(__xludf.DUMMYFUNCTION("IF(Y234 = """", """", GOOGLETRANSLATE(Y234, ""en"", ""te""))"),"రోజు ప్రణాళికాబద్ధంగా ముగుస్తుంది-పని లెక్కలతో సమలేఖనం అవుతుంది")</f>
        <v>రోజు ప్రణాళికాబద్ధంగా ముగుస్తుంది-పని లెక్కలతో సమలేఖనం అవుతుంది</v>
      </c>
      <c r="AV234" s="5" t="str">
        <f ca="1">IFERROR(__xludf.DUMMYFUNCTION("IF(Z234 = """", """", GOOGLETRANSLATE(Z234, ""en"", ""te""))"),"స్వీయ-చికిత్సను నివారించండి-డాక్టర్ &amp; మెడ్లను వెతకండి")</f>
        <v>స్వీయ-చికిత్సను నివారించండి-డాక్టర్ &amp; మెడ్లను వెతకండి</v>
      </c>
      <c r="AW234" s="5" t="str">
        <f ca="1">IFERROR(__xludf.DUMMYFUNCTION("IF(AA234 = """", """", GOOGLETRANSLATE(AA234, ""en"", ""te""))"),"పెద్ద ప్రమాదాలు లేవు")</f>
        <v>పెద్ద ప్రమాదాలు లేవు</v>
      </c>
      <c r="AX234" s="5" t="str">
        <f ca="1">IFERROR(__xludf.DUMMYFUNCTION("IF(AB234 = """", """", GOOGLETRANSLATE(AB234, ""en"", ""te""))"),"")</f>
        <v/>
      </c>
    </row>
    <row r="235" spans="1:50" x14ac:dyDescent="0.25">
      <c r="A235" s="1">
        <v>250</v>
      </c>
      <c r="B235" s="1" t="s">
        <v>56</v>
      </c>
      <c r="C235" s="2">
        <v>45841</v>
      </c>
      <c r="D235" s="2">
        <v>45841</v>
      </c>
      <c r="E235" s="1">
        <v>13</v>
      </c>
      <c r="F235" s="1">
        <v>1</v>
      </c>
      <c r="G235" s="3" t="s">
        <v>658</v>
      </c>
      <c r="H235" s="4">
        <v>8.3680555555555557E-3</v>
      </c>
      <c r="I235" s="4">
        <v>6.1342592592592594E-3</v>
      </c>
      <c r="J235" s="4">
        <v>8.3680555555555557E-3</v>
      </c>
      <c r="K235" s="1"/>
      <c r="L235" s="1" t="s">
        <v>137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 t="str">
        <f ca="1">IFERROR(__xludf.DUMMYFUNCTION("IF(Y235 = """", """", GOOGLETRANSLATE(Y235, ""en"", ""hi""))
"),"")</f>
        <v/>
      </c>
      <c r="AD235" s="5" t="str">
        <f ca="1">IFERROR(__xludf.DUMMYFUNCTION("IF(Z235 = """", """", GOOGLETRANSLATE(Z235, ""en"", ""hi""))"),"")</f>
        <v/>
      </c>
      <c r="AE235" s="5" t="str">
        <f ca="1">IFERROR(__xludf.DUMMYFUNCTION("IF(AA235 = """", """", GOOGLETRANSLATE(AA235, ""en"", ""hi""))"),"")</f>
        <v/>
      </c>
      <c r="AF235" s="5" t="str">
        <f ca="1">IFERROR(__xludf.DUMMYFUNCTION("IF(AB235 = """", """", GOOGLETRANSLATE(AB235, ""en"", ""hi""))"),"")</f>
        <v/>
      </c>
      <c r="AG235" s="5" t="str">
        <f ca="1">IFERROR(__xludf.DUMMYFUNCTION("IF(Y235 = """", """", GOOGLETRANSLATE(Y235, ""en"", ""mr""))"),"")</f>
        <v/>
      </c>
      <c r="AH235" s="5" t="str">
        <f ca="1">IFERROR(__xludf.DUMMYFUNCTION("IF(Z235 = """", """", GOOGLETRANSLATE(Z235, ""en"", ""mr""))"),"")</f>
        <v/>
      </c>
      <c r="AI235" s="5" t="str">
        <f ca="1">IFERROR(__xludf.DUMMYFUNCTION("IF(AA235 = """", """", GOOGLETRANSLATE(AA235, ""en"", ""mr""))"),"")</f>
        <v/>
      </c>
      <c r="AJ235" s="5" t="str">
        <f ca="1">IFERROR(__xludf.DUMMYFUNCTION("IF(AB235 = """", """", GOOGLETRANSLATE(AB235, ""en"", ""mr""))"),"")</f>
        <v/>
      </c>
      <c r="AK235" s="5" t="str">
        <f ca="1">IFERROR(__xludf.DUMMYFUNCTION("IF(Y235 = """", """", GOOGLETRANSLATE(Y235, ""en"", ""gu""))"),"")</f>
        <v/>
      </c>
      <c r="AL235" s="5" t="str">
        <f ca="1">IFERROR(__xludf.DUMMYFUNCTION("IF(Z235 = """", """", GOOGLETRANSLATE(Z235, ""en"", ""gu""))"),"")</f>
        <v/>
      </c>
      <c r="AM235" s="5" t="str">
        <f ca="1">IFERROR(__xludf.DUMMYFUNCTION("IF(AA235 = """", """", GOOGLETRANSLATE(AA235, ""en"", ""gu""))"),"")</f>
        <v/>
      </c>
      <c r="AN235" s="5" t="str">
        <f ca="1">IFERROR(__xludf.DUMMYFUNCTION("IF(AB235 = """", """", GOOGLETRANSLATE(AB235, ""en"", ""gu""))"),"")</f>
        <v/>
      </c>
      <c r="AO235" s="5" t="str">
        <f ca="1">IFERROR(__xludf.DUMMYFUNCTION("IF(Y235 = """", """", GOOGLETRANSLATE(Y235, ""en"", ""bn""))"),"")</f>
        <v/>
      </c>
      <c r="AP235" s="5" t="str">
        <f ca="1">IFERROR(__xludf.DUMMYFUNCTION("IF(Z235 = """", """", GOOGLETRANSLATE(Z235, ""en"", ""bn""))"),"")</f>
        <v/>
      </c>
      <c r="AQ235" s="5" t="str">
        <f ca="1">IFERROR(__xludf.DUMMYFUNCTION("IF(AA235 = """", """", GOOGLETRANSLATE(AA235, ""en"", ""bn""))"),"")</f>
        <v/>
      </c>
      <c r="AR235" s="5" t="str">
        <f ca="1">IFERROR(__xludf.DUMMYFUNCTION("IF(AB235 = """", """", GOOGLETRANSLATE(AB235, ""en"", ""bn""))"),"")</f>
        <v/>
      </c>
      <c r="AU235" s="5" t="str">
        <f ca="1">IFERROR(__xludf.DUMMYFUNCTION("IF(Y235 = """", """", GOOGLETRANSLATE(Y235, ""en"", ""te""))"),"")</f>
        <v/>
      </c>
      <c r="AV235" s="5" t="str">
        <f ca="1">IFERROR(__xludf.DUMMYFUNCTION("IF(Z235 = """", """", GOOGLETRANSLATE(Z235, ""en"", ""te""))"),"")</f>
        <v/>
      </c>
      <c r="AW235" s="5" t="str">
        <f ca="1">IFERROR(__xludf.DUMMYFUNCTION("IF(AA235 = """", """", GOOGLETRANSLATE(AA235, ""en"", ""te""))"),"")</f>
        <v/>
      </c>
      <c r="AX235" s="5" t="str">
        <f ca="1">IFERROR(__xludf.DUMMYFUNCTION("IF(AB235 = """", """", GOOGLETRANSLATE(AB235, ""en"", ""te""))"),"")</f>
        <v/>
      </c>
    </row>
    <row r="236" spans="1:50" x14ac:dyDescent="0.25">
      <c r="A236" s="1">
        <v>251</v>
      </c>
      <c r="B236" s="1" t="s">
        <v>56</v>
      </c>
      <c r="C236" s="2">
        <v>45842</v>
      </c>
      <c r="D236" s="2">
        <v>45842</v>
      </c>
      <c r="E236" s="1">
        <v>0</v>
      </c>
      <c r="F236" s="1">
        <v>1</v>
      </c>
      <c r="G236" s="3" t="s">
        <v>700</v>
      </c>
      <c r="H236" s="4">
        <v>7.7546296296296295E-3</v>
      </c>
      <c r="I236" s="4">
        <v>0</v>
      </c>
      <c r="J236" s="4">
        <v>8.6805555555555551E-4</v>
      </c>
      <c r="K236" s="1"/>
      <c r="L236" s="1" t="s">
        <v>59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 t="str">
        <f ca="1">IFERROR(__xludf.DUMMYFUNCTION("IF(Y236 = """", """", GOOGLETRANSLATE(Y236, ""en"", ""hi""))
"),"")</f>
        <v/>
      </c>
      <c r="AD236" s="5" t="str">
        <f ca="1">IFERROR(__xludf.DUMMYFUNCTION("IF(Z236 = """", """", GOOGLETRANSLATE(Z236, ""en"", ""hi""))"),"")</f>
        <v/>
      </c>
      <c r="AE236" s="5" t="str">
        <f ca="1">IFERROR(__xludf.DUMMYFUNCTION("IF(AA236 = """", """", GOOGLETRANSLATE(AA236, ""en"", ""hi""))"),"")</f>
        <v/>
      </c>
      <c r="AF236" s="5" t="str">
        <f ca="1">IFERROR(__xludf.DUMMYFUNCTION("IF(AB236 = """", """", GOOGLETRANSLATE(AB236, ""en"", ""hi""))"),"")</f>
        <v/>
      </c>
      <c r="AG236" s="5" t="str">
        <f ca="1">IFERROR(__xludf.DUMMYFUNCTION("IF(Y236 = """", """", GOOGLETRANSLATE(Y236, ""en"", ""mr""))"),"")</f>
        <v/>
      </c>
      <c r="AH236" s="5" t="str">
        <f ca="1">IFERROR(__xludf.DUMMYFUNCTION("IF(Z236 = """", """", GOOGLETRANSLATE(Z236, ""en"", ""mr""))"),"")</f>
        <v/>
      </c>
      <c r="AI236" s="5" t="str">
        <f ca="1">IFERROR(__xludf.DUMMYFUNCTION("IF(AA236 = """", """", GOOGLETRANSLATE(AA236, ""en"", ""mr""))"),"")</f>
        <v/>
      </c>
      <c r="AJ236" s="5" t="str">
        <f ca="1">IFERROR(__xludf.DUMMYFUNCTION("IF(AB236 = """", """", GOOGLETRANSLATE(AB236, ""en"", ""mr""))"),"")</f>
        <v/>
      </c>
      <c r="AK236" s="5" t="str">
        <f ca="1">IFERROR(__xludf.DUMMYFUNCTION("IF(Y236 = """", """", GOOGLETRANSLATE(Y236, ""en"", ""gu""))"),"")</f>
        <v/>
      </c>
      <c r="AL236" s="5" t="str">
        <f ca="1">IFERROR(__xludf.DUMMYFUNCTION("IF(Z236 = """", """", GOOGLETRANSLATE(Z236, ""en"", ""gu""))"),"")</f>
        <v/>
      </c>
      <c r="AM236" s="5" t="str">
        <f ca="1">IFERROR(__xludf.DUMMYFUNCTION("IF(AA236 = """", """", GOOGLETRANSLATE(AA236, ""en"", ""gu""))"),"")</f>
        <v/>
      </c>
      <c r="AN236" s="5" t="str">
        <f ca="1">IFERROR(__xludf.DUMMYFUNCTION("IF(AB236 = """", """", GOOGLETRANSLATE(AB236, ""en"", ""gu""))"),"")</f>
        <v/>
      </c>
      <c r="AO236" s="5" t="str">
        <f ca="1">IFERROR(__xludf.DUMMYFUNCTION("IF(Y236 = """", """", GOOGLETRANSLATE(Y236, ""en"", ""bn""))"),"")</f>
        <v/>
      </c>
      <c r="AP236" s="5" t="str">
        <f ca="1">IFERROR(__xludf.DUMMYFUNCTION("IF(Z236 = """", """", GOOGLETRANSLATE(Z236, ""en"", ""bn""))"),"")</f>
        <v/>
      </c>
      <c r="AQ236" s="5" t="str">
        <f ca="1">IFERROR(__xludf.DUMMYFUNCTION("IF(AA236 = """", """", GOOGLETRANSLATE(AA236, ""en"", ""bn""))"),"")</f>
        <v/>
      </c>
      <c r="AR236" s="5" t="str">
        <f ca="1">IFERROR(__xludf.DUMMYFUNCTION("IF(AB236 = """", """", GOOGLETRANSLATE(AB236, ""en"", ""bn""))"),"")</f>
        <v/>
      </c>
      <c r="AU236" s="5" t="str">
        <f ca="1">IFERROR(__xludf.DUMMYFUNCTION("IF(Y236 = """", """", GOOGLETRANSLATE(Y236, ""en"", ""te""))"),"")</f>
        <v/>
      </c>
      <c r="AV236" s="5" t="str">
        <f ca="1">IFERROR(__xludf.DUMMYFUNCTION("IF(Z236 = """", """", GOOGLETRANSLATE(Z236, ""en"", ""te""))"),"")</f>
        <v/>
      </c>
      <c r="AW236" s="5" t="str">
        <f ca="1">IFERROR(__xludf.DUMMYFUNCTION("IF(AA236 = """", """", GOOGLETRANSLATE(AA236, ""en"", ""te""))"),"")</f>
        <v/>
      </c>
      <c r="AX236" s="5" t="str">
        <f ca="1">IFERROR(__xludf.DUMMYFUNCTION("IF(AB236 = """", """", GOOGLETRANSLATE(AB236, ""en"", ""te""))"),"")</f>
        <v/>
      </c>
    </row>
    <row r="237" spans="1:50" x14ac:dyDescent="0.25">
      <c r="A237" s="1">
        <v>252</v>
      </c>
      <c r="B237" s="1" t="s">
        <v>56</v>
      </c>
      <c r="C237" s="2">
        <v>45842</v>
      </c>
      <c r="D237" s="2">
        <v>45842</v>
      </c>
      <c r="E237" s="1">
        <v>1</v>
      </c>
      <c r="F237" s="1">
        <v>1</v>
      </c>
      <c r="G237" s="3" t="s">
        <v>700</v>
      </c>
      <c r="H237" s="4">
        <v>7.7546296296296295E-3</v>
      </c>
      <c r="I237" s="4">
        <v>8.6805555555555551E-4</v>
      </c>
      <c r="J237" s="4">
        <v>1.4583333333333334E-3</v>
      </c>
      <c r="K237" s="1"/>
      <c r="L237" s="1" t="s">
        <v>142</v>
      </c>
      <c r="M237" s="1"/>
      <c r="N237" s="1"/>
      <c r="O237" s="1" t="s">
        <v>91</v>
      </c>
      <c r="P237" s="1" t="s">
        <v>61</v>
      </c>
      <c r="Q237" s="1" t="s">
        <v>61</v>
      </c>
      <c r="R237" s="1" t="s">
        <v>61</v>
      </c>
      <c r="S237" s="1" t="s">
        <v>61</v>
      </c>
      <c r="T237" s="1" t="s">
        <v>61</v>
      </c>
      <c r="U237" s="1"/>
      <c r="V237" s="1" t="s">
        <v>61</v>
      </c>
      <c r="W237" s="1" t="s">
        <v>91</v>
      </c>
      <c r="X237" s="1" t="s">
        <v>61</v>
      </c>
      <c r="Y237" s="1" t="s">
        <v>365</v>
      </c>
      <c r="Z237" s="1" t="s">
        <v>701</v>
      </c>
      <c r="AA237" s="1" t="s">
        <v>702</v>
      </c>
      <c r="AB237" s="1"/>
      <c r="AC237" s="5" t="str">
        <f ca="1">IFERROR(__xludf.DUMMYFUNCTION("IF(Y237 = """", """", GOOGLETRANSLATE(Y237, ""en"", ""hi""))
"),"भारी कार्यभार")</f>
        <v>भारी कार्यभार</v>
      </c>
      <c r="AD237" s="5" t="str">
        <f ca="1">IFERROR(__xludf.DUMMYFUNCTION("IF(Z237 = """", """", GOOGLETRANSLATE(Z237, ""en"", ""hi""))"),"प्रयास से कार्य पूरा करें")</f>
        <v>प्रयास से कार्य पूरा करें</v>
      </c>
      <c r="AE237" s="5" t="str">
        <f ca="1">IFERROR(__xludf.DUMMYFUNCTION("IF(AA237 = """", """", GOOGLETRANSLATE(AA237, ""en"", ""hi""))"),"शाम की थकान लेकिन संतुष्टि")</f>
        <v>शाम की थकान लेकिन संतुष्टि</v>
      </c>
      <c r="AF237" s="5" t="str">
        <f ca="1">IFERROR(__xludf.DUMMYFUNCTION("IF(AB237 = """", """", GOOGLETRANSLATE(AB237, ""en"", ""hi""))"),"")</f>
        <v/>
      </c>
      <c r="AG237" s="5" t="str">
        <f ca="1">IFERROR(__xludf.DUMMYFUNCTION("IF(Y237 = """", """", GOOGLETRANSLATE(Y237, ""en"", ""mr""))"),"कामाचा प्रचंड ताण")</f>
        <v>कामाचा प्रचंड ताण</v>
      </c>
      <c r="AH237" s="5" t="str">
        <f ca="1">IFERROR(__xludf.DUMMYFUNCTION("IF(Z237 = """", """", GOOGLETRANSLATE(Z237, ""en"", ""mr""))"),"मेहनत घेऊन काम पूर्ण करा")</f>
        <v>मेहनत घेऊन काम पूर्ण करा</v>
      </c>
      <c r="AI237" s="5" t="str">
        <f ca="1">IFERROR(__xludf.DUMMYFUNCTION("IF(AA237 = """", """", GOOGLETRANSLATE(AA237, ""en"", ""mr""))"),"संध्याकाळचा थकवा पण समाधान")</f>
        <v>संध्याकाळचा थकवा पण समाधान</v>
      </c>
      <c r="AJ237" s="5" t="str">
        <f ca="1">IFERROR(__xludf.DUMMYFUNCTION("IF(AB237 = """", """", GOOGLETRANSLATE(AB237, ""en"", ""mr""))"),"")</f>
        <v/>
      </c>
      <c r="AK237" s="5" t="str">
        <f ca="1">IFERROR(__xludf.DUMMYFUNCTION("IF(Y237 = """", """", GOOGLETRANSLATE(Y237, ""en"", ""gu""))"),"ભારે કામનું ભારણ")</f>
        <v>ભારે કામનું ભારણ</v>
      </c>
      <c r="AL237" s="5" t="str">
        <f ca="1">IFERROR(__xludf.DUMMYFUNCTION("IF(Z237 = """", """", GOOGLETRANSLATE(Z237, ""en"", ""gu""))"),"મહેનતથી કામ પૂર્ણ કરો")</f>
        <v>મહેનતથી કામ પૂર્ણ કરો</v>
      </c>
      <c r="AM237" s="5" t="str">
        <f ca="1">IFERROR(__xludf.DUMMYFUNCTION("IF(AA237 = """", """", GOOGLETRANSLATE(AA237, ""en"", ""gu""))"),"સાંજનો થાક પણ સંતોષ")</f>
        <v>સાંજનો થાક પણ સંતોષ</v>
      </c>
      <c r="AN237" s="5" t="str">
        <f ca="1">IFERROR(__xludf.DUMMYFUNCTION("IF(AB237 = """", """", GOOGLETRANSLATE(AB237, ""en"", ""gu""))"),"")</f>
        <v/>
      </c>
      <c r="AO237" s="5" t="str">
        <f ca="1">IFERROR(__xludf.DUMMYFUNCTION("IF(Y237 = """", """", GOOGLETRANSLATE(Y237, ""en"", ""bn""))"),"ভারী কাজের চাপ")</f>
        <v>ভারী কাজের চাপ</v>
      </c>
      <c r="AP237" s="5" t="str">
        <f ca="1">IFERROR(__xludf.DUMMYFUNCTION("IF(Z237 = """", """", GOOGLETRANSLATE(Z237, ""en"", ""bn""))"),"পরিশ্রমের সাথে কাজটি সম্পূর্ণ করুন")</f>
        <v>পরিশ্রমের সাথে কাজটি সম্পূর্ণ করুন</v>
      </c>
      <c r="AQ237" s="5" t="str">
        <f ca="1">IFERROR(__xludf.DUMMYFUNCTION("IF(AA237 = """", """", GOOGLETRANSLATE(AA237, ""en"", ""bn""))"),"সন্ধ্যার ক্লান্তি কিন্তু তৃপ্তি")</f>
        <v>সন্ধ্যার ক্লান্তি কিন্তু তৃপ্তি</v>
      </c>
      <c r="AR237" s="5" t="str">
        <f ca="1">IFERROR(__xludf.DUMMYFUNCTION("IF(AB237 = """", """", GOOGLETRANSLATE(AB237, ""en"", ""bn""))"),"")</f>
        <v/>
      </c>
      <c r="AU237" s="5" t="str">
        <f ca="1">IFERROR(__xludf.DUMMYFUNCTION("IF(Y237 = """", """", GOOGLETRANSLATE(Y237, ""en"", ""te""))"),"అధిక పనిభారం")</f>
        <v>అధిక పనిభారం</v>
      </c>
      <c r="AV237" s="5" t="str">
        <f ca="1">IFERROR(__xludf.DUMMYFUNCTION("IF(Z237 = """", """", GOOGLETRANSLATE(Z237, ""en"", ""te""))"),"శ్రమతో పని పూర్తి చేయండి")</f>
        <v>శ్రమతో పని పూర్తి చేయండి</v>
      </c>
      <c r="AW237" s="5" t="str">
        <f ca="1">IFERROR(__xludf.DUMMYFUNCTION("IF(AA237 = """", """", GOOGLETRANSLATE(AA237, ""en"", ""te""))"),"సాయంత్రం అలసట కానీ సంతృప్తి")</f>
        <v>సాయంత్రం అలసట కానీ సంతృప్తి</v>
      </c>
      <c r="AX237" s="5" t="str">
        <f ca="1">IFERROR(__xludf.DUMMYFUNCTION("IF(AB237 = """", """", GOOGLETRANSLATE(AB237, ""en"", ""te""))"),"")</f>
        <v/>
      </c>
    </row>
    <row r="238" spans="1:50" x14ac:dyDescent="0.25">
      <c r="A238" s="1">
        <v>253</v>
      </c>
      <c r="B238" s="1" t="s">
        <v>56</v>
      </c>
      <c r="C238" s="2">
        <v>45842</v>
      </c>
      <c r="D238" s="2">
        <v>45842</v>
      </c>
      <c r="E238" s="1">
        <v>2</v>
      </c>
      <c r="F238" s="1">
        <v>1</v>
      </c>
      <c r="G238" s="3" t="s">
        <v>700</v>
      </c>
      <c r="H238" s="4">
        <v>7.7546296296296295E-3</v>
      </c>
      <c r="I238" s="4">
        <v>1.4583333333333334E-3</v>
      </c>
      <c r="J238" s="4">
        <v>1.9675925925925924E-3</v>
      </c>
      <c r="K238" s="1"/>
      <c r="L238" s="1" t="s">
        <v>90</v>
      </c>
      <c r="M238" s="1"/>
      <c r="N238" s="1"/>
      <c r="O238" s="1" t="s">
        <v>91</v>
      </c>
      <c r="P238" s="1" t="s">
        <v>61</v>
      </c>
      <c r="Q238" s="1" t="s">
        <v>61</v>
      </c>
      <c r="R238" s="1" t="s">
        <v>61</v>
      </c>
      <c r="S238" s="1" t="s">
        <v>61</v>
      </c>
      <c r="T238" s="1" t="s">
        <v>61</v>
      </c>
      <c r="U238" s="1"/>
      <c r="V238" s="1" t="s">
        <v>91</v>
      </c>
      <c r="W238" s="1" t="s">
        <v>61</v>
      </c>
      <c r="X238" s="1" t="s">
        <v>61</v>
      </c>
      <c r="Y238" s="1" t="s">
        <v>703</v>
      </c>
      <c r="Z238" s="1" t="s">
        <v>704</v>
      </c>
      <c r="AA238" s="1" t="s">
        <v>466</v>
      </c>
      <c r="AB238" s="1"/>
      <c r="AC238" s="5" t="str">
        <f ca="1">IFERROR(__xludf.DUMMYFUNCTION("IF(Y238 = """", """", GOOGLETRANSLATE(Y238, ""en"", ""hi""))
"),"पिछला तनाव और चिड़चिड़ापन कम होता है")</f>
        <v>पिछला तनाव और चिड़चिड़ापन कम होता है</v>
      </c>
      <c r="AD238" s="5" t="str">
        <f ca="1">IFERROR(__xludf.DUMMYFUNCTION("IF(Z238 = """", """", GOOGLETRANSLATE(Z238, ""en"", ""hi""))"),"बच्चों से संबंधित चिंताएँ कम होती हैं")</f>
        <v>बच्चों से संबंधित चिंताएँ कम होती हैं</v>
      </c>
      <c r="AE238" s="5" t="str">
        <f ca="1">IFERROR(__xludf.DUMMYFUNCTION("IF(AA238 = """", """", GOOGLETRANSLATE(AA238, ""en"", ""hi""))"),"मीठी वाणी सफलता लाती है")</f>
        <v>मीठी वाणी सफलता लाती है</v>
      </c>
      <c r="AF238" s="5" t="str">
        <f ca="1">IFERROR(__xludf.DUMMYFUNCTION("IF(AB238 = """", """", GOOGLETRANSLATE(AB238, ""en"", ""hi""))"),"")</f>
        <v/>
      </c>
      <c r="AG238" s="5" t="str">
        <f ca="1">IFERROR(__xludf.DUMMYFUNCTION("IF(Y238 = """", """", GOOGLETRANSLATE(Y238, ""en"", ""mr""))"),"पूर्वीचा ताण आणि चिडचिड कमी होते")</f>
        <v>पूर्वीचा ताण आणि चिडचिड कमी होते</v>
      </c>
      <c r="AH238" s="5" t="str">
        <f ca="1">IFERROR(__xludf.DUMMYFUNCTION("IF(Z238 = """", """", GOOGLETRANSLATE(Z238, ""en"", ""mr""))"),"मुलांशी संबंधित चिंता कमी होईल")</f>
        <v>मुलांशी संबंधित चिंता कमी होईल</v>
      </c>
      <c r="AI238" s="5" t="str">
        <f ca="1">IFERROR(__xludf.DUMMYFUNCTION("IF(AA238 = """", """", GOOGLETRANSLATE(AA238, ""en"", ""mr""))"),"गोड बोलण्याने यश मिळते")</f>
        <v>गोड बोलण्याने यश मिळते</v>
      </c>
      <c r="AJ238" s="5" t="str">
        <f ca="1">IFERROR(__xludf.DUMMYFUNCTION("IF(AB238 = """", """", GOOGLETRANSLATE(AB238, ""en"", ""mr""))"),"")</f>
        <v/>
      </c>
      <c r="AK238" s="5" t="str">
        <f ca="1">IFERROR(__xludf.DUMMYFUNCTION("IF(Y238 = """", """", GOOGLETRANSLATE(Y238, ""en"", ""gu""))"),"ભૂતકાળનો તણાવ અને ચીડિયાપણું ઘટાડે છે")</f>
        <v>ભૂતકાળનો તણાવ અને ચીડિયાપણું ઘટાડે છે</v>
      </c>
      <c r="AL238" s="5" t="str">
        <f ca="1">IFERROR(__xludf.DUMMYFUNCTION("IF(Z238 = """", """", GOOGLETRANSLATE(Z238, ""en"", ""gu""))"),"સંતાન સંબંધી ચિંતાઓ હળવી થાય")</f>
        <v>સંતાન સંબંધી ચિંતાઓ હળવી થાય</v>
      </c>
      <c r="AM238" s="5" t="str">
        <f ca="1">IFERROR(__xludf.DUMMYFUNCTION("IF(AA238 = """", """", GOOGLETRANSLATE(AA238, ""en"", ""gu""))"),"મીઠી વાણીથી સફળતા મળે")</f>
        <v>મીઠી વાણીથી સફળતા મળે</v>
      </c>
      <c r="AN238" s="5" t="str">
        <f ca="1">IFERROR(__xludf.DUMMYFUNCTION("IF(AB238 = """", """", GOOGLETRANSLATE(AB238, ""en"", ""gu""))"),"")</f>
        <v/>
      </c>
      <c r="AO238" s="5" t="str">
        <f ca="1">IFERROR(__xludf.DUMMYFUNCTION("IF(Y238 = """", """", GOOGLETRANSLATE(Y238, ""en"", ""bn""))"),"অতীতের মানসিক চাপ এবং বিরক্তি কমায়")</f>
        <v>অতীতের মানসিক চাপ এবং বিরক্তি কমায়</v>
      </c>
      <c r="AP238" s="5" t="str">
        <f ca="1">IFERROR(__xludf.DUMMYFUNCTION("IF(Z238 = """", """", GOOGLETRANSLATE(Z238, ""en"", ""bn""))"),"সন্তান-সম্পর্কিত উদ্বেগ কমবে")</f>
        <v>সন্তান-সম্পর্কিত উদ্বেগ কমবে</v>
      </c>
      <c r="AQ238" s="5" t="str">
        <f ca="1">IFERROR(__xludf.DUMMYFUNCTION("IF(AA238 = """", """", GOOGLETRANSLATE(AA238, ""en"", ""bn""))"),"মিষ্টি কথাবার্তা সাফল্য এনে দেয়")</f>
        <v>মিষ্টি কথাবার্তা সাফল্য এনে দেয়</v>
      </c>
      <c r="AR238" s="5" t="str">
        <f ca="1">IFERROR(__xludf.DUMMYFUNCTION("IF(AB238 = """", """", GOOGLETRANSLATE(AB238, ""en"", ""bn""))"),"")</f>
        <v/>
      </c>
      <c r="AU238" s="5" t="str">
        <f ca="1">IFERROR(__xludf.DUMMYFUNCTION("IF(Y238 = """", """", GOOGLETRANSLATE(Y238, ""en"", ""te""))"),"గత ఒత్తిడి మరియు చిరాకు తగ్గుతుంది")</f>
        <v>గత ఒత్తిడి మరియు చిరాకు తగ్గుతుంది</v>
      </c>
      <c r="AV238" s="5" t="str">
        <f ca="1">IFERROR(__xludf.DUMMYFUNCTION("IF(Z238 = """", """", GOOGLETRANSLATE(Z238, ""en"", ""te""))"),"పిల్లలకు సంబంధించిన ఆందోళనలు తగ్గుతాయి")</f>
        <v>పిల్లలకు సంబంధించిన ఆందోళనలు తగ్గుతాయి</v>
      </c>
      <c r="AW238" s="5" t="str">
        <f ca="1">IFERROR(__xludf.DUMMYFUNCTION("IF(AA238 = """", """", GOOGLETRANSLATE(AA238, ""en"", ""te""))"),"మధురమైన మాటలు విజయాన్ని అందిస్తాయి")</f>
        <v>మధురమైన మాటలు విజయాన్ని అందిస్తాయి</v>
      </c>
      <c r="AX238" s="5" t="str">
        <f ca="1">IFERROR(__xludf.DUMMYFUNCTION("IF(AB238 = """", """", GOOGLETRANSLATE(AB238, ""en"", ""te""))"),"")</f>
        <v/>
      </c>
    </row>
    <row r="239" spans="1:50" x14ac:dyDescent="0.25">
      <c r="A239" s="1">
        <v>254</v>
      </c>
      <c r="B239" s="1" t="s">
        <v>56</v>
      </c>
      <c r="C239" s="2">
        <v>45842</v>
      </c>
      <c r="D239" s="2">
        <v>45842</v>
      </c>
      <c r="E239" s="1">
        <v>3</v>
      </c>
      <c r="F239" s="1">
        <v>1</v>
      </c>
      <c r="G239" s="3" t="s">
        <v>700</v>
      </c>
      <c r="H239" s="4">
        <v>7.7546296296296295E-3</v>
      </c>
      <c r="I239" s="4">
        <v>1.9675925925925924E-3</v>
      </c>
      <c r="J239" s="4">
        <v>2.5925925925925925E-3</v>
      </c>
      <c r="K239" s="1"/>
      <c r="L239" s="1" t="s">
        <v>97</v>
      </c>
      <c r="M239" s="1"/>
      <c r="N239" s="1"/>
      <c r="O239" s="1" t="s">
        <v>61</v>
      </c>
      <c r="P239" s="1" t="s">
        <v>61</v>
      </c>
      <c r="Q239" s="1" t="s">
        <v>61</v>
      </c>
      <c r="R239" s="1" t="s">
        <v>61</v>
      </c>
      <c r="S239" s="1" t="s">
        <v>61</v>
      </c>
      <c r="T239" s="1" t="s">
        <v>91</v>
      </c>
      <c r="U239" s="1"/>
      <c r="V239" s="1" t="s">
        <v>61</v>
      </c>
      <c r="W239" s="1" t="s">
        <v>61</v>
      </c>
      <c r="X239" s="1" t="s">
        <v>91</v>
      </c>
      <c r="Y239" s="1" t="s">
        <v>705</v>
      </c>
      <c r="Z239" s="1" t="s">
        <v>706</v>
      </c>
      <c r="AA239" s="1" t="s">
        <v>707</v>
      </c>
      <c r="AB239" s="1"/>
      <c r="AC239" s="5" t="str">
        <f ca="1">IFERROR(__xludf.DUMMYFUNCTION("IF(Y239 = """", """", GOOGLETRANSLATE(Y239, ""en"", ""hi""))
"),"राहु-गुरु गोचर के कारण भ्रम")</f>
        <v>राहु-गुरु गोचर के कारण भ्रम</v>
      </c>
      <c r="AD239" s="5" t="str">
        <f ca="1">IFERROR(__xludf.DUMMYFUNCTION("IF(Z239 = """", """", GOOGLETRANSLATE(Z239, ""en"", ""hi""))"),"जल्दबाजी में निर्णय लेने से बचें")</f>
        <v>जल्दबाजी में निर्णय लेने से बचें</v>
      </c>
      <c r="AE239" s="5" t="str">
        <f ca="1">IFERROR(__xludf.DUMMYFUNCTION("IF(AA239 = """", """", GOOGLETRANSLATE(AA239, ""en"", ""hi""))"),"शांत रहें और प्रतिक्रियाओं से बचें")</f>
        <v>शांत रहें और प्रतिक्रियाओं से बचें</v>
      </c>
      <c r="AF239" s="5" t="str">
        <f ca="1">IFERROR(__xludf.DUMMYFUNCTION("IF(AB239 = """", """", GOOGLETRANSLATE(AB239, ""en"", ""hi""))"),"")</f>
        <v/>
      </c>
      <c r="AG239" s="5" t="str">
        <f ca="1">IFERROR(__xludf.DUMMYFUNCTION("IF(Y239 = """", """", GOOGLETRANSLATE(Y239, ""en"", ""mr""))"),"राहू-गुरू संक्रमणामुळे भ्रम")</f>
        <v>राहू-गुरू संक्रमणामुळे भ्रम</v>
      </c>
      <c r="AH239" s="5" t="str">
        <f ca="1">IFERROR(__xludf.DUMMYFUNCTION("IF(Z239 = """", """", GOOGLETRANSLATE(Z239, ""en"", ""mr""))"),"घाईघाईने घेतलेले निर्णय टाळा")</f>
        <v>घाईघाईने घेतलेले निर्णय टाळा</v>
      </c>
      <c r="AI239" s="5" t="str">
        <f ca="1">IFERROR(__xludf.DUMMYFUNCTION("IF(AA239 = """", """", GOOGLETRANSLATE(AA239, ""en"", ""mr""))"),"शांत राहा आणि प्रतिक्रिया टाळा")</f>
        <v>शांत राहा आणि प्रतिक्रिया टाळा</v>
      </c>
      <c r="AJ239" s="5" t="str">
        <f ca="1">IFERROR(__xludf.DUMMYFUNCTION("IF(AB239 = """", """", GOOGLETRANSLATE(AB239, ""en"", ""mr""))"),"")</f>
        <v/>
      </c>
      <c r="AK239" s="5" t="str">
        <f ca="1">IFERROR(__xludf.DUMMYFUNCTION("IF(Y239 = """", """", GOOGLETRANSLATE(Y239, ""en"", ""gu""))"),"રાહુ-ગુરુ સંક્રમણને કારણે ભ્રમ")</f>
        <v>રાહુ-ગુરુ સંક્રમણને કારણે ભ્રમ</v>
      </c>
      <c r="AL239" s="5" t="str">
        <f ca="1">IFERROR(__xludf.DUMMYFUNCTION("IF(Z239 = """", """", GOOGLETRANSLATE(Z239, ""en"", ""gu""))"),"ઉતાવળા નિર્ણયો ટાળો")</f>
        <v>ઉતાવળા નિર્ણયો ટાળો</v>
      </c>
      <c r="AM239" s="5" t="str">
        <f ca="1">IFERROR(__xludf.DUMMYFUNCTION("IF(AA239 = """", """", GOOGLETRANSLATE(AA239, ""en"", ""gu""))"),"શાંત રહો અને પ્રતિક્રિયાઓ ટાળો")</f>
        <v>શાંત રહો અને પ્રતિક્રિયાઓ ટાળો</v>
      </c>
      <c r="AN239" s="5" t="str">
        <f ca="1">IFERROR(__xludf.DUMMYFUNCTION("IF(AB239 = """", """", GOOGLETRANSLATE(AB239, ""en"", ""gu""))"),"")</f>
        <v/>
      </c>
      <c r="AO239" s="5" t="str">
        <f ca="1">IFERROR(__xludf.DUMMYFUNCTION("IF(Y239 = """", """", GOOGLETRANSLATE(Y239, ""en"", ""bn""))"),"রাহু-গুরু ট্রানজিটের কারণে ভ্রম")</f>
        <v>রাহু-গুরু ট্রানজিটের কারণে ভ্রম</v>
      </c>
      <c r="AP239" s="5" t="str">
        <f ca="1">IFERROR(__xludf.DUMMYFUNCTION("IF(Z239 = """", """", GOOGLETRANSLATE(Z239, ""en"", ""bn""))"),"হুট করে সিদ্ধান্ত এড়িয়ে চলুন")</f>
        <v>হুট করে সিদ্ধান্ত এড়িয়ে চলুন</v>
      </c>
      <c r="AQ239" s="5" t="str">
        <f ca="1">IFERROR(__xludf.DUMMYFUNCTION("IF(AA239 = """", """", GOOGLETRANSLATE(AA239, ""en"", ""bn""))"),"শান্ত থাকুন এবং প্রতিক্রিয়া এড়ান")</f>
        <v>শান্ত থাকুন এবং প্রতিক্রিয়া এড়ান</v>
      </c>
      <c r="AR239" s="5" t="str">
        <f ca="1">IFERROR(__xludf.DUMMYFUNCTION("IF(AB239 = """", """", GOOGLETRANSLATE(AB239, ""en"", ""bn""))"),"")</f>
        <v/>
      </c>
      <c r="AU239" s="5" t="str">
        <f ca="1">IFERROR(__xludf.DUMMYFUNCTION("IF(Y239 = """", """", GOOGLETRANSLATE(Y239, ""en"", ""te""))"),"రాహు-గురు సంచారము వలన భ్రమలు")</f>
        <v>రాహు-గురు సంచారము వలన భ్రమలు</v>
      </c>
      <c r="AV239" s="5" t="str">
        <f ca="1">IFERROR(__xludf.DUMMYFUNCTION("IF(Z239 = """", """", GOOGLETRANSLATE(Z239, ""en"", ""te""))"),"తొందరపాటు నిర్ణయాలకు దూరంగా ఉండండి")</f>
        <v>తొందరపాటు నిర్ణయాలకు దూరంగా ఉండండి</v>
      </c>
      <c r="AW239" s="5" t="str">
        <f ca="1">IFERROR(__xludf.DUMMYFUNCTION("IF(AA239 = """", """", GOOGLETRANSLATE(AA239, ""en"", ""te""))"),"ప్రశాంతంగా ఉండండి మరియు ప్రతిచర్యలకు దూరంగా ఉండండి")</f>
        <v>ప్రశాంతంగా ఉండండి మరియు ప్రతిచర్యలకు దూరంగా ఉండండి</v>
      </c>
      <c r="AX239" s="5" t="str">
        <f ca="1">IFERROR(__xludf.DUMMYFUNCTION("IF(AB239 = """", """", GOOGLETRANSLATE(AB239, ""en"", ""te""))"),"")</f>
        <v/>
      </c>
    </row>
    <row r="240" spans="1:50" x14ac:dyDescent="0.25">
      <c r="A240" s="1">
        <v>255</v>
      </c>
      <c r="B240" s="1" t="s">
        <v>56</v>
      </c>
      <c r="C240" s="2">
        <v>45842</v>
      </c>
      <c r="D240" s="2">
        <v>45842</v>
      </c>
      <c r="E240" s="1">
        <v>4</v>
      </c>
      <c r="F240" s="1">
        <v>1</v>
      </c>
      <c r="G240" s="3" t="s">
        <v>700</v>
      </c>
      <c r="H240" s="4">
        <v>7.7546296296296295E-3</v>
      </c>
      <c r="I240" s="4">
        <v>2.5925925925925925E-3</v>
      </c>
      <c r="J240" s="4">
        <v>3.1365740740740742E-3</v>
      </c>
      <c r="K240" s="1"/>
      <c r="L240" s="1" t="s">
        <v>102</v>
      </c>
      <c r="M240" s="1"/>
      <c r="N240" s="1"/>
      <c r="O240" s="1" t="s">
        <v>91</v>
      </c>
      <c r="P240" s="1" t="s">
        <v>61</v>
      </c>
      <c r="Q240" s="1" t="s">
        <v>61</v>
      </c>
      <c r="R240" s="1" t="s">
        <v>61</v>
      </c>
      <c r="S240" s="1" t="s">
        <v>61</v>
      </c>
      <c r="T240" s="1" t="s">
        <v>61</v>
      </c>
      <c r="U240" s="1"/>
      <c r="V240" s="1" t="s">
        <v>91</v>
      </c>
      <c r="W240" s="1" t="s">
        <v>61</v>
      </c>
      <c r="X240" s="1" t="s">
        <v>61</v>
      </c>
      <c r="Y240" s="1" t="s">
        <v>708</v>
      </c>
      <c r="Z240" s="1" t="s">
        <v>709</v>
      </c>
      <c r="AA240" s="1" t="s">
        <v>710</v>
      </c>
      <c r="AB240" s="1"/>
      <c r="AC240" s="5" t="str">
        <f ca="1">IFERROR(__xludf.DUMMYFUNCTION("IF(Y240 = """", """", GOOGLETRANSLATE(Y240, ""en"", ""hi""))
"),"लंबित कार्य निपटाए गए")</f>
        <v>लंबित कार्य निपटाए गए</v>
      </c>
      <c r="AD240" s="5" t="str">
        <f ca="1">IFERROR(__xludf.DUMMYFUNCTION("IF(Z240 = """", """", GOOGLETRANSLATE(Z240, ""en"", ""hi""))"),"पदोन्नति, स्थानांतरण संभव")</f>
        <v>पदोन्नति, स्थानांतरण संभव</v>
      </c>
      <c r="AE240" s="5" t="str">
        <f ca="1">IFERROR(__xludf.DUMMYFUNCTION("IF(AA240 = """", """", GOOGLETRANSLATE(AA240, ""en"", ""hi""))"),"नए व्यावसायिक अवसरों का लाभ उठाएँ")</f>
        <v>नए व्यावसायिक अवसरों का लाभ उठाएँ</v>
      </c>
      <c r="AF240" s="5" t="str">
        <f ca="1">IFERROR(__xludf.DUMMYFUNCTION("IF(AB240 = """", """", GOOGLETRANSLATE(AB240, ""en"", ""hi""))"),"")</f>
        <v/>
      </c>
      <c r="AG240" s="5" t="str">
        <f ca="1">IFERROR(__xludf.DUMMYFUNCTION("IF(Y240 = """", """", GOOGLETRANSLATE(Y240, ""en"", ""mr""))"),"प्रलंबित कामे मार्गी लागतात")</f>
        <v>प्रलंबित कामे मार्गी लागतात</v>
      </c>
      <c r="AH240" s="5" t="str">
        <f ca="1">IFERROR(__xludf.DUMMYFUNCTION("IF(Z240 = """", """", GOOGLETRANSLATE(Z240, ""en"", ""mr""))")," बढती, बदली शक्य ")</f>
        <v xml:space="preserve"> बढती, बदली शक्य </v>
      </c>
      <c r="AI240" s="5" t="str">
        <f ca="1">IFERROR(__xludf.DUMMYFUNCTION("IF(AA240 = """", """", GOOGLETRANSLATE(AA240, ""en"", ""mr""))"),"नवीन व्यवसाय संधी मिळवा")</f>
        <v>नवीन व्यवसाय संधी मिळवा</v>
      </c>
      <c r="AJ240" s="5" t="str">
        <f ca="1">IFERROR(__xludf.DUMMYFUNCTION("IF(AB240 = """", """", GOOGLETRANSLATE(AB240, ""en"", ""mr""))"),"")</f>
        <v/>
      </c>
      <c r="AK240" s="5" t="str">
        <f ca="1">IFERROR(__xludf.DUMMYFUNCTION("IF(Y240 = """", """", GOOGLETRANSLATE(Y240, ""en"", ""gu""))"),"પેન્ડિંગ કામકાજ સાફ થાય")</f>
        <v>પેન્ડિંગ કામકાજ સાફ થાય</v>
      </c>
      <c r="AL240" s="5" t="str">
        <f ca="1">IFERROR(__xludf.DUMMYFUNCTION("IF(Z240 = """", """", GOOGLETRANSLATE(Z240, ""en"", ""gu""))")," પ્રમોશન, ટ્રાન્સફર શક્ય ")</f>
        <v xml:space="preserve"> પ્રમોશન, ટ્રાન્સફર શક્ય </v>
      </c>
      <c r="AM240" s="5" t="str">
        <f ca="1">IFERROR(__xludf.DUMMYFUNCTION("IF(AA240 = """", """", GOOGLETRANSLATE(AA240, ""en"", ""gu""))"),"વ્યવસાયની નવી તકો મેળવો")</f>
        <v>વ્યવસાયની નવી તકો મેળવો</v>
      </c>
      <c r="AN240" s="5" t="str">
        <f ca="1">IFERROR(__xludf.DUMMYFUNCTION("IF(AB240 = """", """", GOOGLETRANSLATE(AB240, ""en"", ""gu""))"),"")</f>
        <v/>
      </c>
      <c r="AO240" s="5" t="str">
        <f ca="1">IFERROR(__xludf.DUMMYFUNCTION("IF(Y240 = """", """", GOOGLETRANSLATE(Y240, ""en"", ""bn""))"),"মুলতুবি কাজ ক্লিয়ার")</f>
        <v>মুলতুবি কাজ ক্লিয়ার</v>
      </c>
      <c r="AP240" s="5" t="str">
        <f ca="1">IFERROR(__xludf.DUMMYFUNCTION("IF(Z240 = """", """", GOOGLETRANSLATE(Z240, ""en"", ""bn""))")," পদোন্নতি, বদলি সম্ভব ")</f>
        <v xml:space="preserve"> পদোন্নতি, বদলি সম্ভব </v>
      </c>
      <c r="AQ240" s="5" t="str">
        <f ca="1">IFERROR(__xludf.DUMMYFUNCTION("IF(AA240 = """", """", GOOGLETRANSLATE(AA240, ""en"", ""bn""))"),"নতুন ব্যবসার সুযোগ নিন")</f>
        <v>নতুন ব্যবসার সুযোগ নিন</v>
      </c>
      <c r="AR240" s="5" t="str">
        <f ca="1">IFERROR(__xludf.DUMMYFUNCTION("IF(AB240 = """", """", GOOGLETRANSLATE(AB240, ""en"", ""bn""))"),"")</f>
        <v/>
      </c>
      <c r="AU240" s="5" t="str">
        <f ca="1">IFERROR(__xludf.DUMMYFUNCTION("IF(Y240 = """", """", GOOGLETRANSLATE(Y240, ""en"", ""te""))"),"పెండింగ్ పని క్లియర్ అవుతుంది")</f>
        <v>పెండింగ్ పని క్లియర్ అవుతుంది</v>
      </c>
      <c r="AV240" s="5" t="str">
        <f ca="1">IFERROR(__xludf.DUMMYFUNCTION("IF(Z240 = """", """", GOOGLETRANSLATE(Z240, ""en"", ""te""))")," పదోన్నతులు, బదిలీలు సాధ్యమే ")</f>
        <v xml:space="preserve"> పదోన్నతులు, బదిలీలు సాధ్యమే </v>
      </c>
      <c r="AW240" s="5" t="str">
        <f ca="1">IFERROR(__xludf.DUMMYFUNCTION("IF(AA240 = """", """", GOOGLETRANSLATE(AA240, ""en"", ""te""))"),"కొత్త వ్యాపార అవకాశాలను పొందండి")</f>
        <v>కొత్త వ్యాపార అవకాశాలను పొందండి</v>
      </c>
      <c r="AX240" s="5" t="str">
        <f ca="1">IFERROR(__xludf.DUMMYFUNCTION("IF(AB240 = """", """", GOOGLETRANSLATE(AB240, ""en"", ""te""))"),"")</f>
        <v/>
      </c>
    </row>
    <row r="241" spans="1:50" x14ac:dyDescent="0.25">
      <c r="A241" s="1">
        <v>256</v>
      </c>
      <c r="B241" s="1" t="s">
        <v>56</v>
      </c>
      <c r="C241" s="2">
        <v>45842</v>
      </c>
      <c r="D241" s="2">
        <v>45842</v>
      </c>
      <c r="E241" s="1">
        <v>5</v>
      </c>
      <c r="F241" s="1">
        <v>1</v>
      </c>
      <c r="G241" s="3" t="s">
        <v>700</v>
      </c>
      <c r="H241" s="4">
        <v>7.7546296296296295E-3</v>
      </c>
      <c r="I241" s="4">
        <v>3.1365740740740742E-3</v>
      </c>
      <c r="J241" s="4">
        <v>4.178240740740741E-3</v>
      </c>
      <c r="K241" s="1"/>
      <c r="L241" s="1" t="s">
        <v>108</v>
      </c>
      <c r="M241" s="1"/>
      <c r="N241" s="1"/>
      <c r="O241" s="1" t="s">
        <v>91</v>
      </c>
      <c r="P241" s="1" t="s">
        <v>61</v>
      </c>
      <c r="Q241" s="1" t="s">
        <v>61</v>
      </c>
      <c r="R241" s="1" t="s">
        <v>61</v>
      </c>
      <c r="S241" s="1" t="s">
        <v>61</v>
      </c>
      <c r="T241" s="1" t="s">
        <v>61</v>
      </c>
      <c r="U241" s="1"/>
      <c r="V241" s="1" t="s">
        <v>91</v>
      </c>
      <c r="W241" s="1" t="s">
        <v>61</v>
      </c>
      <c r="X241" s="1" t="s">
        <v>61</v>
      </c>
      <c r="Y241" s="1" t="s">
        <v>711</v>
      </c>
      <c r="Z241" s="1" t="s">
        <v>712</v>
      </c>
      <c r="AA241" s="1" t="s">
        <v>713</v>
      </c>
      <c r="AB241" s="1"/>
      <c r="AC241" s="5" t="str">
        <f ca="1">IFERROR(__xludf.DUMMYFUNCTION("IF(Y241 = """", """", GOOGLETRANSLATE(Y241, ""en"", ""hi""))
"),"सकारात्मक लेकिन मंगल-केतु की युति जोखिमपूर्ण")</f>
        <v>सकारात्मक लेकिन मंगल-केतु की युति जोखिमपूर्ण</v>
      </c>
      <c r="AD241" s="5" t="str">
        <f ca="1">IFERROR(__xludf.DUMMYFUNCTION("IF(Z241 = """", """", GOOGLETRANSLATE(Z241, ""en"", ""hi""))"),"सरकारी क्षेत्र के लोगों को सावधान रहना होगा")</f>
        <v>सरकारी क्षेत्र के लोगों को सावधान रहना होगा</v>
      </c>
      <c r="AE241" s="5" t="str">
        <f ca="1">IFERROR(__xludf.DUMMYFUNCTION("IF(AA241 = """", """", GOOGLETRANSLATE(AA241, ""en"", ""hi""))"),"नियमों का उल्लंघन करने से बचें")</f>
        <v>नियमों का उल्लंघन करने से बचें</v>
      </c>
      <c r="AF241" s="5" t="str">
        <f ca="1">IFERROR(__xludf.DUMMYFUNCTION("IF(AB241 = """", """", GOOGLETRANSLATE(AB241, ""en"", ""hi""))"),"")</f>
        <v/>
      </c>
      <c r="AG241" s="5" t="str">
        <f ca="1">IFERROR(__xludf.DUMMYFUNCTION("IF(Y241 = """", """", GOOGLETRANSLATE(Y241, ""en"", ""mr""))"),"सकारात्मक पण मंगळ-केतू संयोग जोखमीचा")</f>
        <v>सकारात्मक पण मंगळ-केतू संयोग जोखमीचा</v>
      </c>
      <c r="AH241" s="5" t="str">
        <f ca="1">IFERROR(__xludf.DUMMYFUNCTION("IF(Z241 = """", """", GOOGLETRANSLATE(Z241, ""en"", ""mr""))"),"सरकारी क्षेत्रातील लोकांनी सावध राहावे")</f>
        <v>सरकारी क्षेत्रातील लोकांनी सावध राहावे</v>
      </c>
      <c r="AI241" s="5" t="str">
        <f ca="1">IFERROR(__xludf.DUMMYFUNCTION("IF(AA241 = """", """", GOOGLETRANSLATE(AA241, ""en"", ""mr""))"),"नियमांचे उल्लंघन टाळा")</f>
        <v>नियमांचे उल्लंघन टाळा</v>
      </c>
      <c r="AJ241" s="5" t="str">
        <f ca="1">IFERROR(__xludf.DUMMYFUNCTION("IF(AB241 = """", """", GOOGLETRANSLATE(AB241, ""en"", ""mr""))"),"")</f>
        <v/>
      </c>
      <c r="AK241" s="5" t="str">
        <f ca="1">IFERROR(__xludf.DUMMYFUNCTION("IF(Y241 = """", """", GOOGLETRANSLATE(Y241, ""en"", ""gu""))"),"ધન છે પરંતુ મંગળ-કેતુ સંયોગ જોખમી છે")</f>
        <v>ધન છે પરંતુ મંગળ-કેતુ સંયોગ જોખમી છે</v>
      </c>
      <c r="AL241" s="5" t="str">
        <f ca="1">IFERROR(__xludf.DUMMYFUNCTION("IF(Z241 = """", """", GOOGLETRANSLATE(Z241, ""en"", ""gu""))"),"સરકારી ક્ષેત્રના લોકોએ સાવચેત રહેવું જોઈએ")</f>
        <v>સરકારી ક્ષેત્રના લોકોએ સાવચેત રહેવું જોઈએ</v>
      </c>
      <c r="AM241" s="5" t="str">
        <f ca="1">IFERROR(__xludf.DUMMYFUNCTION("IF(AA241 = """", """", GOOGLETRANSLATE(AA241, ""en"", ""gu""))"),"નિયમોનું ઉલ્લંઘન કરવાનું ટાળો")</f>
        <v>નિયમોનું ઉલ્લંઘન કરવાનું ટાળો</v>
      </c>
      <c r="AN241" s="5" t="str">
        <f ca="1">IFERROR(__xludf.DUMMYFUNCTION("IF(AB241 = """", """", GOOGLETRANSLATE(AB241, ""en"", ""gu""))"),"")</f>
        <v/>
      </c>
      <c r="AO241" s="5" t="str">
        <f ca="1">IFERROR(__xludf.DUMMYFUNCTION("IF(Y241 = """", """", GOOGLETRANSLATE(Y241, ""en"", ""bn""))"),"ইতিবাচক তবে মঙ্গল-কেতু সংযোগ ঝুঁকিপূর্ণ")</f>
        <v>ইতিবাচক তবে মঙ্গল-কেতু সংযোগ ঝুঁকিপূর্ণ</v>
      </c>
      <c r="AP241" s="5" t="str">
        <f ca="1">IFERROR(__xludf.DUMMYFUNCTION("IF(Z241 = """", """", GOOGLETRANSLATE(Z241, ""en"", ""bn""))"),"সরকারি সেক্টরের লোকজনকে সতর্ক থাকতে হবে")</f>
        <v>সরকারি সেক্টরের লোকজনকে সতর্ক থাকতে হবে</v>
      </c>
      <c r="AQ241" s="5" t="str">
        <f ca="1">IFERROR(__xludf.DUMMYFUNCTION("IF(AA241 = """", """", GOOGLETRANSLATE(AA241, ""en"", ""bn""))"),"নিয়ম লঙ্ঘন এড়িয়ে চলুন")</f>
        <v>নিয়ম লঙ্ঘন এড়িয়ে চলুন</v>
      </c>
      <c r="AR241" s="5" t="str">
        <f ca="1">IFERROR(__xludf.DUMMYFUNCTION("IF(AB241 = """", """", GOOGLETRANSLATE(AB241, ""en"", ""bn""))"),"")</f>
        <v/>
      </c>
      <c r="AU241" s="5" t="str">
        <f ca="1">IFERROR(__xludf.DUMMYFUNCTION("IF(Y241 = """", """", GOOGLETRANSLATE(Y241, ""en"", ""te""))"),"అనుకూలం కానీ కుజుడు-కేతువు సంయోగం ప్రమాదకరం")</f>
        <v>అనుకూలం కానీ కుజుడు-కేతువు సంయోగం ప్రమాదకరం</v>
      </c>
      <c r="AV241" s="5" t="str">
        <f ca="1">IFERROR(__xludf.DUMMYFUNCTION("IF(Z241 = """", """", GOOGLETRANSLATE(Z241, ""en"", ""te""))"),"ప్రభుత్వ రంగ ప్రజలు జాగ్రత్తగా ఉండాలి")</f>
        <v>ప్రభుత్వ రంగ ప్రజలు జాగ్రత్తగా ఉండాలి</v>
      </c>
      <c r="AW241" s="5" t="str">
        <f ca="1">IFERROR(__xludf.DUMMYFUNCTION("IF(AA241 = """", """", GOOGLETRANSLATE(AA241, ""en"", ""te""))"),"నిబంధనలను ఉల్లంఘించడం మానుకోండి")</f>
        <v>నిబంధనలను ఉల్లంఘించడం మానుకోండి</v>
      </c>
      <c r="AX241" s="5" t="str">
        <f ca="1">IFERROR(__xludf.DUMMYFUNCTION("IF(AB241 = """", """", GOOGLETRANSLATE(AB241, ""en"", ""te""))"),"")</f>
        <v/>
      </c>
    </row>
    <row r="242" spans="1:50" x14ac:dyDescent="0.25">
      <c r="A242" s="1">
        <v>257</v>
      </c>
      <c r="B242" s="1" t="s">
        <v>56</v>
      </c>
      <c r="C242" s="2">
        <v>45842</v>
      </c>
      <c r="D242" s="2">
        <v>45842</v>
      </c>
      <c r="E242" s="1">
        <v>6</v>
      </c>
      <c r="F242" s="1">
        <v>1</v>
      </c>
      <c r="G242" s="3" t="s">
        <v>700</v>
      </c>
      <c r="H242" s="4">
        <v>7.7546296296296295E-3</v>
      </c>
      <c r="I242" s="4">
        <v>4.178240740740741E-3</v>
      </c>
      <c r="J242" s="4">
        <v>4.5023148148148149E-3</v>
      </c>
      <c r="K242" s="1"/>
      <c r="L242" s="1" t="s">
        <v>113</v>
      </c>
      <c r="M242" s="1"/>
      <c r="N242" s="1"/>
      <c r="O242" s="1" t="s">
        <v>91</v>
      </c>
      <c r="P242" s="1" t="s">
        <v>61</v>
      </c>
      <c r="Q242" s="1" t="s">
        <v>61</v>
      </c>
      <c r="R242" s="1" t="s">
        <v>61</v>
      </c>
      <c r="S242" s="1" t="s">
        <v>61</v>
      </c>
      <c r="T242" s="1" t="s">
        <v>61</v>
      </c>
      <c r="U242" s="1"/>
      <c r="V242" s="1" t="s">
        <v>61</v>
      </c>
      <c r="W242" s="1" t="s">
        <v>61</v>
      </c>
      <c r="X242" s="1" t="s">
        <v>91</v>
      </c>
      <c r="Y242" s="1" t="s">
        <v>714</v>
      </c>
      <c r="Z242" s="1" t="s">
        <v>442</v>
      </c>
      <c r="AA242" s="1" t="s">
        <v>715</v>
      </c>
      <c r="AB242" s="1"/>
      <c r="AC242" s="5" t="str">
        <f ca="1">IFERROR(__xludf.DUMMYFUNCTION("IF(Y242 = """", """", GOOGLETRANSLATE(Y242, ""en"", ""hi""))
"),"लंबित कार्य निपटाएँ")</f>
        <v>लंबित कार्य निपटाएँ</v>
      </c>
      <c r="AD242" s="5" t="str">
        <f ca="1">IFERROR(__xludf.DUMMYFUNCTION("IF(Z242 = """", """", GOOGLETRANSLATE(Z242, ""en"", ""hi""))"),"महत्वपूर्ण निर्णयों के लिए अच्छा")</f>
        <v>महत्वपूर्ण निर्णयों के लिए अच्छा</v>
      </c>
      <c r="AE242" s="5" t="str">
        <f ca="1">IFERROR(__xludf.DUMMYFUNCTION("IF(AA242 = """", """", GOOGLETRANSLATE(AA242, ""en"", ""hi""))"),"कुछ अप्रत्याशित पारिवारिक खर्च संभव")</f>
        <v>कुछ अप्रत्याशित पारिवारिक खर्च संभव</v>
      </c>
      <c r="AF242" s="5" t="str">
        <f ca="1">IFERROR(__xludf.DUMMYFUNCTION("IF(AB242 = """", """", GOOGLETRANSLATE(AB242, ""en"", ""hi""))"),"")</f>
        <v/>
      </c>
      <c r="AG242" s="5" t="str">
        <f ca="1">IFERROR(__xludf.DUMMYFUNCTION("IF(Y242 = """", """", GOOGLETRANSLATE(Y242, ""en"", ""mr""))"),"प्रलंबित काम मिटवा")</f>
        <v>प्रलंबित काम मिटवा</v>
      </c>
      <c r="AH242" s="5" t="str">
        <f ca="1">IFERROR(__xludf.DUMMYFUNCTION("IF(Z242 = """", """", GOOGLETRANSLATE(Z242, ""en"", ""mr""))"),"महत्त्वाच्या निर्णयांसाठी चांगले")</f>
        <v>महत्त्वाच्या निर्णयांसाठी चांगले</v>
      </c>
      <c r="AI242" s="5" t="str">
        <f ca="1">IFERROR(__xludf.DUMMYFUNCTION("IF(AA242 = """", """", GOOGLETRANSLATE(AA242, ""en"", ""mr""))"),"कुटुंबाशी संबंधित काही अनपेक्षित खर्च संभवतात")</f>
        <v>कुटुंबाशी संबंधित काही अनपेक्षित खर्च संभवतात</v>
      </c>
      <c r="AJ242" s="5" t="str">
        <f ca="1">IFERROR(__xludf.DUMMYFUNCTION("IF(AB242 = """", """", GOOGLETRANSLATE(AB242, ""en"", ""mr""))"),"")</f>
        <v/>
      </c>
      <c r="AK242" s="5" t="str">
        <f ca="1">IFERROR(__xludf.DUMMYFUNCTION("IF(Y242 = """", """", GOOGLETRANSLATE(Y242, ""en"", ""gu""))"),"બાકી કામ સાફ કરો")</f>
        <v>બાકી કામ સાફ કરો</v>
      </c>
      <c r="AL242" s="5" t="str">
        <f ca="1">IFERROR(__xludf.DUMMYFUNCTION("IF(Z242 = """", """", GOOGLETRANSLATE(Z242, ""en"", ""gu""))"),"મહત્વપૂર્ણ નિર્ણયો માટે સારું")</f>
        <v>મહત્વપૂર્ણ નિર્ણયો માટે સારું</v>
      </c>
      <c r="AM242" s="5" t="str">
        <f ca="1">IFERROR(__xludf.DUMMYFUNCTION("IF(AA242 = """", """", GOOGLETRANSLATE(AA242, ""en"", ""gu""))"),"કૌટુંબિક સંબંધી કેટલાક અણધાર્યા ખર્ચાઓ શક્ય છે")</f>
        <v>કૌટુંબિક સંબંધી કેટલાક અણધાર્યા ખર્ચાઓ શક્ય છે</v>
      </c>
      <c r="AN242" s="5" t="str">
        <f ca="1">IFERROR(__xludf.DUMMYFUNCTION("IF(AB242 = """", """", GOOGLETRANSLATE(AB242, ""en"", ""gu""))"),"")</f>
        <v/>
      </c>
      <c r="AO242" s="5" t="str">
        <f ca="1">IFERROR(__xludf.DUMMYFUNCTION("IF(Y242 = """", """", GOOGLETRANSLATE(Y242, ""en"", ""bn""))"),"মুলতুবি কাজ পরিষ্কার করুন")</f>
        <v>মুলতুবি কাজ পরিষ্কার করুন</v>
      </c>
      <c r="AP242" s="5" t="str">
        <f ca="1">IFERROR(__xludf.DUMMYFUNCTION("IF(Z242 = """", """", GOOGLETRANSLATE(Z242, ""en"", ""bn""))"),"গুরুত্বপূর্ণ সিদ্ধান্তের জন্য ভাল")</f>
        <v>গুরুত্বপূর্ণ সিদ্ধান্তের জন্য ভাল</v>
      </c>
      <c r="AQ242" s="5" t="str">
        <f ca="1">IFERROR(__xludf.DUMMYFUNCTION("IF(AA242 = """", """", GOOGLETRANSLATE(AA242, ""en"", ""bn""))"),"পারিবারিক ক্ষেত্রে কিছু অপ্রত্যাশিত খরচ হতে পারে")</f>
        <v>পারিবারিক ক্ষেত্রে কিছু অপ্রত্যাশিত খরচ হতে পারে</v>
      </c>
      <c r="AR242" s="5" t="str">
        <f ca="1">IFERROR(__xludf.DUMMYFUNCTION("IF(AB242 = """", """", GOOGLETRANSLATE(AB242, ""en"", ""bn""))"),"")</f>
        <v/>
      </c>
      <c r="AU242" s="5" t="str">
        <f ca="1">IFERROR(__xludf.DUMMYFUNCTION("IF(Y242 = """", """", GOOGLETRANSLATE(Y242, ""en"", ""te""))"),"పెండింగ్ పనిని క్లియర్ చేయండి")</f>
        <v>పెండింగ్ పనిని క్లియర్ చేయండి</v>
      </c>
      <c r="AV242" s="5" t="str">
        <f ca="1">IFERROR(__xludf.DUMMYFUNCTION("IF(Z242 = """", """", GOOGLETRANSLATE(Z242, ""en"", ""te""))"),"ముఖ్యమైన నిర్ణయాలకు అనుకూలం")</f>
        <v>ముఖ్యమైన నిర్ణయాలకు అనుకూలం</v>
      </c>
      <c r="AW242" s="5" t="str">
        <f ca="1">IFERROR(__xludf.DUMMYFUNCTION("IF(AA242 = """", """", GOOGLETRANSLATE(AA242, ""en"", ""te""))"),"కుటుంబానికి సంబంధించి కొన్ని అనుకోని ఖర్చులు వచ్చే అవకాశం ఉంది")</f>
        <v>కుటుంబానికి సంబంధించి కొన్ని అనుకోని ఖర్చులు వచ్చే అవకాశం ఉంది</v>
      </c>
      <c r="AX242" s="5" t="str">
        <f ca="1">IFERROR(__xludf.DUMMYFUNCTION("IF(AB242 = """", """", GOOGLETRANSLATE(AB242, ""en"", ""te""))"),"")</f>
        <v/>
      </c>
    </row>
    <row r="243" spans="1:50" x14ac:dyDescent="0.25">
      <c r="A243" s="1">
        <v>258</v>
      </c>
      <c r="B243" s="1" t="s">
        <v>56</v>
      </c>
      <c r="C243" s="2">
        <v>45842</v>
      </c>
      <c r="D243" s="2">
        <v>45842</v>
      </c>
      <c r="E243" s="1">
        <v>7</v>
      </c>
      <c r="F243" s="1">
        <v>1</v>
      </c>
      <c r="G243" s="3" t="s">
        <v>700</v>
      </c>
      <c r="H243" s="4">
        <v>7.7546296296296295E-3</v>
      </c>
      <c r="I243" s="4">
        <v>4.5023148148148149E-3</v>
      </c>
      <c r="J243" s="4">
        <v>5.0694444444444441E-3</v>
      </c>
      <c r="K243" s="1"/>
      <c r="L243" s="1" t="s">
        <v>64</v>
      </c>
      <c r="M243" s="1"/>
      <c r="N243" s="1"/>
      <c r="O243" s="1" t="s">
        <v>61</v>
      </c>
      <c r="P243" s="1" t="s">
        <v>61</v>
      </c>
      <c r="Q243" s="1" t="s">
        <v>61</v>
      </c>
      <c r="R243" s="1" t="s">
        <v>61</v>
      </c>
      <c r="S243" s="1" t="s">
        <v>61</v>
      </c>
      <c r="T243" s="1" t="s">
        <v>109</v>
      </c>
      <c r="U243" s="1" t="s">
        <v>91</v>
      </c>
      <c r="V243" s="1" t="s">
        <v>61</v>
      </c>
      <c r="W243" s="1" t="s">
        <v>61</v>
      </c>
      <c r="X243" s="1" t="s">
        <v>91</v>
      </c>
      <c r="Y243" s="1" t="s">
        <v>186</v>
      </c>
      <c r="Z243" s="1" t="s">
        <v>716</v>
      </c>
      <c r="AA243" s="1" t="s">
        <v>717</v>
      </c>
      <c r="AB243" s="1" t="s">
        <v>718</v>
      </c>
      <c r="AC243" s="5" t="str">
        <f ca="1">IFERROR(__xludf.DUMMYFUNCTION("IF(Y243 = """", """", GOOGLETRANSLATE(Y243, ""en"", ""hi""))
"),"बहस से बचें")</f>
        <v>बहस से बचें</v>
      </c>
      <c r="AD243" s="5" t="str">
        <f ca="1">IFERROR(__xludf.DUMMYFUNCTION("IF(Z243 = """", """", GOOGLETRANSLATE(Z243, ""en"", ""hi""))"),"लोग भड़काएंगे")</f>
        <v>लोग भड़काएंगे</v>
      </c>
      <c r="AE243" s="5" t="str">
        <f ca="1">IFERROR(__xludf.DUMMYFUNCTION("IF(AA243 = """", """", GOOGLETRANSLATE(AA243, ""en"", ""hi""))"),"चुप रहें, सलाह देने से बचें")</f>
        <v>चुप रहें, सलाह देने से बचें</v>
      </c>
      <c r="AF243" s="5" t="str">
        <f ca="1">IFERROR(__xludf.DUMMYFUNCTION("IF(AB243 = """", """", GOOGLETRANSLATE(AB243, ""en"", ""hi""))"),"केवल नियमित कार्य करें")</f>
        <v>केवल नियमित कार्य करें</v>
      </c>
      <c r="AG243" s="5" t="str">
        <f ca="1">IFERROR(__xludf.DUMMYFUNCTION("IF(Y243 = """", """", GOOGLETRANSLATE(Y243, ""en"", ""mr""))"),"वाद टाळा")</f>
        <v>वाद टाळा</v>
      </c>
      <c r="AH243" s="5" t="str">
        <f ca="1">IFERROR(__xludf.DUMMYFUNCTION("IF(Z243 = """", """", GOOGLETRANSLATE(Z243, ""en"", ""mr""))"),"लोक भडकवतील")</f>
        <v>लोक भडकवतील</v>
      </c>
      <c r="AI243" s="5" t="str">
        <f ca="1">IFERROR(__xludf.DUMMYFUNCTION("IF(AA243 = """", """", GOOGLETRANSLATE(AA243, ""en"", ""mr""))")," गप्प बसा, सल्ले देणे टाळा ")</f>
        <v xml:space="preserve"> गप्प बसा, सल्ले देणे टाळा </v>
      </c>
      <c r="AJ243" s="5" t="str">
        <f ca="1">IFERROR(__xludf.DUMMYFUNCTION("IF(AB243 = """", """", GOOGLETRANSLATE(AB243, ""en"", ""mr""))"),"फक्त नियमित काम करा")</f>
        <v>फक्त नियमित काम करा</v>
      </c>
      <c r="AK243" s="5" t="str">
        <f ca="1">IFERROR(__xludf.DUMMYFUNCTION("IF(Y243 = """", """", GOOGLETRANSLATE(Y243, ""en"", ""gu""))"),"દલીલો ટાળો")</f>
        <v>દલીલો ટાળો</v>
      </c>
      <c r="AL243" s="5" t="str">
        <f ca="1">IFERROR(__xludf.DUMMYFUNCTION("IF(Z243 = """", """", GOOGLETRANSLATE(Z243, ""en"", ""gu""))"),"લોકો ઉશ્કેરશે")</f>
        <v>લોકો ઉશ્કેરશે</v>
      </c>
      <c r="AM243" s="5" t="str">
        <f ca="1">IFERROR(__xludf.DUMMYFUNCTION("IF(AA243 = """", """", GOOGLETRANSLATE(AA243, ""en"", ""gu""))")," મૌન રહો, સલાહ આપવાનું ટાળો ")</f>
        <v xml:space="preserve"> મૌન રહો, સલાહ આપવાનું ટાળો </v>
      </c>
      <c r="AN243" s="5" t="str">
        <f ca="1">IFERROR(__xludf.DUMMYFUNCTION("IF(AB243 = """", """", GOOGLETRANSLATE(AB243, ""en"", ""gu""))"),"માત્ર રૂટિન વર્ક કરો")</f>
        <v>માત્ર રૂટિન વર્ક કરો</v>
      </c>
      <c r="AO243" s="5" t="str">
        <f ca="1">IFERROR(__xludf.DUMMYFUNCTION("IF(Y243 = """", """", GOOGLETRANSLATE(Y243, ""en"", ""bn""))"),"তর্ক এড়িয়ে চলুন")</f>
        <v>তর্ক এড়িয়ে চলুন</v>
      </c>
      <c r="AP243" s="5" t="str">
        <f ca="1">IFERROR(__xludf.DUMMYFUNCTION("IF(Z243 = """", """", GOOGLETRANSLATE(Z243, ""en"", ""bn""))"),"মানুষ উসকে দেবে")</f>
        <v>মানুষ উসকে দেবে</v>
      </c>
      <c r="AQ243" s="5" t="str">
        <f ca="1">IFERROR(__xludf.DUMMYFUNCTION("IF(AA243 = """", """", GOOGLETRANSLATE(AA243, ""en"", ""bn""))")," নীরব থাকুন, উপদেশ দেওয়া এড়িয়ে চলুন ")</f>
        <v xml:space="preserve"> নীরব থাকুন, উপদেশ দেওয়া এড়িয়ে চলুন </v>
      </c>
      <c r="AR243" s="5" t="str">
        <f ca="1">IFERROR(__xludf.DUMMYFUNCTION("IF(AB243 = """", """", GOOGLETRANSLATE(AB243, ""en"", ""bn""))"),"শুধু রুটিন ওয়ার্ক করুন")</f>
        <v>শুধু রুটিন ওয়ার্ক করুন</v>
      </c>
      <c r="AU243" s="5" t="str">
        <f ca="1">IFERROR(__xludf.DUMMYFUNCTION("IF(Y243 = """", """", GOOGLETRANSLATE(Y243, ""en"", ""te""))"),"వాదనలు మానుకోండి")</f>
        <v>వాదనలు మానుకోండి</v>
      </c>
      <c r="AV243" s="5" t="str">
        <f ca="1">IFERROR(__xludf.DUMMYFUNCTION("IF(Z243 = """", """", GOOGLETRANSLATE(Z243, ""en"", ""te""))"),"ప్రజలు రెచ్చగొడతారు")</f>
        <v>ప్రజలు రెచ్చగొడతారు</v>
      </c>
      <c r="AW243" s="5" t="str">
        <f ca="1">IFERROR(__xludf.DUMMYFUNCTION("IF(AA243 = """", """", GOOGLETRANSLATE(AA243, ""en"", ""te""))")," మౌనంగా ఉండండి, సలహా ఇవ్వకుండా ఉండండి ")</f>
        <v xml:space="preserve"> మౌనంగా ఉండండి, సలహా ఇవ్వకుండా ఉండండి </v>
      </c>
      <c r="AX243" s="5" t="str">
        <f ca="1">IFERROR(__xludf.DUMMYFUNCTION("IF(AB243 = """", """", GOOGLETRANSLATE(AB243, ""en"", ""te""))"),"సాధారణ పని మాత్రమే చేయండి")</f>
        <v>సాధారణ పని మాత్రమే చేయండి</v>
      </c>
    </row>
    <row r="244" spans="1:50" x14ac:dyDescent="0.25">
      <c r="A244" s="1">
        <v>259</v>
      </c>
      <c r="B244" s="1" t="s">
        <v>56</v>
      </c>
      <c r="C244" s="2">
        <v>45842</v>
      </c>
      <c r="D244" s="2">
        <v>45842</v>
      </c>
      <c r="E244" s="1">
        <v>8</v>
      </c>
      <c r="F244" s="1">
        <v>1</v>
      </c>
      <c r="G244" s="3" t="s">
        <v>700</v>
      </c>
      <c r="H244" s="4">
        <v>7.7546296296296295E-3</v>
      </c>
      <c r="I244" s="4">
        <v>5.0694444444444441E-3</v>
      </c>
      <c r="J244" s="4">
        <v>5.5787037037037038E-3</v>
      </c>
      <c r="K244" s="1"/>
      <c r="L244" s="1" t="s">
        <v>68</v>
      </c>
      <c r="M244" s="1"/>
      <c r="N244" s="1"/>
      <c r="O244" s="1" t="s">
        <v>91</v>
      </c>
      <c r="P244" s="1" t="s">
        <v>61</v>
      </c>
      <c r="Q244" s="1" t="s">
        <v>61</v>
      </c>
      <c r="R244" s="1" t="s">
        <v>61</v>
      </c>
      <c r="S244" s="1" t="s">
        <v>61</v>
      </c>
      <c r="T244" s="1" t="s">
        <v>61</v>
      </c>
      <c r="U244" s="1"/>
      <c r="V244" s="1" t="s">
        <v>91</v>
      </c>
      <c r="W244" s="1" t="s">
        <v>61</v>
      </c>
      <c r="X244" s="1" t="s">
        <v>61</v>
      </c>
      <c r="Y244" s="1" t="s">
        <v>719</v>
      </c>
      <c r="Z244" s="1" t="s">
        <v>720</v>
      </c>
      <c r="AA244" s="1" t="s">
        <v>721</v>
      </c>
      <c r="AB244" s="1"/>
      <c r="AC244" s="5" t="str">
        <f ca="1">IFERROR(__xludf.DUMMYFUNCTION("IF(Y244 = """", """", GOOGLETRANSLATE(Y244, ""en"", ""hi""))
"),"9 जुलाई तक भाग्य कम रहेगा")</f>
        <v>9 जुलाई तक भाग्य कम रहेगा</v>
      </c>
      <c r="AD244" s="5" t="str">
        <f ca="1">IFERROR(__xludf.DUMMYFUNCTION("IF(Z244 = """", """", GOOGLETRANSLATE(Z244, ""en"", ""hi""))"),"कड़ी मेहनत से ही काम सफल होता है")</f>
        <v>कड़ी मेहनत से ही काम सफल होता है</v>
      </c>
      <c r="AE244" s="5" t="str">
        <f ca="1">IFERROR(__xludf.DUMMYFUNCTION("IF(AA244 = """", """", GOOGLETRANSLATE(AA244, ""en"", ""hi""))"),"संपत्ति और विदेशी मामले आगे बढ़ेंगे")</f>
        <v>संपत्ति और विदेशी मामले आगे बढ़ेंगे</v>
      </c>
      <c r="AF244" s="5" t="str">
        <f ca="1">IFERROR(__xludf.DUMMYFUNCTION("IF(AB244 = """", """", GOOGLETRANSLATE(AB244, ""en"", ""hi""))"),"")</f>
        <v/>
      </c>
      <c r="AG244" s="5" t="str">
        <f ca="1">IFERROR(__xludf.DUMMYFUNCTION("IF(Y244 = """", """", GOOGLETRANSLATE(Y244, ""en"", ""mr""))"),"9 जुलैपर्यंत भाग्य कमी")</f>
        <v>9 जुलैपर्यंत भाग्य कमी</v>
      </c>
      <c r="AH244" s="5" t="str">
        <f ca="1">IFERROR(__xludf.DUMMYFUNCTION("IF(Z244 = """", """", GOOGLETRANSLATE(Z244, ""en"", ""mr""))"),"कठोर परिश्रमाने काम यशस्वी होते")</f>
        <v>कठोर परिश्रमाने काम यशस्वी होते</v>
      </c>
      <c r="AI244" s="5" t="str">
        <f ca="1">IFERROR(__xludf.DUMMYFUNCTION("IF(AA244 = """", """", GOOGLETRANSLATE(AA244, ""en"", ""mr""))"),"संपत्ती आणि परकीय प्रकरणे पुढे जातील")</f>
        <v>संपत्ती आणि परकीय प्रकरणे पुढे जातील</v>
      </c>
      <c r="AJ244" s="5" t="str">
        <f ca="1">IFERROR(__xludf.DUMMYFUNCTION("IF(AB244 = """", """", GOOGLETRANSLATE(AB244, ""en"", ""mr""))"),"")</f>
        <v/>
      </c>
      <c r="AK244" s="5" t="str">
        <f ca="1">IFERROR(__xludf.DUMMYFUNCTION("IF(Y244 = """", """", GOOGLETRANSLATE(Y244, ""en"", ""gu""))"),"9મી જુલાઈ સુધી ભાગ્ય ઓછું")</f>
        <v>9મી જુલાઈ સુધી ભાગ્ય ઓછું</v>
      </c>
      <c r="AL244" s="5" t="str">
        <f ca="1">IFERROR(__xludf.DUMMYFUNCTION("IF(Z244 = """", """", GOOGLETRANSLATE(Z244, ""en"", ""gu""))"),"મહેનતથી કાર્ય સફળ થાય છે")</f>
        <v>મહેનતથી કાર્ય સફળ થાય છે</v>
      </c>
      <c r="AM244" s="5" t="str">
        <f ca="1">IFERROR(__xludf.DUMMYFUNCTION("IF(AA244 = """", """", GOOGLETRANSLATE(AA244, ""en"", ""gu""))"),"સંપત્તિ અને વિદેશના મામલાઓ આગળ વધે")</f>
        <v>સંપત્તિ અને વિદેશના મામલાઓ આગળ વધે</v>
      </c>
      <c r="AN244" s="5" t="str">
        <f ca="1">IFERROR(__xludf.DUMMYFUNCTION("IF(AB244 = """", """", GOOGLETRANSLATE(AB244, ""en"", ""gu""))"),"")</f>
        <v/>
      </c>
      <c r="AO244" s="5" t="str">
        <f ca="1">IFERROR(__xludf.DUMMYFUNCTION("IF(Y244 = """", """", GOOGLETRANSLATE(Y244, ""en"", ""bn""))"),"৯ জুলাই পর্যন্ত ভাগ্য কম")</f>
        <v>৯ জুলাই পর্যন্ত ভাগ্য কম</v>
      </c>
      <c r="AP244" s="5" t="str">
        <f ca="1">IFERROR(__xludf.DUMMYFUNCTION("IF(Z244 = """", """", GOOGLETRANSLATE(Z244, ""en"", ""bn""))"),"কঠোর পরিশ্রমের মাধ্যমে কাজ সফল হয়")</f>
        <v>কঠোর পরিশ্রমের মাধ্যমে কাজ সফল হয়</v>
      </c>
      <c r="AQ244" s="5" t="str">
        <f ca="1">IFERROR(__xludf.DUMMYFUNCTION("IF(AA244 = """", """", GOOGLETRANSLATE(AA244, ""en"", ""bn""))"),"সম্পত্তি এবং বিদেশী বিষয় এগিয়ে যান")</f>
        <v>সম্পত্তি এবং বিদেশী বিষয় এগিয়ে যান</v>
      </c>
      <c r="AR244" s="5" t="str">
        <f ca="1">IFERROR(__xludf.DUMMYFUNCTION("IF(AB244 = """", """", GOOGLETRANSLATE(AB244, ""en"", ""bn""))"),"")</f>
        <v/>
      </c>
      <c r="AU244" s="5" t="str">
        <f ca="1">IFERROR(__xludf.DUMMYFUNCTION("IF(Y244 = """", """", GOOGLETRANSLATE(Y244, ""en"", ""te""))"),"జూలై 9 వరకు తక్కువ అదృష్టం")</f>
        <v>జూలై 9 వరకు తక్కువ అదృష్టం</v>
      </c>
      <c r="AV244" s="5" t="str">
        <f ca="1">IFERROR(__xludf.DUMMYFUNCTION("IF(Z244 = """", """", GOOGLETRANSLATE(Z244, ""en"", ""te""))"),"శ్రమతో పని విజయం సాధిస్తుంది")</f>
        <v>శ్రమతో పని విజయం సాధిస్తుంది</v>
      </c>
      <c r="AW244" s="5" t="str">
        <f ca="1">IFERROR(__xludf.DUMMYFUNCTION("IF(AA244 = """", """", GOOGLETRANSLATE(AA244, ""en"", ""te""))"),"ఆస్తి, విదేశీ వ్యవహారాలు ముందుకు సాగుతాయి")</f>
        <v>ఆస్తి, విదేశీ వ్యవహారాలు ముందుకు సాగుతాయి</v>
      </c>
      <c r="AX244" s="5" t="str">
        <f ca="1">IFERROR(__xludf.DUMMYFUNCTION("IF(AB244 = """", """", GOOGLETRANSLATE(AB244, ""en"", ""te""))"),"")</f>
        <v/>
      </c>
    </row>
    <row r="245" spans="1:50" x14ac:dyDescent="0.25">
      <c r="A245" s="1">
        <v>260</v>
      </c>
      <c r="B245" s="1" t="s">
        <v>56</v>
      </c>
      <c r="C245" s="2">
        <v>45842</v>
      </c>
      <c r="D245" s="2">
        <v>45842</v>
      </c>
      <c r="E245" s="1">
        <v>9</v>
      </c>
      <c r="F245" s="1">
        <v>1</v>
      </c>
      <c r="G245" s="3" t="s">
        <v>700</v>
      </c>
      <c r="H245" s="4">
        <v>7.7546296296296295E-3</v>
      </c>
      <c r="I245" s="4">
        <v>5.5787037037037038E-3</v>
      </c>
      <c r="J245" s="4">
        <v>6.122685185185185E-3</v>
      </c>
      <c r="K245" s="1"/>
      <c r="L245" s="1" t="s">
        <v>72</v>
      </c>
      <c r="M245" s="1"/>
      <c r="N245" s="1"/>
      <c r="O245" s="1" t="s">
        <v>91</v>
      </c>
      <c r="P245" s="1" t="s">
        <v>61</v>
      </c>
      <c r="Q245" s="1" t="s">
        <v>61</v>
      </c>
      <c r="R245" s="1" t="s">
        <v>61</v>
      </c>
      <c r="S245" s="1" t="s">
        <v>61</v>
      </c>
      <c r="T245" s="1" t="s">
        <v>61</v>
      </c>
      <c r="U245" s="1"/>
      <c r="V245" s="1" t="s">
        <v>61</v>
      </c>
      <c r="W245" s="1" t="s">
        <v>91</v>
      </c>
      <c r="X245" s="1" t="s">
        <v>61</v>
      </c>
      <c r="Y245" s="1" t="s">
        <v>722</v>
      </c>
      <c r="Z245" s="1" t="s">
        <v>390</v>
      </c>
      <c r="AA245" s="1" t="s">
        <v>723</v>
      </c>
      <c r="AB245" s="1" t="s">
        <v>702</v>
      </c>
      <c r="AC245" s="5" t="str">
        <f ca="1">IFERROR(__xludf.DUMMYFUNCTION("IF(Y245 = """", """", GOOGLETRANSLATE(Y245, ""en"", ""hi""))
"),"काम का बोझ ज़्यादा है, इसलिए मानसिक तैयारी मददगार है")</f>
        <v>काम का बोझ ज़्यादा है, इसलिए मानसिक तैयारी मददगार है</v>
      </c>
      <c r="AD245" s="5" t="str">
        <f ca="1">IFERROR(__xludf.DUMMYFUNCTION("IF(Z245 = """", """", GOOGLETRANSLATE(Z245, ""en"", ""hi""))"),"पारिवारिक एवं सामाजिक जिम्मेदारियाँ बढ़ेंगी")</f>
        <v>पारिवारिक एवं सामाजिक जिम्मेदारियाँ बढ़ेंगी</v>
      </c>
      <c r="AE245" s="5" t="str">
        <f ca="1">IFERROR(__xludf.DUMMYFUNCTION("IF(AA245 = """", """", GOOGLETRANSLATE(AA245, ""en"", ""hi""))"),"स्वास्थ्य और ड्राइविंग देखें")</f>
        <v>स्वास्थ्य और ड्राइविंग देखें</v>
      </c>
      <c r="AF245" s="5" t="str">
        <f ca="1">IFERROR(__xludf.DUMMYFUNCTION("IF(AB245 = """", """", GOOGLETRANSLATE(AB245, ""en"", ""hi""))"),"शाम की थकान लेकिन संतुष्टि")</f>
        <v>शाम की थकान लेकिन संतुष्टि</v>
      </c>
      <c r="AG245" s="5" t="str">
        <f ca="1">IFERROR(__xludf.DUMMYFUNCTION("IF(Y245 = """", """", GOOGLETRANSLATE(Y245, ""en"", ""mr""))"),"कामाचा प्रचंड ताण त्यामुळे मानसिक तयारी मदत करते")</f>
        <v>कामाचा प्रचंड ताण त्यामुळे मानसिक तयारी मदत करते</v>
      </c>
      <c r="AH245" s="5" t="str">
        <f ca="1">IFERROR(__xludf.DUMMYFUNCTION("IF(Z245 = """", """", GOOGLETRANSLATE(Z245, ""en"", ""mr""))"),"कौटुंबिक व सामाजिक जबाबदाऱ्या वाढतील")</f>
        <v>कौटुंबिक व सामाजिक जबाबदाऱ्या वाढतील</v>
      </c>
      <c r="AI245" s="5" t="str">
        <f ca="1">IFERROR(__xludf.DUMMYFUNCTION("IF(AA245 = """", """", GOOGLETRANSLATE(AA245, ""en"", ""mr""))"),"आरोग्य आणि ड्रायव्हिंग पहा")</f>
        <v>आरोग्य आणि ड्रायव्हिंग पहा</v>
      </c>
      <c r="AJ245" s="5" t="str">
        <f ca="1">IFERROR(__xludf.DUMMYFUNCTION("IF(AB245 = """", """", GOOGLETRANSLATE(AB245, ""en"", ""mr""))"),"संध्याकाळचा थकवा पण समाधान")</f>
        <v>संध्याकाळचा थकवा पण समाधान</v>
      </c>
      <c r="AK245" s="5" t="str">
        <f ca="1">IFERROR(__xludf.DUMMYFUNCTION("IF(Y245 = """", """", GOOGLETRANSLATE(Y245, ""en"", ""gu""))"),"ભારે વર્કલોડ તેથી માનસિક તૈયારી મદદ કરે છે")</f>
        <v>ભારે વર્કલોડ તેથી માનસિક તૈયારી મદદ કરે છે</v>
      </c>
      <c r="AL245" s="5" t="str">
        <f ca="1">IFERROR(__xludf.DUMMYFUNCTION("IF(Z245 = """", """", GOOGLETRANSLATE(Z245, ""en"", ""gu""))"),"કૌટુંબિક અને સામાજિક જવાબદારીઓ વધે")</f>
        <v>કૌટુંબિક અને સામાજિક જવાબદારીઓ વધે</v>
      </c>
      <c r="AM245" s="5" t="str">
        <f ca="1">IFERROR(__xludf.DUMMYFUNCTION("IF(AA245 = """", """", GOOGLETRANSLATE(AA245, ""en"", ""gu""))"),"આરોગ્ય અને ડ્રાઇવિંગ જુઓ")</f>
        <v>આરોગ્ય અને ડ્રાઇવિંગ જુઓ</v>
      </c>
      <c r="AN245" s="5" t="str">
        <f ca="1">IFERROR(__xludf.DUMMYFUNCTION("IF(AB245 = """", """", GOOGLETRANSLATE(AB245, ""en"", ""gu""))"),"સાંજનો થાક પણ સંતોષ")</f>
        <v>સાંજનો થાક પણ સંતોષ</v>
      </c>
      <c r="AO245" s="5" t="str">
        <f ca="1">IFERROR(__xludf.DUMMYFUNCTION("IF(Y245 = """", """", GOOGLETRANSLATE(Y245, ""en"", ""bn""))"),"ভারী কাজের চাপ তাই মানসিক প্রস্তুতি সাহায্য করে")</f>
        <v>ভারী কাজের চাপ তাই মানসিক প্রস্তুতি সাহায্য করে</v>
      </c>
      <c r="AP245" s="5" t="str">
        <f ca="1">IFERROR(__xludf.DUMMYFUNCTION("IF(Z245 = """", """", GOOGLETRANSLATE(Z245, ""en"", ""bn""))"),"পারিবারিক ও সামাজিক দায়িত্ব বৃদ্ধি পায়")</f>
        <v>পারিবারিক ও সামাজিক দায়িত্ব বৃদ্ধি পায়</v>
      </c>
      <c r="AQ245" s="5" t="str">
        <f ca="1">IFERROR(__xludf.DUMMYFUNCTION("IF(AA245 = """", """", GOOGLETRANSLATE(AA245, ""en"", ""bn""))"),"স্বাস্থ্য এবং ড্রাইভিং দেখুন")</f>
        <v>স্বাস্থ্য এবং ড্রাইভিং দেখুন</v>
      </c>
      <c r="AR245" s="5" t="str">
        <f ca="1">IFERROR(__xludf.DUMMYFUNCTION("IF(AB245 = """", """", GOOGLETRANSLATE(AB245, ""en"", ""bn""))"),"সন্ধ্যার ক্লান্তি কিন্তু তৃপ্তি")</f>
        <v>সন্ধ্যার ক্লান্তি কিন্তু তৃপ্তি</v>
      </c>
      <c r="AU245" s="5" t="str">
        <f ca="1">IFERROR(__xludf.DUMMYFUNCTION("IF(Y245 = """", """", GOOGLETRANSLATE(Y245, ""en"", ""te""))"),"అధిక పనిభారం కాబట్టి మానసిక తయారీ సహాయపడుతుంది")</f>
        <v>అధిక పనిభారం కాబట్టి మానసిక తయారీ సహాయపడుతుంది</v>
      </c>
      <c r="AV245" s="5" t="str">
        <f ca="1">IFERROR(__xludf.DUMMYFUNCTION("IF(Z245 = """", """", GOOGLETRANSLATE(Z245, ""en"", ""te""))"),"కుటుంబ, సామాజిక బాధ్యతలు పెరుగుతాయి")</f>
        <v>కుటుంబ, సామాజిక బాధ్యతలు పెరుగుతాయి</v>
      </c>
      <c r="AW245" s="5" t="str">
        <f ca="1">IFERROR(__xludf.DUMMYFUNCTION("IF(AA245 = """", """", GOOGLETRANSLATE(AA245, ""en"", ""te""))"),"ఆరోగ్యం &amp; డ్రైవింగ్ చూడండి")</f>
        <v>ఆరోగ్యం &amp; డ్రైవింగ్ చూడండి</v>
      </c>
      <c r="AX245" s="5" t="str">
        <f ca="1">IFERROR(__xludf.DUMMYFUNCTION("IF(AB245 = """", """", GOOGLETRANSLATE(AB245, ""en"", ""te""))"),"సాయంత్రం అలసట కానీ సంతృప్తి")</f>
        <v>సాయంత్రం అలసట కానీ సంతృప్తి</v>
      </c>
    </row>
    <row r="246" spans="1:50" x14ac:dyDescent="0.25">
      <c r="A246" s="1">
        <v>261</v>
      </c>
      <c r="B246" s="1" t="s">
        <v>56</v>
      </c>
      <c r="C246" s="2">
        <v>45842</v>
      </c>
      <c r="D246" s="2">
        <v>45842</v>
      </c>
      <c r="E246" s="1">
        <v>10</v>
      </c>
      <c r="F246" s="1">
        <v>1</v>
      </c>
      <c r="G246" s="3" t="s">
        <v>700</v>
      </c>
      <c r="H246" s="4">
        <v>7.7546296296296295E-3</v>
      </c>
      <c r="I246" s="4">
        <v>6.122685185185185E-3</v>
      </c>
      <c r="J246" s="4">
        <v>6.5972222222222222E-3</v>
      </c>
      <c r="K246" s="1"/>
      <c r="L246" s="1" t="s">
        <v>76</v>
      </c>
      <c r="M246" s="1"/>
      <c r="N246" s="1"/>
      <c r="O246" s="1" t="s">
        <v>91</v>
      </c>
      <c r="P246" s="1" t="s">
        <v>61</v>
      </c>
      <c r="Q246" s="1" t="s">
        <v>61</v>
      </c>
      <c r="R246" s="1" t="s">
        <v>61</v>
      </c>
      <c r="S246" s="1" t="s">
        <v>61</v>
      </c>
      <c r="T246" s="1" t="s">
        <v>61</v>
      </c>
      <c r="U246" s="1"/>
      <c r="V246" s="1" t="s">
        <v>91</v>
      </c>
      <c r="W246" s="1" t="s">
        <v>61</v>
      </c>
      <c r="X246" s="1" t="s">
        <v>61</v>
      </c>
      <c r="Y246" s="1" t="s">
        <v>724</v>
      </c>
      <c r="Z246" s="1" t="s">
        <v>725</v>
      </c>
      <c r="AA246" s="1" t="s">
        <v>726</v>
      </c>
      <c r="AB246" s="1" t="s">
        <v>727</v>
      </c>
      <c r="AC246" s="5" t="str">
        <f ca="1">IFERROR(__xludf.DUMMYFUNCTION("IF(Y246 = """", """", GOOGLETRANSLATE(Y246, ""en"", ""hi""))
"),"सामाजिक घटना")</f>
        <v>सामाजिक घटना</v>
      </c>
      <c r="AD246" s="5" t="str">
        <f ca="1">IFERROR(__xludf.DUMMYFUNCTION("IF(Z246 = """", """", GOOGLETRANSLATE(Z246, ""en"", ""hi""))"),"यात्रा की योजना शुरू हो सकती है")</f>
        <v>यात्रा की योजना शुरू हो सकती है</v>
      </c>
      <c r="AE246" s="5" t="str">
        <f ca="1">IFERROR(__xludf.DUMMYFUNCTION("IF(AA246 = """", """", GOOGLETRANSLATE(AA246, ""en"", ""hi""))"),"संभावित व्यय")</f>
        <v>संभावित व्यय</v>
      </c>
      <c r="AF246" s="5" t="str">
        <f ca="1">IFERROR(__xludf.DUMMYFUNCTION("IF(AB246 = """", """", GOOGLETRANSLATE(AB246, ""en"", ""hi""))"),"नाम और प्रसिद्धि बढ़ सकती है")</f>
        <v>नाम और प्रसिद्धि बढ़ सकती है</v>
      </c>
      <c r="AG246" s="5" t="str">
        <f ca="1">IFERROR(__xludf.DUMMYFUNCTION("IF(Y246 = """", """", GOOGLETRANSLATE(Y246, ""en"", ""mr""))"),"सामाजिक कार्यक्रम")</f>
        <v>सामाजिक कार्यक्रम</v>
      </c>
      <c r="AH246" s="5" t="str">
        <f ca="1">IFERROR(__xludf.DUMMYFUNCTION("IF(Z246 = """", """", GOOGLETRANSLATE(Z246, ""en"", ""mr""))"),"प्रवासाचे नियोजन सुरू होऊ शकते")</f>
        <v>प्रवासाचे नियोजन सुरू होऊ शकते</v>
      </c>
      <c r="AI246" s="5" t="str">
        <f ca="1">IFERROR(__xludf.DUMMYFUNCTION("IF(AA246 = """", """", GOOGLETRANSLATE(AA246, ""en"", ""mr""))"),"खर्च शक्य")</f>
        <v>खर्च शक्य</v>
      </c>
      <c r="AJ246" s="5" t="str">
        <f ca="1">IFERROR(__xludf.DUMMYFUNCTION("IF(AB246 = """", """", GOOGLETRANSLATE(AB246, ""en"", ""mr""))"),"नाव आणि कीर्ती वाढू शकते")</f>
        <v>नाव आणि कीर्ती वाढू शकते</v>
      </c>
      <c r="AK246" s="5" t="str">
        <f ca="1">IFERROR(__xludf.DUMMYFUNCTION("IF(Y246 = """", """", GOOGLETRANSLATE(Y246, ""en"", ""gu""))"),"સામાજિક પ્રસંગ")</f>
        <v>સામાજિક પ્રસંગ</v>
      </c>
      <c r="AL246" s="5" t="str">
        <f ca="1">IFERROR(__xludf.DUMMYFUNCTION("IF(Z246 = """", """", GOOGLETRANSLATE(Z246, ""en"", ""gu""))"),"પ્રવાસનું આયોજન શરૂ થઈ શકે છે")</f>
        <v>પ્રવાસનું આયોજન શરૂ થઈ શકે છે</v>
      </c>
      <c r="AM246" s="5" t="str">
        <f ca="1">IFERROR(__xludf.DUMMYFUNCTION("IF(AA246 = """", """", GOOGLETRANSLATE(AA246, ""en"", ""gu""))"),"ખર્ચ શક્ય")</f>
        <v>ખર્ચ શક્ય</v>
      </c>
      <c r="AN246" s="5" t="str">
        <f ca="1">IFERROR(__xludf.DUMMYFUNCTION("IF(AB246 = """", """", GOOGLETRANSLATE(AB246, ""en"", ""gu""))"),"નામ અને ખ્યાતિમાં વધારો થઈ શકે છે")</f>
        <v>નામ અને ખ્યાતિમાં વધારો થઈ શકે છે</v>
      </c>
      <c r="AO246" s="5" t="str">
        <f ca="1">IFERROR(__xludf.DUMMYFUNCTION("IF(Y246 = """", """", GOOGLETRANSLATE(Y246, ""en"", ""bn""))"),"সামাজিক অনুষ্ঠান")</f>
        <v>সামাজিক অনুষ্ঠান</v>
      </c>
      <c r="AP246" s="5" t="str">
        <f ca="1">IFERROR(__xludf.DUMMYFUNCTION("IF(Z246 = """", """", GOOGLETRANSLATE(Z246, ""en"", ""bn""))"),"ভ্রমণ পরিকল্পনা শুরু হতে পারে")</f>
        <v>ভ্রমণ পরিকল্পনা শুরু হতে পারে</v>
      </c>
      <c r="AQ246" s="5" t="str">
        <f ca="1">IFERROR(__xludf.DUMMYFUNCTION("IF(AA246 = """", """", GOOGLETRANSLATE(AA246, ""en"", ""bn""))"),"খরচ সম্ভব")</f>
        <v>খরচ সম্ভব</v>
      </c>
      <c r="AR246" s="5" t="str">
        <f ca="1">IFERROR(__xludf.DUMMYFUNCTION("IF(AB246 = """", """", GOOGLETRANSLATE(AB246, ""en"", ""bn""))"),"নাম-যশ বাড়তে পারে")</f>
        <v>নাম-যশ বাড়তে পারে</v>
      </c>
      <c r="AU246" s="5" t="str">
        <f ca="1">IFERROR(__xludf.DUMMYFUNCTION("IF(Y246 = """", """", GOOGLETRANSLATE(Y246, ""en"", ""te""))"),"సామాజిక సంఘటన")</f>
        <v>సామాజిక సంఘటన</v>
      </c>
      <c r="AV246" s="5" t="str">
        <f ca="1">IFERROR(__xludf.DUMMYFUNCTION("IF(Z246 = """", """", GOOGLETRANSLATE(Z246, ""en"", ""te""))"),"ప్రయాణ ప్రణాళిక ప్రారంభం కావచ్చు")</f>
        <v>ప్రయాణ ప్రణాళిక ప్రారంభం కావచ్చు</v>
      </c>
      <c r="AW246" s="5" t="str">
        <f ca="1">IFERROR(__xludf.DUMMYFUNCTION("IF(AA246 = """", """", GOOGLETRANSLATE(AA246, ""en"", ""te""))"),"ఖర్చులు సాధ్యమే")</f>
        <v>ఖర్చులు సాధ్యమే</v>
      </c>
      <c r="AX246" s="5" t="str">
        <f ca="1">IFERROR(__xludf.DUMMYFUNCTION("IF(AB246 = """", """", GOOGLETRANSLATE(AB246, ""en"", ""te""))"),"పేరు &amp; కీర్తి పెరగవచ్చు")</f>
        <v>పేరు &amp; కీర్తి పెరగవచ్చు</v>
      </c>
    </row>
    <row r="247" spans="1:50" x14ac:dyDescent="0.25">
      <c r="A247" s="1">
        <v>262</v>
      </c>
      <c r="B247" s="1" t="s">
        <v>56</v>
      </c>
      <c r="C247" s="2">
        <v>45842</v>
      </c>
      <c r="D247" s="2">
        <v>45842</v>
      </c>
      <c r="E247" s="1">
        <v>11</v>
      </c>
      <c r="F247" s="1">
        <v>1</v>
      </c>
      <c r="G247" s="3" t="s">
        <v>700</v>
      </c>
      <c r="H247" s="4">
        <v>7.7546296296296295E-3</v>
      </c>
      <c r="I247" s="4">
        <v>6.5972222222222222E-3</v>
      </c>
      <c r="J247" s="4">
        <v>7.1643518518518514E-3</v>
      </c>
      <c r="K247" s="1"/>
      <c r="L247" s="1" t="s">
        <v>79</v>
      </c>
      <c r="M247" s="1"/>
      <c r="N247" s="1"/>
      <c r="O247" s="1" t="s">
        <v>61</v>
      </c>
      <c r="P247" s="1" t="s">
        <v>61</v>
      </c>
      <c r="Q247" s="1" t="s">
        <v>61</v>
      </c>
      <c r="R247" s="1" t="s">
        <v>61</v>
      </c>
      <c r="S247" s="1" t="s">
        <v>61</v>
      </c>
      <c r="T247" s="1" t="s">
        <v>109</v>
      </c>
      <c r="U247" s="1" t="s">
        <v>91</v>
      </c>
      <c r="V247" s="1" t="s">
        <v>61</v>
      </c>
      <c r="W247" s="1" t="s">
        <v>61</v>
      </c>
      <c r="X247" s="1" t="s">
        <v>91</v>
      </c>
      <c r="Y247" s="1" t="s">
        <v>728</v>
      </c>
      <c r="Z247" s="1" t="s">
        <v>729</v>
      </c>
      <c r="AA247" s="1" t="s">
        <v>730</v>
      </c>
      <c r="AB247" s="1" t="s">
        <v>731</v>
      </c>
      <c r="AC247" s="5" t="str">
        <f ca="1">IFERROR(__xludf.DUMMYFUNCTION("IF(Y247 = """", """", GOOGLETRANSLATE(Y247, ""en"", ""hi""))
"),"स्वास्थ्य संबंधी समस्याएं बिगड़ सकती हैं")</f>
        <v>स्वास्थ्य संबंधी समस्याएं बिगड़ सकती हैं</v>
      </c>
      <c r="AD247" s="5" t="str">
        <f ca="1">IFERROR(__xludf.DUMMYFUNCTION("IF(Z247 = """", """", GOOGLETRANSLATE(Z247, ""en"", ""hi""))"),"नियमित काम गड़बड़ा सकता है")</f>
        <v>नियमित काम गड़बड़ा सकता है</v>
      </c>
      <c r="AE247" s="5" t="str">
        <f ca="1">IFERROR(__xludf.DUMMYFUNCTION("IF(AA247 = """", """", GOOGLETRANSLATE(AA247, ""en"", ""hi""))"),"बैकअप योजनाएँ रखें")</f>
        <v>बैकअप योजनाएँ रखें</v>
      </c>
      <c r="AF247" s="5" t="str">
        <f ca="1">IFERROR(__xludf.DUMMYFUNCTION("IF(AB247 = """", """", GOOGLETRANSLATE(AB247, ""en"", ""hi""))"),"तीव्र मानसिक दबाव")</f>
        <v>तीव्र मानसिक दबाव</v>
      </c>
      <c r="AG247" s="5" t="str">
        <f ca="1">IFERROR(__xludf.DUMMYFUNCTION("IF(Y247 = """", """", GOOGLETRANSLATE(Y247, ""en"", ""mr""))"),"आरोग्याच्या समस्या बिघडू शकतात")</f>
        <v>आरोग्याच्या समस्या बिघडू शकतात</v>
      </c>
      <c r="AH247" s="5" t="str">
        <f ca="1">IFERROR(__xludf.DUMMYFUNCTION("IF(Z247 = """", """", GOOGLETRANSLATE(Z247, ""en"", ""mr""))"),"रुटीन कामात चूक होऊ शकते")</f>
        <v>रुटीन कामात चूक होऊ शकते</v>
      </c>
      <c r="AI247" s="5" t="str">
        <f ca="1">IFERROR(__xludf.DUMMYFUNCTION("IF(AA247 = """", """", GOOGLETRANSLATE(AA247, ""en"", ""mr""))"),"बॅकअप योजना ठेवा")</f>
        <v>बॅकअप योजना ठेवा</v>
      </c>
      <c r="AJ247" s="5" t="str">
        <f ca="1">IFERROR(__xludf.DUMMYFUNCTION("IF(AB247 = """", """", GOOGLETRANSLATE(AB247, ""en"", ""mr""))"),"तीव्र मानसिक दबाव")</f>
        <v>तीव्र मानसिक दबाव</v>
      </c>
      <c r="AK247" s="5" t="str">
        <f ca="1">IFERROR(__xludf.DUMMYFUNCTION("IF(Y247 = """", """", GOOGLETRANSLATE(Y247, ""en"", ""gu""))"),"સ્વાસ્થ્ય સંબંધી સમસ્યાઓ વધી શકે છે")</f>
        <v>સ્વાસ્થ્ય સંબંધી સમસ્યાઓ વધી શકે છે</v>
      </c>
      <c r="AL247" s="5" t="str">
        <f ca="1">IFERROR(__xludf.DUMMYFUNCTION("IF(Z247 = """", """", GOOGLETRANSLATE(Z247, ""en"", ""gu""))"),"રૂટિન કામ ખોટા પડી શકે છે")</f>
        <v>રૂટિન કામ ખોટા પડી શકે છે</v>
      </c>
      <c r="AM247" s="5" t="str">
        <f ca="1">IFERROR(__xludf.DUMMYFUNCTION("IF(AA247 = """", """", GOOGLETRANSLATE(AA247, ""en"", ""gu""))"),"બેકઅપ યોજનાઓ રાખો")</f>
        <v>બેકઅપ યોજનાઓ રાખો</v>
      </c>
      <c r="AN247" s="5" t="str">
        <f ca="1">IFERROR(__xludf.DUMMYFUNCTION("IF(AB247 = """", """", GOOGLETRANSLATE(AB247, ""en"", ""gu""))"),"તીવ્ર માનસિક દબાણ")</f>
        <v>તીવ્ર માનસિક દબાણ</v>
      </c>
      <c r="AO247" s="5" t="str">
        <f ca="1">IFERROR(__xludf.DUMMYFUNCTION("IF(Y247 = """", """", GOOGLETRANSLATE(Y247, ""en"", ""bn""))"),"স্বাস্থ্য সমস্যা খারাপ হতে পারে")</f>
        <v>স্বাস্থ্য সমস্যা খারাপ হতে পারে</v>
      </c>
      <c r="AP247" s="5" t="str">
        <f ca="1">IFERROR(__xludf.DUMMYFUNCTION("IF(Z247 = """", """", GOOGLETRANSLATE(Z247, ""en"", ""bn""))"),"রুটিন কাজ ভুল হতে পারে")</f>
        <v>রুটিন কাজ ভুল হতে পারে</v>
      </c>
      <c r="AQ247" s="5" t="str">
        <f ca="1">IFERROR(__xludf.DUMMYFUNCTION("IF(AA247 = """", """", GOOGLETRANSLATE(AA247, ""en"", ""bn""))"),"ব্যাকআপ পরিকল্পনা রাখুন")</f>
        <v>ব্যাকআপ পরিকল্পনা রাখুন</v>
      </c>
      <c r="AR247" s="5" t="str">
        <f ca="1">IFERROR(__xludf.DUMMYFUNCTION("IF(AB247 = """", """", GOOGLETRANSLATE(AB247, ""en"", ""bn""))"),"তীব্র মানসিক চাপ")</f>
        <v>তীব্র মানসিক চাপ</v>
      </c>
      <c r="AU247" s="5" t="str">
        <f ca="1">IFERROR(__xludf.DUMMYFUNCTION("IF(Y247 = """", """", GOOGLETRANSLATE(Y247, ""en"", ""te""))"),"ఆరోగ్య సమస్యలు తీవ్రమయ్యే అవకాశం ఉంది")</f>
        <v>ఆరోగ్య సమస్యలు తీవ్రమయ్యే అవకాశం ఉంది</v>
      </c>
      <c r="AV247" s="5" t="str">
        <f ca="1">IFERROR(__xludf.DUMMYFUNCTION("IF(Z247 = """", """", GOOGLETRANSLATE(Z247, ""en"", ""te""))"),"సాధారణ పని తప్పు కావచ్చు")</f>
        <v>సాధారణ పని తప్పు కావచ్చు</v>
      </c>
      <c r="AW247" s="5" t="str">
        <f ca="1">IFERROR(__xludf.DUMMYFUNCTION("IF(AA247 = """", """", GOOGLETRANSLATE(AA247, ""en"", ""te""))"),"బ్యాకప్ ప్లాన్‌లను ఉంచండి")</f>
        <v>బ్యాకప్ ప్లాన్‌లను ఉంచండి</v>
      </c>
      <c r="AX247" s="5" t="str">
        <f ca="1">IFERROR(__xludf.DUMMYFUNCTION("IF(AB247 = """", """", GOOGLETRANSLATE(AB247, ""en"", ""te""))"),"తీవ్రమైన మానసిక ఒత్తిడి")</f>
        <v>తీవ్రమైన మానసిక ఒత్తిడి</v>
      </c>
    </row>
    <row r="248" spans="1:50" x14ac:dyDescent="0.25">
      <c r="A248" s="1">
        <v>263</v>
      </c>
      <c r="B248" s="1" t="s">
        <v>56</v>
      </c>
      <c r="C248" s="2">
        <v>45842</v>
      </c>
      <c r="D248" s="2">
        <v>45842</v>
      </c>
      <c r="E248" s="1">
        <v>12</v>
      </c>
      <c r="F248" s="1">
        <v>1</v>
      </c>
      <c r="G248" s="3" t="s">
        <v>700</v>
      </c>
      <c r="H248" s="4">
        <v>7.7546296296296295E-3</v>
      </c>
      <c r="I248" s="4">
        <v>7.1643518518518514E-3</v>
      </c>
      <c r="J248" s="4">
        <v>7.5462962962962966E-3</v>
      </c>
      <c r="K248" s="1"/>
      <c r="L248" s="1" t="s">
        <v>81</v>
      </c>
      <c r="M248" s="1"/>
      <c r="N248" s="1"/>
      <c r="O248" s="1" t="s">
        <v>91</v>
      </c>
      <c r="P248" s="1" t="s">
        <v>61</v>
      </c>
      <c r="Q248" s="1" t="s">
        <v>61</v>
      </c>
      <c r="R248" s="1" t="s">
        <v>61</v>
      </c>
      <c r="S248" s="1" t="s">
        <v>61</v>
      </c>
      <c r="T248" s="1" t="s">
        <v>61</v>
      </c>
      <c r="U248" s="1"/>
      <c r="V248" s="1" t="s">
        <v>61</v>
      </c>
      <c r="W248" s="1" t="s">
        <v>61</v>
      </c>
      <c r="X248" s="1" t="s">
        <v>91</v>
      </c>
      <c r="Y248" s="1" t="s">
        <v>732</v>
      </c>
      <c r="Z248" s="1" t="s">
        <v>733</v>
      </c>
      <c r="AA248" s="1" t="s">
        <v>734</v>
      </c>
      <c r="AB248" s="1"/>
      <c r="AC248" s="5" t="str">
        <f ca="1">IFERROR(__xludf.DUMMYFUNCTION("IF(Y248 = """", """", GOOGLETRANSLATE(Y248, ""en"", ""hi""))
"),"कुछ चुनौतियाँ संभव")</f>
        <v>कुछ चुनौतियाँ संभव</v>
      </c>
      <c r="AD248" s="5" t="str">
        <f ca="1">IFERROR(__xludf.DUMMYFUNCTION("IF(Z248 = """", """", GOOGLETRANSLATE(Z248, ""en"", ""hi""))"),"बुद्धि और योजना से आप विजय प्राप्त कर लेंगे")</f>
        <v>बुद्धि और योजना से आप विजय प्राप्त कर लेंगे</v>
      </c>
      <c r="AE248" s="5" t="str">
        <f ca="1">IFERROR(__xludf.DUMMYFUNCTION("IF(AA248 = """", """", GOOGLETRANSLATE(AA248, ""en"", ""hi""))"),"बच्चों से जुड़ी चिंताओं पर अच्छी खबर")</f>
        <v>बच्चों से जुड़ी चिंताओं पर अच्छी खबर</v>
      </c>
      <c r="AF248" s="5" t="str">
        <f ca="1">IFERROR(__xludf.DUMMYFUNCTION("IF(AB248 = """", """", GOOGLETRANSLATE(AB248, ""en"", ""hi""))"),"")</f>
        <v/>
      </c>
      <c r="AG248" s="5" t="str">
        <f ca="1">IFERROR(__xludf.DUMMYFUNCTION("IF(Y248 = """", """", GOOGLETRANSLATE(Y248, ""en"", ""mr""))"),"काही आव्हाने शक्य")</f>
        <v>काही आव्हाने शक्य</v>
      </c>
      <c r="AH248" s="5" t="str">
        <f ca="1">IFERROR(__xludf.DUMMYFUNCTION("IF(Z248 = """", """", GOOGLETRANSLATE(Z248, ""en"", ""mr""))"),"बुद्धी आणि नियोजनाने तुम्ही मात कराल")</f>
        <v>बुद्धी आणि नियोजनाने तुम्ही मात कराल</v>
      </c>
      <c r="AI248" s="5" t="str">
        <f ca="1">IFERROR(__xludf.DUMMYFUNCTION("IF(AA248 = """", """", GOOGLETRANSLATE(AA248, ""en"", ""mr""))"),"मुलांशी संबंधित चिंतांवर चांगली बातमी")</f>
        <v>मुलांशी संबंधित चिंतांवर चांगली बातमी</v>
      </c>
      <c r="AJ248" s="5" t="str">
        <f ca="1">IFERROR(__xludf.DUMMYFUNCTION("IF(AB248 = """", """", GOOGLETRANSLATE(AB248, ""en"", ""mr""))"),"")</f>
        <v/>
      </c>
      <c r="AK248" s="5" t="str">
        <f ca="1">IFERROR(__xludf.DUMMYFUNCTION("IF(Y248 = """", """", GOOGLETRANSLATE(Y248, ""en"", ""gu""))"),"કેટલાક પડકારો શક્ય છે")</f>
        <v>કેટલાક પડકારો શક્ય છે</v>
      </c>
      <c r="AL248" s="5" t="str">
        <f ca="1">IFERROR(__xludf.DUMMYFUNCTION("IF(Z248 = """", """", GOOGLETRANSLATE(Z248, ""en"", ""gu""))"),"ડહાપણ અને આયોજનથી તમે કાબુ મેળવશો")</f>
        <v>ડહાપણ અને આયોજનથી તમે કાબુ મેળવશો</v>
      </c>
      <c r="AM248" s="5" t="str">
        <f ca="1">IFERROR(__xludf.DUMMYFUNCTION("IF(AA248 = """", """", GOOGLETRANSLATE(AA248, ""en"", ""gu""))"),"સંતાન સંબંધી ચિંતાઓ અંગે સારા સમાચાર")</f>
        <v>સંતાન સંબંધી ચિંતાઓ અંગે સારા સમાચાર</v>
      </c>
      <c r="AN248" s="5" t="str">
        <f ca="1">IFERROR(__xludf.DUMMYFUNCTION("IF(AB248 = """", """", GOOGLETRANSLATE(AB248, ""en"", ""gu""))"),"")</f>
        <v/>
      </c>
      <c r="AO248" s="5" t="str">
        <f ca="1">IFERROR(__xludf.DUMMYFUNCTION("IF(Y248 = """", """", GOOGLETRANSLATE(Y248, ""en"", ""bn""))"),"কিছু চ্যালেঞ্জ সম্ভব")</f>
        <v>কিছু চ্যালেঞ্জ সম্ভব</v>
      </c>
      <c r="AP248" s="5" t="str">
        <f ca="1">IFERROR(__xludf.DUMMYFUNCTION("IF(Z248 = """", """", GOOGLETRANSLATE(Z248, ""en"", ""bn""))"),"প্রজ্ঞা এবং পরিকল্পনার সাথে আপনি কাটিয়ে উঠবেন")</f>
        <v>প্রজ্ঞা এবং পরিকল্পনার সাথে আপনি কাটিয়ে উঠবেন</v>
      </c>
      <c r="AQ248" s="5" t="str">
        <f ca="1">IFERROR(__xludf.DUMMYFUNCTION("IF(AA248 = """", """", GOOGLETRANSLATE(AA248, ""en"", ""bn""))"),"সন্তান-সম্পর্কিত দুশ্চিন্তায় সুখবর")</f>
        <v>সন্তান-সম্পর্কিত দুশ্চিন্তায় সুখবর</v>
      </c>
      <c r="AR248" s="5" t="str">
        <f ca="1">IFERROR(__xludf.DUMMYFUNCTION("IF(AB248 = """", """", GOOGLETRANSLATE(AB248, ""en"", ""bn""))"),"")</f>
        <v/>
      </c>
      <c r="AU248" s="5" t="str">
        <f ca="1">IFERROR(__xludf.DUMMYFUNCTION("IF(Y248 = """", """", GOOGLETRANSLATE(Y248, ""en"", ""te""))"),"కొన్ని సవాళ్లు సాధ్యమే")</f>
        <v>కొన్ని సవాళ్లు సాధ్యమే</v>
      </c>
      <c r="AV248" s="5" t="str">
        <f ca="1">IFERROR(__xludf.DUMMYFUNCTION("IF(Z248 = """", """", GOOGLETRANSLATE(Z248, ""en"", ""te""))"),"తెలివి మరియు ప్రణాళికతో మీరు అధిగమిస్తారు")</f>
        <v>తెలివి మరియు ప్రణాళికతో మీరు అధిగమిస్తారు</v>
      </c>
      <c r="AW248" s="5" t="str">
        <f ca="1">IFERROR(__xludf.DUMMYFUNCTION("IF(AA248 = """", """", GOOGLETRANSLATE(AA248, ""en"", ""te""))"),"పిల్లలకు సంబంధించిన ఆందోళనలకు శుభవార్త")</f>
        <v>పిల్లలకు సంబంధించిన ఆందోళనలకు శుభవార్త</v>
      </c>
      <c r="AX248" s="5" t="str">
        <f ca="1">IFERROR(__xludf.DUMMYFUNCTION("IF(AB248 = """", """", GOOGLETRANSLATE(AB248, ""en"", ""te""))"),"")</f>
        <v/>
      </c>
    </row>
    <row r="249" spans="1:50" x14ac:dyDescent="0.25">
      <c r="A249" s="1">
        <v>264</v>
      </c>
      <c r="B249" s="1" t="s">
        <v>56</v>
      </c>
      <c r="C249" s="2">
        <v>45842</v>
      </c>
      <c r="D249" s="2">
        <v>45842</v>
      </c>
      <c r="E249" s="1">
        <v>13</v>
      </c>
      <c r="F249" s="1">
        <v>1</v>
      </c>
      <c r="G249" s="3" t="s">
        <v>700</v>
      </c>
      <c r="H249" s="4">
        <v>7.7546296296296295E-3</v>
      </c>
      <c r="I249" s="4">
        <v>7.5462962962962966E-3</v>
      </c>
      <c r="J249" s="4">
        <v>7.7546296296296295E-3</v>
      </c>
      <c r="K249" s="1"/>
      <c r="L249" s="1" t="s">
        <v>137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 t="str">
        <f ca="1">IFERROR(__xludf.DUMMYFUNCTION("IF(Y249 = """", """", GOOGLETRANSLATE(Y249, ""en"", ""hi""))
"),"")</f>
        <v/>
      </c>
      <c r="AD249" s="5" t="str">
        <f ca="1">IFERROR(__xludf.DUMMYFUNCTION("IF(Z249 = """", """", GOOGLETRANSLATE(Z249, ""en"", ""hi""))"),"")</f>
        <v/>
      </c>
      <c r="AE249" s="5" t="str">
        <f ca="1">IFERROR(__xludf.DUMMYFUNCTION("IF(AA249 = """", """", GOOGLETRANSLATE(AA249, ""en"", ""hi""))"),"")</f>
        <v/>
      </c>
      <c r="AF249" s="5" t="str">
        <f ca="1">IFERROR(__xludf.DUMMYFUNCTION("IF(AB249 = """", """", GOOGLETRANSLATE(AB249, ""en"", ""hi""))"),"")</f>
        <v/>
      </c>
      <c r="AG249" s="5" t="str">
        <f ca="1">IFERROR(__xludf.DUMMYFUNCTION("IF(Y249 = """", """", GOOGLETRANSLATE(Y249, ""en"", ""mr""))"),"")</f>
        <v/>
      </c>
      <c r="AH249" s="5" t="str">
        <f ca="1">IFERROR(__xludf.DUMMYFUNCTION("IF(Z249 = """", """", GOOGLETRANSLATE(Z249, ""en"", ""mr""))"),"")</f>
        <v/>
      </c>
      <c r="AI249" s="5" t="str">
        <f ca="1">IFERROR(__xludf.DUMMYFUNCTION("IF(AA249 = """", """", GOOGLETRANSLATE(AA249, ""en"", ""mr""))"),"")</f>
        <v/>
      </c>
      <c r="AJ249" s="5" t="str">
        <f ca="1">IFERROR(__xludf.DUMMYFUNCTION("IF(AB249 = """", """", GOOGLETRANSLATE(AB249, ""en"", ""mr""))"),"")</f>
        <v/>
      </c>
      <c r="AK249" s="5" t="str">
        <f ca="1">IFERROR(__xludf.DUMMYFUNCTION("IF(Y249 = """", """", GOOGLETRANSLATE(Y249, ""en"", ""gu""))"),"")</f>
        <v/>
      </c>
      <c r="AL249" s="5" t="str">
        <f ca="1">IFERROR(__xludf.DUMMYFUNCTION("IF(Z249 = """", """", GOOGLETRANSLATE(Z249, ""en"", ""gu""))"),"")</f>
        <v/>
      </c>
      <c r="AM249" s="5" t="str">
        <f ca="1">IFERROR(__xludf.DUMMYFUNCTION("IF(AA249 = """", """", GOOGLETRANSLATE(AA249, ""en"", ""gu""))"),"")</f>
        <v/>
      </c>
      <c r="AN249" s="5" t="str">
        <f ca="1">IFERROR(__xludf.DUMMYFUNCTION("IF(AB249 = """", """", GOOGLETRANSLATE(AB249, ""en"", ""gu""))"),"")</f>
        <v/>
      </c>
      <c r="AO249" s="5" t="str">
        <f ca="1">IFERROR(__xludf.DUMMYFUNCTION("IF(Y249 = """", """", GOOGLETRANSLATE(Y249, ""en"", ""bn""))"),"")</f>
        <v/>
      </c>
      <c r="AP249" s="5" t="str">
        <f ca="1">IFERROR(__xludf.DUMMYFUNCTION("IF(Z249 = """", """", GOOGLETRANSLATE(Z249, ""en"", ""bn""))"),"")</f>
        <v/>
      </c>
      <c r="AQ249" s="5" t="str">
        <f ca="1">IFERROR(__xludf.DUMMYFUNCTION("IF(AA249 = """", """", GOOGLETRANSLATE(AA249, ""en"", ""bn""))"),"")</f>
        <v/>
      </c>
      <c r="AR249" s="5" t="str">
        <f ca="1">IFERROR(__xludf.DUMMYFUNCTION("IF(AB249 = """", """", GOOGLETRANSLATE(AB249, ""en"", ""bn""))"),"")</f>
        <v/>
      </c>
      <c r="AU249" s="5" t="str">
        <f ca="1">IFERROR(__xludf.DUMMYFUNCTION("IF(Y249 = """", """", GOOGLETRANSLATE(Y249, ""en"", ""te""))"),"")</f>
        <v/>
      </c>
      <c r="AV249" s="5" t="str">
        <f ca="1">IFERROR(__xludf.DUMMYFUNCTION("IF(Z249 = """", """", GOOGLETRANSLATE(Z249, ""en"", ""te""))"),"")</f>
        <v/>
      </c>
      <c r="AW249" s="5" t="str">
        <f ca="1">IFERROR(__xludf.DUMMYFUNCTION("IF(AA249 = """", """", GOOGLETRANSLATE(AA249, ""en"", ""te""))"),"")</f>
        <v/>
      </c>
      <c r="AX249" s="5" t="str">
        <f ca="1">IFERROR(__xludf.DUMMYFUNCTION("IF(AB249 = """", """", GOOGLETRANSLATE(AB249, ""en"", ""te""))"),"")</f>
        <v/>
      </c>
    </row>
    <row r="250" spans="1:50" x14ac:dyDescent="0.25">
      <c r="A250" s="1">
        <v>265</v>
      </c>
      <c r="B250" s="1" t="s">
        <v>56</v>
      </c>
      <c r="C250" s="2">
        <v>45843</v>
      </c>
      <c r="D250" s="2">
        <v>45843</v>
      </c>
      <c r="E250" s="1">
        <v>1</v>
      </c>
      <c r="F250" s="1">
        <v>1</v>
      </c>
      <c r="G250" s="3" t="s">
        <v>735</v>
      </c>
      <c r="H250" s="4">
        <v>1.0069444444444445E-2</v>
      </c>
      <c r="I250" s="4">
        <v>0</v>
      </c>
      <c r="J250" s="4">
        <v>9.0277777777777774E-4</v>
      </c>
      <c r="K250" s="1"/>
      <c r="L250" s="1" t="s">
        <v>59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 t="str">
        <f ca="1">IFERROR(__xludf.DUMMYFUNCTION("IF(Y250 = """", """", GOOGLETRANSLATE(Y250, ""en"", ""hi""))
"),"")</f>
        <v/>
      </c>
      <c r="AD250" s="5" t="str">
        <f ca="1">IFERROR(__xludf.DUMMYFUNCTION("IF(Z250 = """", """", GOOGLETRANSLATE(Z250, ""en"", ""hi""))"),"")</f>
        <v/>
      </c>
      <c r="AE250" s="5" t="str">
        <f ca="1">IFERROR(__xludf.DUMMYFUNCTION("IF(AA250 = """", """", GOOGLETRANSLATE(AA250, ""en"", ""hi""))"),"")</f>
        <v/>
      </c>
      <c r="AF250" s="5" t="str">
        <f ca="1">IFERROR(__xludf.DUMMYFUNCTION("IF(AB250 = """", """", GOOGLETRANSLATE(AB250, ""en"", ""hi""))"),"")</f>
        <v/>
      </c>
      <c r="AG250" s="5" t="str">
        <f ca="1">IFERROR(__xludf.DUMMYFUNCTION("IF(Y250 = """", """", GOOGLETRANSLATE(Y250, ""en"", ""mr""))"),"")</f>
        <v/>
      </c>
      <c r="AH250" s="5" t="str">
        <f ca="1">IFERROR(__xludf.DUMMYFUNCTION("IF(Z250 = """", """", GOOGLETRANSLATE(Z250, ""en"", ""mr""))"),"")</f>
        <v/>
      </c>
      <c r="AI250" s="5" t="str">
        <f ca="1">IFERROR(__xludf.DUMMYFUNCTION("IF(AA250 = """", """", GOOGLETRANSLATE(AA250, ""en"", ""mr""))"),"")</f>
        <v/>
      </c>
      <c r="AJ250" s="5" t="str">
        <f ca="1">IFERROR(__xludf.DUMMYFUNCTION("IF(AB250 = """", """", GOOGLETRANSLATE(AB250, ""en"", ""mr""))"),"")</f>
        <v/>
      </c>
      <c r="AK250" s="5" t="str">
        <f ca="1">IFERROR(__xludf.DUMMYFUNCTION("IF(Y250 = """", """", GOOGLETRANSLATE(Y250, ""en"", ""gu""))"),"")</f>
        <v/>
      </c>
      <c r="AL250" s="5" t="str">
        <f ca="1">IFERROR(__xludf.DUMMYFUNCTION("IF(Z250 = """", """", GOOGLETRANSLATE(Z250, ""en"", ""gu""))"),"")</f>
        <v/>
      </c>
      <c r="AM250" s="5" t="str">
        <f ca="1">IFERROR(__xludf.DUMMYFUNCTION("IF(AA250 = """", """", GOOGLETRANSLATE(AA250, ""en"", ""gu""))"),"")</f>
        <v/>
      </c>
      <c r="AN250" s="5" t="str">
        <f ca="1">IFERROR(__xludf.DUMMYFUNCTION("IF(AB250 = """", """", GOOGLETRANSLATE(AB250, ""en"", ""gu""))"),"")</f>
        <v/>
      </c>
      <c r="AO250" s="5" t="str">
        <f ca="1">IFERROR(__xludf.DUMMYFUNCTION("IF(Y250 = """", """", GOOGLETRANSLATE(Y250, ""en"", ""bn""))"),"")</f>
        <v/>
      </c>
      <c r="AP250" s="5" t="str">
        <f ca="1">IFERROR(__xludf.DUMMYFUNCTION("IF(Z250 = """", """", GOOGLETRANSLATE(Z250, ""en"", ""bn""))"),"")</f>
        <v/>
      </c>
      <c r="AQ250" s="5" t="str">
        <f ca="1">IFERROR(__xludf.DUMMYFUNCTION("IF(AA250 = """", """", GOOGLETRANSLATE(AA250, ""en"", ""bn""))"),"")</f>
        <v/>
      </c>
      <c r="AR250" s="5" t="str">
        <f ca="1">IFERROR(__xludf.DUMMYFUNCTION("IF(AB250 = """", """", GOOGLETRANSLATE(AB250, ""en"", ""bn""))"),"")</f>
        <v/>
      </c>
      <c r="AU250" s="5" t="str">
        <f ca="1">IFERROR(__xludf.DUMMYFUNCTION("IF(Y250 = """", """", GOOGLETRANSLATE(Y250, ""en"", ""te""))"),"")</f>
        <v/>
      </c>
      <c r="AV250" s="5" t="str">
        <f ca="1">IFERROR(__xludf.DUMMYFUNCTION("IF(Z250 = """", """", GOOGLETRANSLATE(Z250, ""en"", ""te""))"),"")</f>
        <v/>
      </c>
      <c r="AW250" s="5" t="str">
        <f ca="1">IFERROR(__xludf.DUMMYFUNCTION("IF(AA250 = """", """", GOOGLETRANSLATE(AA250, ""en"", ""te""))"),"")</f>
        <v/>
      </c>
      <c r="AX250" s="5" t="str">
        <f ca="1">IFERROR(__xludf.DUMMYFUNCTION("IF(AB250 = """", """", GOOGLETRANSLATE(AB250, ""en"", ""te""))"),"")</f>
        <v/>
      </c>
    </row>
    <row r="251" spans="1:50" x14ac:dyDescent="0.25">
      <c r="A251" s="1">
        <v>266</v>
      </c>
      <c r="B251" s="1" t="s">
        <v>56</v>
      </c>
      <c r="C251" s="2">
        <v>45843</v>
      </c>
      <c r="D251" s="2">
        <v>45843</v>
      </c>
      <c r="E251" s="1">
        <v>2</v>
      </c>
      <c r="F251" s="1">
        <v>1</v>
      </c>
      <c r="G251" s="3" t="s">
        <v>735</v>
      </c>
      <c r="H251" s="4">
        <v>1.0069444444444445E-2</v>
      </c>
      <c r="I251" s="4">
        <v>9.0277777777777774E-4</v>
      </c>
      <c r="J251" s="4">
        <v>1.3310185185185185E-3</v>
      </c>
      <c r="K251" s="1"/>
      <c r="L251" s="1" t="s">
        <v>142</v>
      </c>
      <c r="M251" s="1"/>
      <c r="N251" s="1"/>
      <c r="O251" s="1" t="s">
        <v>91</v>
      </c>
      <c r="P251" s="1" t="s">
        <v>61</v>
      </c>
      <c r="Q251" s="1" t="s">
        <v>61</v>
      </c>
      <c r="R251" s="1" t="s">
        <v>61</v>
      </c>
      <c r="S251" s="1" t="s">
        <v>61</v>
      </c>
      <c r="T251" s="1" t="s">
        <v>61</v>
      </c>
      <c r="U251" s="1" t="s">
        <v>109</v>
      </c>
      <c r="V251" s="1" t="s">
        <v>91</v>
      </c>
      <c r="W251" s="1" t="s">
        <v>61</v>
      </c>
      <c r="X251" s="1" t="s">
        <v>61</v>
      </c>
      <c r="Y251" s="1" t="s">
        <v>736</v>
      </c>
      <c r="Z251" s="1" t="s">
        <v>737</v>
      </c>
      <c r="AA251" s="1" t="s">
        <v>738</v>
      </c>
      <c r="AB251" s="1" t="s">
        <v>739</v>
      </c>
      <c r="AC251" s="5" t="str">
        <f ca="1">IFERROR(__xludf.DUMMYFUNCTION("IF(Y251 = """", """", GOOGLETRANSLATE(Y251, ""en"", ""hi""))
"),"सामाजिक, पारिवारिक कर्तव्य")</f>
        <v>सामाजिक, पारिवारिक कर्तव्य</v>
      </c>
      <c r="AD251" s="5" t="str">
        <f ca="1">IFERROR(__xludf.DUMMYFUNCTION("IF(Z251 = """", """", GOOGLETRANSLATE(Z251, ""en"", ""hi""))"),"काम और परिवार के बीच संतुलन")</f>
        <v>काम और परिवार के बीच संतुलन</v>
      </c>
      <c r="AE251" s="5" t="str">
        <f ca="1">IFERROR(__xludf.DUMMYFUNCTION("IF(AA251 = """", """", GOOGLETRANSLATE(AA251, ""en"", ""hi""))"),"प्रयास और योजना से पार पाएँ")</f>
        <v>प्रयास और योजना से पार पाएँ</v>
      </c>
      <c r="AF251" s="5" t="str">
        <f ca="1">IFERROR(__xludf.DUMMYFUNCTION("IF(AB251 = """", """", GOOGLETRANSLATE(AB251, ""en"", ""hi""))"),"प्रियजनों से समर्थन")</f>
        <v>प्रियजनों से समर्थन</v>
      </c>
      <c r="AG251" s="5" t="str">
        <f ca="1">IFERROR(__xludf.DUMMYFUNCTION("IF(Y251 = """", """", GOOGLETRANSLATE(Y251, ""en"", ""mr""))"),"सामाजिक, कौटुंबिक कर्तव्ये ")</f>
        <v xml:space="preserve">सामाजिक, कौटुंबिक कर्तव्ये </v>
      </c>
      <c r="AH251" s="5" t="str">
        <f ca="1">IFERROR(__xludf.DUMMYFUNCTION("IF(Z251 = """", """", GOOGLETRANSLATE(Z251, ""en"", ""mr""))"),"काम आणि कुटुंब यांच्यात संतुलन")</f>
        <v>काम आणि कुटुंब यांच्यात संतुलन</v>
      </c>
      <c r="AI251" s="5" t="str">
        <f ca="1">IFERROR(__xludf.DUMMYFUNCTION("IF(AA251 = """", """", GOOGLETRANSLATE(AA251, ""en"", ""mr""))"),"प्रयत्न आणि नियोजनाने मात करा")</f>
        <v>प्रयत्न आणि नियोजनाने मात करा</v>
      </c>
      <c r="AJ251" s="5" t="str">
        <f ca="1">IFERROR(__xludf.DUMMYFUNCTION("IF(AB251 = """", """", GOOGLETRANSLATE(AB251, ""en"", ""mr""))"),"प्रियजनांकडून पाठिंबा मिळेल")</f>
        <v>प्रियजनांकडून पाठिंबा मिळेल</v>
      </c>
      <c r="AK251" s="5" t="str">
        <f ca="1">IFERROR(__xludf.DUMMYFUNCTION("IF(Y251 = """", """", GOOGLETRANSLATE(Y251, ""en"", ""gu""))"),"સામાજિક, કૌટુંબિક ફરજો ")</f>
        <v xml:space="preserve">સામાજિક, કૌટુંબિક ફરજો </v>
      </c>
      <c r="AL251" s="5" t="str">
        <f ca="1">IFERROR(__xludf.DUMMYFUNCTION("IF(Z251 = """", """", GOOGLETRANSLATE(Z251, ""en"", ""gu""))"),"કાર્ય અને કુટુંબ વચ્ચે સંતુલન")</f>
        <v>કાર્ય અને કુટુંબ વચ્ચે સંતુલન</v>
      </c>
      <c r="AM251" s="5" t="str">
        <f ca="1">IFERROR(__xludf.DUMMYFUNCTION("IF(AA251 = """", """", GOOGLETRANSLATE(AA251, ""en"", ""gu""))"),"પ્રયત્નો અને આયોજનથી કાબુ મેળવો")</f>
        <v>પ્રયત્નો અને આયોજનથી કાબુ મેળવો</v>
      </c>
      <c r="AN251" s="5" t="str">
        <f ca="1">IFERROR(__xludf.DUMMYFUNCTION("IF(AB251 = """", """", GOOGLETRANSLATE(AB251, ""en"", ""gu""))"),"પ્રિયજનો તરફથી સહયોગ મળશે")</f>
        <v>પ્રિયજનો તરફથી સહયોગ મળશે</v>
      </c>
      <c r="AO251" s="5" t="str">
        <f ca="1">IFERROR(__xludf.DUMMYFUNCTION("IF(Y251 = """", """", GOOGLETRANSLATE(Y251, ""en"", ""bn""))"),"সামাজিক, পারিবারিক কর্তব্য ")</f>
        <v xml:space="preserve">সামাজিক, পারিবারিক কর্তব্য </v>
      </c>
      <c r="AP251" s="5" t="str">
        <f ca="1">IFERROR(__xludf.DUMMYFUNCTION("IF(Z251 = """", """", GOOGLETRANSLATE(Z251, ""en"", ""bn""))"),"কাজ এবং পরিবারের মধ্যে ভারসাম্য")</f>
        <v>কাজ এবং পরিবারের মধ্যে ভারসাম্য</v>
      </c>
      <c r="AQ251" s="5" t="str">
        <f ca="1">IFERROR(__xludf.DUMMYFUNCTION("IF(AA251 = """", """", GOOGLETRANSLATE(AA251, ""en"", ""bn""))"),"প্রচেষ্টা এবং পরিকল্পনা সঙ্গে পরাস্ত")</f>
        <v>প্রচেষ্টা এবং পরিকল্পনা সঙ্গে পরাস্ত</v>
      </c>
      <c r="AR251" s="5" t="str">
        <f ca="1">IFERROR(__xludf.DUMMYFUNCTION("IF(AB251 = """", """", GOOGLETRANSLATE(AB251, ""en"", ""bn""))"),"প্রিয়জনের কাছ থেকে সমর্থন")</f>
        <v>প্রিয়জনের কাছ থেকে সমর্থন</v>
      </c>
      <c r="AU251" s="5" t="str">
        <f ca="1">IFERROR(__xludf.DUMMYFUNCTION("IF(Y251 = """", """", GOOGLETRANSLATE(Y251, ""en"", ""te""))"),"సామాజిక, కుటుంబ విధులు ")</f>
        <v xml:space="preserve">సామాజిక, కుటుంబ విధులు </v>
      </c>
      <c r="AV251" s="5" t="str">
        <f ca="1">IFERROR(__xludf.DUMMYFUNCTION("IF(Z251 = """", """", GOOGLETRANSLATE(Z251, ""en"", ""te""))"),"పని మరియు కుటుంబం మధ్య బ్యాలెన్స్")</f>
        <v>పని మరియు కుటుంబం మధ్య బ్యాలెన్స్</v>
      </c>
      <c r="AW251" s="5" t="str">
        <f ca="1">IFERROR(__xludf.DUMMYFUNCTION("IF(AA251 = """", """", GOOGLETRANSLATE(AA251, ""en"", ""te""))"),"ప్రయత్నం మరియు ప్రణాళికతో అధిగమించండి")</f>
        <v>ప్రయత్నం మరియు ప్రణాళికతో అధిగమించండి</v>
      </c>
      <c r="AX251" s="5" t="str">
        <f ca="1">IFERROR(__xludf.DUMMYFUNCTION("IF(AB251 = """", """", GOOGLETRANSLATE(AB251, ""en"", ""te""))"),"ప్రియమైన వారి నుండి మద్దతు")</f>
        <v>ప్రియమైన వారి నుండి మద్దతు</v>
      </c>
    </row>
    <row r="252" spans="1:50" x14ac:dyDescent="0.25">
      <c r="A252" s="1">
        <v>267</v>
      </c>
      <c r="B252" s="1" t="s">
        <v>56</v>
      </c>
      <c r="C252" s="2">
        <v>45843</v>
      </c>
      <c r="D252" s="2">
        <v>45843</v>
      </c>
      <c r="E252" s="1">
        <v>3</v>
      </c>
      <c r="F252" s="1">
        <v>1</v>
      </c>
      <c r="G252" s="3" t="s">
        <v>735</v>
      </c>
      <c r="H252" s="4">
        <v>1.0069444444444445E-2</v>
      </c>
      <c r="I252" s="4">
        <v>1.3310185185185185E-3</v>
      </c>
      <c r="J252" s="4">
        <v>1.9097222222222222E-3</v>
      </c>
      <c r="K252" s="1"/>
      <c r="L252" s="1" t="s">
        <v>90</v>
      </c>
      <c r="M252" s="1"/>
      <c r="N252" s="1"/>
      <c r="O252" s="1" t="s">
        <v>61</v>
      </c>
      <c r="P252" s="1" t="s">
        <v>61</v>
      </c>
      <c r="Q252" s="1" t="s">
        <v>61</v>
      </c>
      <c r="R252" s="1" t="s">
        <v>61</v>
      </c>
      <c r="S252" s="1" t="s">
        <v>61</v>
      </c>
      <c r="T252" s="1" t="s">
        <v>91</v>
      </c>
      <c r="U252" s="1" t="s">
        <v>109</v>
      </c>
      <c r="V252" s="1" t="s">
        <v>61</v>
      </c>
      <c r="W252" s="1" t="s">
        <v>61</v>
      </c>
      <c r="X252" s="1" t="s">
        <v>91</v>
      </c>
      <c r="Y252" s="1" t="s">
        <v>740</v>
      </c>
      <c r="Z252" s="1" t="s">
        <v>741</v>
      </c>
      <c r="AA252" s="1" t="s">
        <v>742</v>
      </c>
      <c r="AB252" s="1" t="s">
        <v>743</v>
      </c>
      <c r="AC252" s="5" t="str">
        <f ca="1">IFERROR(__xludf.DUMMYFUNCTION("IF(Y252 = """", """", GOOGLETRANSLATE(Y252, ""en"", ""hi""))
"),"छिपे हुए दुश्मन उजागर")</f>
        <v>छिपे हुए दुश्मन उजागर</v>
      </c>
      <c r="AD252" s="5" t="str">
        <f ca="1">IFERROR(__xludf.DUMMYFUNCTION("IF(Z252 = """", """", GOOGLETRANSLATE(Z252, ""en"", ""hi""))"),"जवाबी कार्रवाई न करें")</f>
        <v>जवाबी कार्रवाई न करें</v>
      </c>
      <c r="AE252" s="5" t="str">
        <f ca="1">IFERROR(__xludf.DUMMYFUNCTION("IF(AA252 = """", """", GOOGLETRANSLATE(AA252, ""en"", ""hi""))"),"चुप रहो")</f>
        <v>चुप रहो</v>
      </c>
      <c r="AF252" s="5" t="str">
        <f ca="1">IFERROR(__xludf.DUMMYFUNCTION("IF(AB252 = """", """", GOOGLETRANSLATE(AB252, ""en"", ""hi""))"),"बड़े कार्यों से बचें और नियमित कार्यों पर ध्यान केंद्रित करें")</f>
        <v>बड़े कार्यों से बचें और नियमित कार्यों पर ध्यान केंद्रित करें</v>
      </c>
      <c r="AG252" s="5" t="str">
        <f ca="1">IFERROR(__xludf.DUMMYFUNCTION("IF(Y252 = """", """", GOOGLETRANSLATE(Y252, ""en"", ""mr""))"),"लपलेले शत्रू उघड")</f>
        <v>लपलेले शत्रू उघड</v>
      </c>
      <c r="AH252" s="5" t="str">
        <f ca="1">IFERROR(__xludf.DUMMYFUNCTION("IF(Z252 = """", """", GOOGLETRANSLATE(Z252, ""en"", ""mr""))"),"बदला घेऊ नका")</f>
        <v>बदला घेऊ नका</v>
      </c>
      <c r="AI252" s="5" t="str">
        <f ca="1">IFERROR(__xludf.DUMMYFUNCTION("IF(AA252 = """", """", GOOGLETRANSLATE(AA252, ""en"", ""mr""))"),"गप्प राहा")</f>
        <v>गप्प राहा</v>
      </c>
      <c r="AJ252" s="5" t="str">
        <f ca="1">IFERROR(__xludf.DUMMYFUNCTION("IF(AB252 = """", """", GOOGLETRANSLATE(AB252, ""en"", ""mr""))"),"मोठी कामे टाळा आणि नेहमीच्या कामावर लक्ष द्या")</f>
        <v>मोठी कामे टाळा आणि नेहमीच्या कामावर लक्ष द्या</v>
      </c>
      <c r="AK252" s="5" t="str">
        <f ca="1">IFERROR(__xludf.DUMMYFUNCTION("IF(Y252 = """", """", GOOGLETRANSLATE(Y252, ""en"", ""gu""))"),"છુપાયેલા દુશ્મનો ખુલ્લા")</f>
        <v>છુપાયેલા દુશ્મનો ખુલ્લા</v>
      </c>
      <c r="AL252" s="5" t="str">
        <f ca="1">IFERROR(__xludf.DUMMYFUNCTION("IF(Z252 = """", """", GOOGLETRANSLATE(Z252, ""en"", ""gu""))"),"બદલો લેશો નહીં")</f>
        <v>બદલો લેશો નહીં</v>
      </c>
      <c r="AM252" s="5" t="str">
        <f ca="1">IFERROR(__xludf.DUMMYFUNCTION("IF(AA252 = """", """", GOOGLETRANSLATE(AA252, ""en"", ""gu""))"),"મૌન રહો")</f>
        <v>મૌન રહો</v>
      </c>
      <c r="AN252" s="5" t="str">
        <f ca="1">IFERROR(__xludf.DUMMYFUNCTION("IF(AB252 = """", """", GOOGLETRANSLATE(AB252, ""en"", ""gu""))"),"મોટા કાર્યો ટાળો અને નિયમિત કામ પર ધ્યાન આપો")</f>
        <v>મોટા કાર્યો ટાળો અને નિયમિત કામ પર ધ્યાન આપો</v>
      </c>
      <c r="AO252" s="5" t="str">
        <f ca="1">IFERROR(__xludf.DUMMYFUNCTION("IF(Y252 = """", """", GOOGLETRANSLATE(Y252, ""en"", ""bn""))"),"লুকানো শত্রু উন্মোচিত")</f>
        <v>লুকানো শত্রু উন্মোচিত</v>
      </c>
      <c r="AP252" s="5" t="str">
        <f ca="1">IFERROR(__xludf.DUMMYFUNCTION("IF(Z252 = """", """", GOOGLETRANSLATE(Z252, ""en"", ""bn""))"),"প্রতিশোধ নেবেন না")</f>
        <v>প্রতিশোধ নেবেন না</v>
      </c>
      <c r="AQ252" s="5" t="str">
        <f ca="1">IFERROR(__xludf.DUMMYFUNCTION("IF(AA252 = """", """", GOOGLETRANSLATE(AA252, ""en"", ""bn""))"),"চুপ থাক")</f>
        <v>চুপ থাক</v>
      </c>
      <c r="AR252" s="5" t="str">
        <f ca="1">IFERROR(__xludf.DUMMYFUNCTION("IF(AB252 = """", """", GOOGLETRANSLATE(AB252, ""en"", ""bn""))"),"বড় কাজ এড়িয়ে চলুন এবং রুটিন ওয়ার্কের দিকে মনোযোগ দিন")</f>
        <v>বড় কাজ এড়িয়ে চলুন এবং রুটিন ওয়ার্কের দিকে মনোযোগ দিন</v>
      </c>
      <c r="AU252" s="5" t="str">
        <f ca="1">IFERROR(__xludf.DUMMYFUNCTION("IF(Y252 = """", """", GOOGLETRANSLATE(Y252, ""en"", ""te""))"),"దాచిన శత్రువులు బయటపడ్డారు")</f>
        <v>దాచిన శత్రువులు బయటపడ్డారు</v>
      </c>
      <c r="AV252" s="5" t="str">
        <f ca="1">IFERROR(__xludf.DUMMYFUNCTION("IF(Z252 = """", """", GOOGLETRANSLATE(Z252, ""en"", ""te""))"),"ప్రతీకారం తీర్చుకోవద్దు")</f>
        <v>ప్రతీకారం తీర్చుకోవద్దు</v>
      </c>
      <c r="AW252" s="5" t="str">
        <f ca="1">IFERROR(__xludf.DUMMYFUNCTION("IF(AA252 = """", """", GOOGLETRANSLATE(AA252, ""en"", ""te""))"),"మౌనంగా ఉండు")</f>
        <v>మౌనంగా ఉండు</v>
      </c>
      <c r="AX252" s="5" t="str">
        <f ca="1">IFERROR(__xludf.DUMMYFUNCTION("IF(AB252 = """", """", GOOGLETRANSLATE(AB252, ""en"", ""te""))"),"పెద్ద పనులను నివారించండి మరియు సాధారణ పనిపై దృష్టి పెట్టండి")</f>
        <v>పెద్ద పనులను నివారించండి మరియు సాధారణ పనిపై దృష్టి పెట్టండి</v>
      </c>
    </row>
    <row r="253" spans="1:50" x14ac:dyDescent="0.25">
      <c r="A253" s="1">
        <v>268</v>
      </c>
      <c r="B253" s="1" t="s">
        <v>56</v>
      </c>
      <c r="C253" s="2">
        <v>45843</v>
      </c>
      <c r="D253" s="2">
        <v>45843</v>
      </c>
      <c r="E253" s="1">
        <v>4</v>
      </c>
      <c r="F253" s="1">
        <v>1</v>
      </c>
      <c r="G253" s="3" t="s">
        <v>735</v>
      </c>
      <c r="H253" s="4">
        <v>1.0069444444444445E-2</v>
      </c>
      <c r="I253" s="4">
        <v>1.9097222222222222E-3</v>
      </c>
      <c r="J253" s="4">
        <v>2.3611111111111111E-3</v>
      </c>
      <c r="K253" s="1"/>
      <c r="L253" s="1" t="s">
        <v>97</v>
      </c>
      <c r="M253" s="1"/>
      <c r="N253" s="1"/>
      <c r="O253" s="1" t="s">
        <v>91</v>
      </c>
      <c r="P253" s="1" t="s">
        <v>61</v>
      </c>
      <c r="Q253" s="1" t="s">
        <v>61</v>
      </c>
      <c r="R253" s="1" t="s">
        <v>61</v>
      </c>
      <c r="S253" s="1" t="s">
        <v>61</v>
      </c>
      <c r="T253" s="1" t="s">
        <v>61</v>
      </c>
      <c r="U253" s="1" t="s">
        <v>109</v>
      </c>
      <c r="V253" s="1" t="s">
        <v>61</v>
      </c>
      <c r="W253" s="1" t="s">
        <v>61</v>
      </c>
      <c r="X253" s="1" t="s">
        <v>91</v>
      </c>
      <c r="Y253" s="1" t="s">
        <v>744</v>
      </c>
      <c r="Z253" s="1" t="s">
        <v>745</v>
      </c>
      <c r="AA253" s="1" t="s">
        <v>182</v>
      </c>
      <c r="AB253" s="1" t="s">
        <v>746</v>
      </c>
      <c r="AC253" s="5" t="str">
        <f ca="1">IFERROR(__xludf.DUMMYFUNCTION("IF(Y253 = """", """", GOOGLETRANSLATE(Y253, ""en"", ""hi""))
"),"बुजुर्गों की स्वास्थ्य संबंधी चिंताएँ")</f>
        <v>बुजुर्गों की स्वास्थ्य संबंधी चिंताएँ</v>
      </c>
      <c r="AD253" s="5" t="str">
        <f ca="1">IFERROR(__xludf.DUMMYFUNCTION("IF(Z253 = """", """", GOOGLETRANSLATE(Z253, ""en"", ""hi""))"),"बच्चों से संबंधित मुद्दे")</f>
        <v>बच्चों से संबंधित मुद्दे</v>
      </c>
      <c r="AE253" s="5" t="str">
        <f ca="1">IFERROR(__xludf.DUMMYFUNCTION("IF(AA253 = """", """", GOOGLETRANSLATE(AA253, ""en"", ""hi""))"),"निर्णयों के लिए अच्छा")</f>
        <v>निर्णयों के लिए अच्छा</v>
      </c>
      <c r="AF253" s="5" t="str">
        <f ca="1">IFERROR(__xludf.DUMMYFUNCTION("IF(AB253 = """", """", GOOGLETRANSLATE(AB253, ""en"", ""hi""))"),"उत्पादक विचार सफल होंगे")</f>
        <v>उत्पादक विचार सफल होंगे</v>
      </c>
      <c r="AG253" s="5" t="str">
        <f ca="1">IFERROR(__xludf.DUMMYFUNCTION("IF(Y253 = """", """", GOOGLETRANSLATE(Y253, ""en"", ""mr""))"),"ज्येष्ठांच्या आरोग्याची चिंता")</f>
        <v>ज्येष्ठांच्या आरोग्याची चिंता</v>
      </c>
      <c r="AH253" s="5" t="str">
        <f ca="1">IFERROR(__xludf.DUMMYFUNCTION("IF(Z253 = """", """", GOOGLETRANSLATE(Z253, ""en"", ""mr""))"),"मुलांशी संबंधित समस्या")</f>
        <v>मुलांशी संबंधित समस्या</v>
      </c>
      <c r="AI253" s="5" t="str">
        <f ca="1">IFERROR(__xludf.DUMMYFUNCTION("IF(AA253 = """", """", GOOGLETRANSLATE(AA253, ""en"", ""mr""))"),"निर्णयांसाठी चांगले")</f>
        <v>निर्णयांसाठी चांगले</v>
      </c>
      <c r="AJ253" s="5" t="str">
        <f ca="1">IFERROR(__xludf.DUMMYFUNCTION("IF(AB253 = """", """", GOOGLETRANSLATE(AB253, ""en"", ""mr""))"),"उत्पादक कल्पना क्लिक होतील")</f>
        <v>उत्पादक कल्पना क्लिक होतील</v>
      </c>
      <c r="AK253" s="5" t="str">
        <f ca="1">IFERROR(__xludf.DUMMYFUNCTION("IF(Y253 = """", """", GOOGLETRANSLATE(Y253, ""en"", ""gu""))"),"વડીલોના સ્વાસ્થ્યની ચિંતા")</f>
        <v>વડીલોના સ્વાસ્થ્યની ચિંતા</v>
      </c>
      <c r="AL253" s="5" t="str">
        <f ca="1">IFERROR(__xludf.DUMMYFUNCTION("IF(Z253 = """", """", GOOGLETRANSLATE(Z253, ""en"", ""gu""))"),"બાળક સંબંધિત સમસ્યાઓ")</f>
        <v>બાળક સંબંધિત સમસ્યાઓ</v>
      </c>
      <c r="AM253" s="5" t="str">
        <f ca="1">IFERROR(__xludf.DUMMYFUNCTION("IF(AA253 = """", """", GOOGLETRANSLATE(AA253, ""en"", ""gu""))"),"નિર્ણયો માટે સારું")</f>
        <v>નિર્ણયો માટે સારું</v>
      </c>
      <c r="AN253" s="5" t="str">
        <f ca="1">IFERROR(__xludf.DUMMYFUNCTION("IF(AB253 = """", """", GOOGLETRANSLATE(AB253, ""en"", ""gu""))"),"ઉત્પાદક વિચારો ક્લિક કરશે")</f>
        <v>ઉત્પાદક વિચારો ક્લિક કરશે</v>
      </c>
      <c r="AO253" s="5" t="str">
        <f ca="1">IFERROR(__xludf.DUMMYFUNCTION("IF(Y253 = """", """", GOOGLETRANSLATE(Y253, ""en"", ""bn""))"),"বয়স্কদের স্বাস্থ্য উদ্বেগ")</f>
        <v>বয়স্কদের স্বাস্থ্য উদ্বেগ</v>
      </c>
      <c r="AP253" s="5" t="str">
        <f ca="1">IFERROR(__xludf.DUMMYFUNCTION("IF(Z253 = """", """", GOOGLETRANSLATE(Z253, ""en"", ""bn""))"),"শিশু-সম্পর্কিত সমস্যা")</f>
        <v>শিশু-সম্পর্কিত সমস্যা</v>
      </c>
      <c r="AQ253" s="5" t="str">
        <f ca="1">IFERROR(__xludf.DUMMYFUNCTION("IF(AA253 = """", """", GOOGLETRANSLATE(AA253, ""en"", ""bn""))"),"সিদ্ধান্তের জন্য ভাল")</f>
        <v>সিদ্ধান্তের জন্য ভাল</v>
      </c>
      <c r="AR253" s="5" t="str">
        <f ca="1">IFERROR(__xludf.DUMMYFUNCTION("IF(AB253 = """", """", GOOGLETRANSLATE(AB253, ""en"", ""bn""))"),"উত্পাদনশীল ধারণা ক্লিক করা হবে")</f>
        <v>উত্পাদনশীল ধারণা ক্লিক করা হবে</v>
      </c>
      <c r="AU253" s="5" t="str">
        <f ca="1">IFERROR(__xludf.DUMMYFUNCTION("IF(Y253 = """", """", GOOGLETRANSLATE(Y253, ""en"", ""te""))"),"పెద్దల ఆరోగ్య ఆందోళనలు")</f>
        <v>పెద్దల ఆరోగ్య ఆందోళనలు</v>
      </c>
      <c r="AV253" s="5" t="str">
        <f ca="1">IFERROR(__xludf.DUMMYFUNCTION("IF(Z253 = """", """", GOOGLETRANSLATE(Z253, ""en"", ""te""))"),"పిల్లల సంబంధిత సమస్యలు")</f>
        <v>పిల్లల సంబంధిత సమస్యలు</v>
      </c>
      <c r="AW253" s="5" t="str">
        <f ca="1">IFERROR(__xludf.DUMMYFUNCTION("IF(AA253 = """", """", GOOGLETRANSLATE(AA253, ""en"", ""te""))"),"నిర్ణయాలకు అనుకూలం")</f>
        <v>నిర్ణయాలకు అనుకూలం</v>
      </c>
      <c r="AX253" s="5" t="str">
        <f ca="1">IFERROR(__xludf.DUMMYFUNCTION("IF(AB253 = """", """", GOOGLETRANSLATE(AB253, ""en"", ""te""))"),"ఉత్పాదక ఆలోచనలు క్లిక్ అవుతాయి")</f>
        <v>ఉత్పాదక ఆలోచనలు క్లిక్ అవుతాయి</v>
      </c>
    </row>
    <row r="254" spans="1:50" x14ac:dyDescent="0.25">
      <c r="A254" s="1">
        <v>269</v>
      </c>
      <c r="B254" s="1" t="s">
        <v>56</v>
      </c>
      <c r="C254" s="2">
        <v>45843</v>
      </c>
      <c r="D254" s="2">
        <v>45843</v>
      </c>
      <c r="E254" s="1">
        <v>5</v>
      </c>
      <c r="F254" s="1">
        <v>1</v>
      </c>
      <c r="G254" s="3" t="s">
        <v>735</v>
      </c>
      <c r="H254" s="4">
        <v>1.0069444444444445E-2</v>
      </c>
      <c r="I254" s="4">
        <v>2.3611111111111111E-3</v>
      </c>
      <c r="J254" s="4">
        <v>2.685185185185185E-3</v>
      </c>
      <c r="K254" s="1"/>
      <c r="L254" s="1" t="s">
        <v>102</v>
      </c>
      <c r="M254" s="1"/>
      <c r="N254" s="1"/>
      <c r="O254" s="1" t="s">
        <v>61</v>
      </c>
      <c r="P254" s="1" t="s">
        <v>61</v>
      </c>
      <c r="Q254" s="1" t="s">
        <v>61</v>
      </c>
      <c r="R254" s="1" t="s">
        <v>61</v>
      </c>
      <c r="S254" s="1" t="s">
        <v>61</v>
      </c>
      <c r="T254" s="1" t="s">
        <v>91</v>
      </c>
      <c r="U254" s="1" t="s">
        <v>109</v>
      </c>
      <c r="V254" s="1" t="s">
        <v>61</v>
      </c>
      <c r="W254" s="1" t="s">
        <v>91</v>
      </c>
      <c r="X254" s="1" t="s">
        <v>61</v>
      </c>
      <c r="Y254" s="1" t="s">
        <v>747</v>
      </c>
      <c r="Z254" s="1" t="s">
        <v>748</v>
      </c>
      <c r="AA254" s="1" t="s">
        <v>749</v>
      </c>
      <c r="AB254" s="1" t="s">
        <v>750</v>
      </c>
      <c r="AC254" s="5" t="str">
        <f ca="1">IFERROR(__xludf.DUMMYFUNCTION("IF(Y254 = """", """", GOOGLETRANSLATE(Y254, ""en"", ""hi""))
"),"अधिक प्रतिकूल परिस्थितियाँ")</f>
        <v>अधिक प्रतिकूल परिस्थितियाँ</v>
      </c>
      <c r="AD254" s="5" t="str">
        <f ca="1">IFERROR(__xludf.DUMMYFUNCTION("IF(Z254 = """", """", GOOGLETRANSLATE(Z254, ""en"", ""hi""))"),"सुस्ती और चिंता")</f>
        <v>सुस्ती और चिंता</v>
      </c>
      <c r="AE254" s="5" t="str">
        <f ca="1">IFERROR(__xludf.DUMMYFUNCTION("IF(AA254 = """", """", GOOGLETRANSLATE(AA254, ""en"", ""hi""))"),"कम प्रेरणा")</f>
        <v>कम प्रेरणा</v>
      </c>
      <c r="AF254" s="5" t="str">
        <f ca="1">IFERROR(__xludf.DUMMYFUNCTION("IF(AB254 = """", """", GOOGLETRANSLATE(AB254, ""en"", ""hi""))"),"केवल नियमित कार्य ही शांतिपूर्वक करें")</f>
        <v>केवल नियमित कार्य ही शांतिपूर्वक करें</v>
      </c>
      <c r="AG254" s="5" t="str">
        <f ca="1">IFERROR(__xludf.DUMMYFUNCTION("IF(Y254 = """", """", GOOGLETRANSLATE(Y254, ""en"", ""mr""))"),"अधिक प्रतिकूल परिस्थिती")</f>
        <v>अधिक प्रतिकूल परिस्थिती</v>
      </c>
      <c r="AH254" s="5" t="str">
        <f ca="1">IFERROR(__xludf.DUMMYFUNCTION("IF(Z254 = """", """", GOOGLETRANSLATE(Z254, ""en"", ""mr""))"),"आळस आणि चिंता")</f>
        <v>आळस आणि चिंता</v>
      </c>
      <c r="AI254" s="5" t="str">
        <f ca="1">IFERROR(__xludf.DUMMYFUNCTION("IF(AA254 = """", """", GOOGLETRANSLATE(AA254, ""en"", ""mr""))"),"कमी प्रेरणा")</f>
        <v>कमी प्रेरणा</v>
      </c>
      <c r="AJ254" s="5" t="str">
        <f ca="1">IFERROR(__xludf.DUMMYFUNCTION("IF(AB254 = """", """", GOOGLETRANSLATE(AB254, ""en"", ""mr""))"),"फक्त नियमित काम शांतपणे करा")</f>
        <v>फक्त नियमित काम शांतपणे करा</v>
      </c>
      <c r="AK254" s="5" t="str">
        <f ca="1">IFERROR(__xludf.DUMMYFUNCTION("IF(Y254 = """", """", GOOGLETRANSLATE(Y254, ""en"", ""gu""))"),"વધુ પ્રતિકૂળ પરિસ્થિતિઓ")</f>
        <v>વધુ પ્રતિકૂળ પરિસ્થિતિઓ</v>
      </c>
      <c r="AL254" s="5" t="str">
        <f ca="1">IFERROR(__xludf.DUMMYFUNCTION("IF(Z254 = """", """", GOOGLETRANSLATE(Z254, ""en"", ""gu""))"),"સુસ્તી અને ચિંતા")</f>
        <v>સુસ્તી અને ચિંતા</v>
      </c>
      <c r="AM254" s="5" t="str">
        <f ca="1">IFERROR(__xludf.DUMMYFUNCTION("IF(AA254 = """", """", GOOGLETRANSLATE(AA254, ""en"", ""gu""))"),"ઓછી પ્રેરણા")</f>
        <v>ઓછી પ્રેરણા</v>
      </c>
      <c r="AN254" s="5" t="str">
        <f ca="1">IFERROR(__xludf.DUMMYFUNCTION("IF(AB254 = """", """", GOOGLETRANSLATE(AB254, ""en"", ""gu""))"),"માત્ર નિયમિત કામ શાંતિથી કરો")</f>
        <v>માત્ર નિયમિત કામ શાંતિથી કરો</v>
      </c>
      <c r="AO254" s="5" t="str">
        <f ca="1">IFERROR(__xludf.DUMMYFUNCTION("IF(Y254 = """", """", GOOGLETRANSLATE(Y254, ""en"", ""bn""))"),"আরও প্রতিকূল পরিস্থিতি")</f>
        <v>আরও প্রতিকূল পরিস্থিতি</v>
      </c>
      <c r="AP254" s="5" t="str">
        <f ca="1">IFERROR(__xludf.DUMMYFUNCTION("IF(Z254 = """", """", GOOGLETRANSLATE(Z254, ""en"", ""bn""))"),"অলসতা এবং উদ্বেগ")</f>
        <v>অলসতা এবং উদ্বেগ</v>
      </c>
      <c r="AQ254" s="5" t="str">
        <f ca="1">IFERROR(__xludf.DUMMYFUNCTION("IF(AA254 = """", """", GOOGLETRANSLATE(AA254, ""en"", ""bn""))"),"কম অনুপ্রেরণা")</f>
        <v>কম অনুপ্রেরণা</v>
      </c>
      <c r="AR254" s="5" t="str">
        <f ca="1">IFERROR(__xludf.DUMMYFUNCTION("IF(AB254 = """", """", GOOGLETRANSLATE(AB254, ""en"", ""bn""))"),"শান্তভাবে শুধুমাত্র রুটিন কাজ করুন")</f>
        <v>শান্তভাবে শুধুমাত্র রুটিন কাজ করুন</v>
      </c>
      <c r="AU254" s="5" t="str">
        <f ca="1">IFERROR(__xludf.DUMMYFUNCTION("IF(Y254 = """", """", GOOGLETRANSLATE(Y254, ""en"", ""te""))"),"మరింత ప్రతికూల పరిస్థితులు")</f>
        <v>మరింత ప్రతికూల పరిస్థితులు</v>
      </c>
      <c r="AV254" s="5" t="str">
        <f ca="1">IFERROR(__xludf.DUMMYFUNCTION("IF(Z254 = """", """", GOOGLETRANSLATE(Z254, ""en"", ""te""))"),"బద్ధకం మరియు ఆందోళన")</f>
        <v>బద్ధకం మరియు ఆందోళన</v>
      </c>
      <c r="AW254" s="5" t="str">
        <f ca="1">IFERROR(__xludf.DUMMYFUNCTION("IF(AA254 = """", """", GOOGLETRANSLATE(AA254, ""en"", ""te""))"),"తక్కువ ప్రేరణ")</f>
        <v>తక్కువ ప్రేరణ</v>
      </c>
      <c r="AX254" s="5" t="str">
        <f ca="1">IFERROR(__xludf.DUMMYFUNCTION("IF(AB254 = """", """", GOOGLETRANSLATE(AB254, ""en"", ""te""))"),"ప్రశాంతంగా సాధారణ పని మాత్రమే చేయండి")</f>
        <v>ప్రశాంతంగా సాధారణ పని మాత్రమే చేయండి</v>
      </c>
    </row>
    <row r="255" spans="1:50" x14ac:dyDescent="0.25">
      <c r="A255" s="1">
        <v>270</v>
      </c>
      <c r="B255" s="1" t="s">
        <v>56</v>
      </c>
      <c r="C255" s="2">
        <v>45843</v>
      </c>
      <c r="D255" s="2">
        <v>45843</v>
      </c>
      <c r="E255" s="1">
        <v>6</v>
      </c>
      <c r="F255" s="1">
        <v>1</v>
      </c>
      <c r="G255" s="3" t="s">
        <v>735</v>
      </c>
      <c r="H255" s="4">
        <v>1.0069444444444445E-2</v>
      </c>
      <c r="I255" s="4">
        <v>2.685185185185185E-3</v>
      </c>
      <c r="J255" s="4">
        <v>3.1481481481481482E-3</v>
      </c>
      <c r="K255" s="1"/>
      <c r="L255" s="1" t="s">
        <v>108</v>
      </c>
      <c r="M255" s="1"/>
      <c r="N255" s="1"/>
      <c r="O255" s="1" t="s">
        <v>91</v>
      </c>
      <c r="P255" s="1" t="s">
        <v>61</v>
      </c>
      <c r="Q255" s="1" t="s">
        <v>61</v>
      </c>
      <c r="R255" s="1" t="s">
        <v>61</v>
      </c>
      <c r="S255" s="1" t="s">
        <v>61</v>
      </c>
      <c r="T255" s="1" t="s">
        <v>61</v>
      </c>
      <c r="U255" s="1" t="s">
        <v>109</v>
      </c>
      <c r="V255" s="1" t="s">
        <v>91</v>
      </c>
      <c r="W255" s="1" t="s">
        <v>61</v>
      </c>
      <c r="X255" s="1" t="s">
        <v>61</v>
      </c>
      <c r="Y255" s="1" t="s">
        <v>751</v>
      </c>
      <c r="Z255" s="1" t="s">
        <v>752</v>
      </c>
      <c r="AA255" s="1" t="s">
        <v>753</v>
      </c>
      <c r="AB255" s="1" t="s">
        <v>754</v>
      </c>
      <c r="AC255" s="5" t="str">
        <f ca="1">IFERROR(__xludf.DUMMYFUNCTION("IF(Y255 = """", """", GOOGLETRANSLATE(Y255, ""en"", ""hi""))
"),"अप्रत्याशित व्यय")</f>
        <v>अप्रत्याशित व्यय</v>
      </c>
      <c r="AD255" s="5" t="str">
        <f ca="1">IFERROR(__xludf.DUMMYFUNCTION("IF(Z255 = """", """", GOOGLETRANSLATE(Z255, ""en"", ""hi""))"),"पारिवारिक समारोह की तैयारी")</f>
        <v>पारिवारिक समारोह की तैयारी</v>
      </c>
      <c r="AE255" s="5" t="str">
        <f ca="1">IFERROR(__xludf.DUMMYFUNCTION("IF(AA255 = """", """", GOOGLETRANSLATE(AA255, ""en"", ""hi""))"),"छोटी यात्राएँ")</f>
        <v>छोटी यात्राएँ</v>
      </c>
      <c r="AF255" s="5" t="str">
        <f ca="1">IFERROR(__xludf.DUMMYFUNCTION("IF(AB255 = """", """", GOOGLETRANSLATE(AB255, ""en"", ""hi""))"),"बुजुर्गों के स्वास्थ्य में सुधार")</f>
        <v>बुजुर्गों के स्वास्थ्य में सुधार</v>
      </c>
      <c r="AG255" s="5" t="str">
        <f ca="1">IFERROR(__xludf.DUMMYFUNCTION("IF(Y255 = """", """", GOOGLETRANSLATE(Y255, ""en"", ""mr""))"),"अनपेक्षित खर्च")</f>
        <v>अनपेक्षित खर्च</v>
      </c>
      <c r="AH255" s="5" t="str">
        <f ca="1">IFERROR(__xludf.DUMMYFUNCTION("IF(Z255 = """", """", GOOGLETRANSLATE(Z255, ""en"", ""mr""))"),"कौटुंबिक कार्याची तयारी")</f>
        <v>कौटुंबिक कार्याची तयारी</v>
      </c>
      <c r="AI255" s="5" t="str">
        <f ca="1">IFERROR(__xludf.DUMMYFUNCTION("IF(AA255 = """", """", GOOGLETRANSLATE(AA255, ""en"", ""mr""))"),"लहान प्रवास")</f>
        <v>लहान प्रवास</v>
      </c>
      <c r="AJ255" s="5" t="str">
        <f ca="1">IFERROR(__xludf.DUMMYFUNCTION("IF(AB255 = """", """", GOOGLETRANSLATE(AB255, ""en"", ""mr""))"),"ज्येष्ठांचे आरोग्य सुधारते")</f>
        <v>ज्येष्ठांचे आरोग्य सुधारते</v>
      </c>
      <c r="AK255" s="5" t="str">
        <f ca="1">IFERROR(__xludf.DUMMYFUNCTION("IF(Y255 = """", """", GOOGLETRANSLATE(Y255, ""en"", ""gu""))"),"અણધાર્યા ખર્ચ")</f>
        <v>અણધાર્યા ખર્ચ</v>
      </c>
      <c r="AL255" s="5" t="str">
        <f ca="1">IFERROR(__xludf.DUMMYFUNCTION("IF(Z255 = """", """", GOOGLETRANSLATE(Z255, ""en"", ""gu""))"),"કૌટુંબિક કાર્યની તૈયારી")</f>
        <v>કૌટુંબિક કાર્યની તૈયારી</v>
      </c>
      <c r="AM255" s="5" t="str">
        <f ca="1">IFERROR(__xludf.DUMMYFUNCTION("IF(AA255 = """", """", GOOGLETRANSLATE(AA255, ""en"", ""gu""))"),"નાની મુસાફરી")</f>
        <v>નાની મુસાફરી</v>
      </c>
      <c r="AN255" s="5" t="str">
        <f ca="1">IFERROR(__xludf.DUMMYFUNCTION("IF(AB255 = """", """", GOOGLETRANSLATE(AB255, ""en"", ""gu""))"),"વડીલોના સ્વાસ્થ્યમાં સુધારો થાય")</f>
        <v>વડીલોના સ્વાસ્થ્યમાં સુધારો થાય</v>
      </c>
      <c r="AO255" s="5" t="str">
        <f ca="1">IFERROR(__xludf.DUMMYFUNCTION("IF(Y255 = """", """", GOOGLETRANSLATE(Y255, ""en"", ""bn""))"),"অপ্রত্যাশিত খরচ")</f>
        <v>অপ্রত্যাশিত খরচ</v>
      </c>
      <c r="AP255" s="5" t="str">
        <f ca="1">IFERROR(__xludf.DUMMYFUNCTION("IF(Z255 = """", """", GOOGLETRANSLATE(Z255, ""en"", ""bn""))"),"পারিবারিক ফাংশন প্রস্তুতি")</f>
        <v>পারিবারিক ফাংশন প্রস্তুতি</v>
      </c>
      <c r="AQ255" s="5" t="str">
        <f ca="1">IFERROR(__xludf.DUMMYFUNCTION("IF(AA255 = """", """", GOOGLETRANSLATE(AA255, ""en"", ""bn""))"),"ছোট ভ্রমণ")</f>
        <v>ছোট ভ্রমণ</v>
      </c>
      <c r="AR255" s="5" t="str">
        <f ca="1">IFERROR(__xludf.DUMMYFUNCTION("IF(AB255 = """", """", GOOGLETRANSLATE(AB255, ""en"", ""bn""))"),"বয়স্কদের স্বাস্থ্যের উন্নতি হয়")</f>
        <v>বয়স্কদের স্বাস্থ্যের উন্নতি হয়</v>
      </c>
      <c r="AU255" s="5" t="str">
        <f ca="1">IFERROR(__xludf.DUMMYFUNCTION("IF(Y255 = """", """", GOOGLETRANSLATE(Y255, ""en"", ""te""))"),"ఊహించని ఖర్చులు")</f>
        <v>ఊహించని ఖర్చులు</v>
      </c>
      <c r="AV255" s="5" t="str">
        <f ca="1">IFERROR(__xludf.DUMMYFUNCTION("IF(Z255 = """", """", GOOGLETRANSLATE(Z255, ""en"", ""te""))"),"కుటుంబ ఫంక్షన్ ప్రిపరేషన్")</f>
        <v>కుటుంబ ఫంక్షన్ ప్రిపరేషన్</v>
      </c>
      <c r="AW255" s="5" t="str">
        <f ca="1">IFERROR(__xludf.DUMMYFUNCTION("IF(AA255 = """", """", GOOGLETRANSLATE(AA255, ""en"", ""te""))"),"చిన్న ప్రయాణాలు")</f>
        <v>చిన్న ప్రయాణాలు</v>
      </c>
      <c r="AX255" s="5" t="str">
        <f ca="1">IFERROR(__xludf.DUMMYFUNCTION("IF(AB255 = """", """", GOOGLETRANSLATE(AB255, ""en"", ""te""))"),"పెద్దల ఆరోగ్యం మెరుగుపడుతుంది")</f>
        <v>పెద్దల ఆరోగ్యం మెరుగుపడుతుంది</v>
      </c>
    </row>
    <row r="256" spans="1:50" x14ac:dyDescent="0.25">
      <c r="A256" s="1">
        <v>271</v>
      </c>
      <c r="B256" s="1" t="s">
        <v>56</v>
      </c>
      <c r="C256" s="2">
        <v>45843</v>
      </c>
      <c r="D256" s="2">
        <v>45843</v>
      </c>
      <c r="E256" s="1">
        <v>7</v>
      </c>
      <c r="F256" s="1">
        <v>1</v>
      </c>
      <c r="G256" s="3" t="s">
        <v>735</v>
      </c>
      <c r="H256" s="4">
        <v>1.0069444444444445E-2</v>
      </c>
      <c r="I256" s="4">
        <v>3.1481481481481482E-3</v>
      </c>
      <c r="J256" s="4">
        <v>3.6226851851851854E-3</v>
      </c>
      <c r="K256" s="1"/>
      <c r="L256" s="1" t="s">
        <v>113</v>
      </c>
      <c r="M256" s="1"/>
      <c r="N256" s="1"/>
      <c r="O256" s="1" t="s">
        <v>61</v>
      </c>
      <c r="P256" s="1" t="s">
        <v>61</v>
      </c>
      <c r="Q256" s="1" t="s">
        <v>91</v>
      </c>
      <c r="R256" s="1" t="s">
        <v>61</v>
      </c>
      <c r="S256" s="1" t="s">
        <v>61</v>
      </c>
      <c r="T256" s="1" t="s">
        <v>61</v>
      </c>
      <c r="U256" s="1" t="s">
        <v>109</v>
      </c>
      <c r="V256" s="1" t="s">
        <v>91</v>
      </c>
      <c r="W256" s="1" t="s">
        <v>61</v>
      </c>
      <c r="X256" s="1" t="s">
        <v>61</v>
      </c>
      <c r="Y256" s="1" t="s">
        <v>755</v>
      </c>
      <c r="Z256" s="1" t="s">
        <v>756</v>
      </c>
      <c r="AA256" s="1" t="s">
        <v>757</v>
      </c>
      <c r="AB256" s="1"/>
      <c r="AC256" s="5" t="str">
        <f ca="1">IFERROR(__xludf.DUMMYFUNCTION("IF(Y256 = """", """", GOOGLETRANSLATE(Y256, ""en"", ""hi""))
"),"लंबे समय से लंबित कार्य प्रगति पर हो सकता है")</f>
        <v>लंबे समय से लंबित कार्य प्रगति पर हो सकता है</v>
      </c>
      <c r="AD256" s="5" t="str">
        <f ca="1">IFERROR(__xludf.DUMMYFUNCTION("IF(Z256 = """", """", GOOGLETRANSLATE(Z256, ""en"", ""hi""))"),"अच्छी खबर संभव")</f>
        <v>अच्छी खबर संभव</v>
      </c>
      <c r="AE256" s="5" t="str">
        <f ca="1">IFERROR(__xludf.DUMMYFUNCTION("IF(AA256 = """", """", GOOGLETRANSLATE(AA256, ""en"", ""hi""))"),"अनुकूल समय")</f>
        <v>अनुकूल समय</v>
      </c>
      <c r="AF256" s="5" t="str">
        <f ca="1">IFERROR(__xludf.DUMMYFUNCTION("IF(AB256 = """", """", GOOGLETRANSLATE(AB256, ""en"", ""hi""))"),"")</f>
        <v/>
      </c>
      <c r="AG256" s="5" t="str">
        <f ca="1">IFERROR(__xludf.DUMMYFUNCTION("IF(Y256 = """", """", GOOGLETRANSLATE(Y256, ""en"", ""mr""))"),"प्रलंबित कामात प्रगती होऊ शकते")</f>
        <v>प्रलंबित कामात प्रगती होऊ शकते</v>
      </c>
      <c r="AH256" s="5" t="str">
        <f ca="1">IFERROR(__xludf.DUMMYFUNCTION("IF(Z256 = """", """", GOOGLETRANSLATE(Z256, ""en"", ""mr""))"),"चांगली बातमी मिळण्याची शक्यता आहे")</f>
        <v>चांगली बातमी मिळण्याची शक्यता आहे</v>
      </c>
      <c r="AI256" s="5" t="str">
        <f ca="1">IFERROR(__xludf.DUMMYFUNCTION("IF(AA256 = """", """", GOOGLETRANSLATE(AA256, ""en"", ""mr""))"),"अनुकूल काळ")</f>
        <v>अनुकूल काळ</v>
      </c>
      <c r="AJ256" s="5" t="str">
        <f ca="1">IFERROR(__xludf.DUMMYFUNCTION("IF(AB256 = """", """", GOOGLETRANSLATE(AB256, ""en"", ""mr""))"),"")</f>
        <v/>
      </c>
      <c r="AK256" s="5" t="str">
        <f ca="1">IFERROR(__xludf.DUMMYFUNCTION("IF(Y256 = """", """", GOOGLETRANSLATE(Y256, ""en"", ""gu""))"),"લાંબા સમયથી અટકેલા કામમાં પ્રગતિ થઈ શકે છે")</f>
        <v>લાંબા સમયથી અટકેલા કામમાં પ્રગતિ થઈ શકે છે</v>
      </c>
      <c r="AL256" s="5" t="str">
        <f ca="1">IFERROR(__xludf.DUMMYFUNCTION("IF(Z256 = """", """", GOOGLETRANSLATE(Z256, ""en"", ""gu""))"),"સારા સમાચાર શક્ય છે")</f>
        <v>સારા સમાચાર શક્ય છે</v>
      </c>
      <c r="AM256" s="5" t="str">
        <f ca="1">IFERROR(__xludf.DUMMYFUNCTION("IF(AA256 = """", """", GOOGLETRANSLATE(AA256, ""en"", ""gu""))"),"અનુકૂળ સમય")</f>
        <v>અનુકૂળ સમય</v>
      </c>
      <c r="AN256" s="5" t="str">
        <f ca="1">IFERROR(__xludf.DUMMYFUNCTION("IF(AB256 = """", """", GOOGLETRANSLATE(AB256, ""en"", ""gu""))"),"")</f>
        <v/>
      </c>
      <c r="AO256" s="5" t="str">
        <f ca="1">IFERROR(__xludf.DUMMYFUNCTION("IF(Y256 = """", """", GOOGLETRANSLATE(Y256, ""en"", ""bn""))"),"দীর্ঘদিনের অমীমাংসিত কাজ অগ্রগতি হতে পারে")</f>
        <v>দীর্ঘদিনের অমীমাংসিত কাজ অগ্রগতি হতে পারে</v>
      </c>
      <c r="AP256" s="5" t="str">
        <f ca="1">IFERROR(__xludf.DUMMYFUNCTION("IF(Z256 = """", """", GOOGLETRANSLATE(Z256, ""en"", ""bn""))"),"সুখবর সম্ভব")</f>
        <v>সুখবর সম্ভব</v>
      </c>
      <c r="AQ256" s="5" t="str">
        <f ca="1">IFERROR(__xludf.DUMMYFUNCTION("IF(AA256 = """", """", GOOGLETRANSLATE(AA256, ""en"", ""bn""))"),"অনুকূল সময়")</f>
        <v>অনুকূল সময়</v>
      </c>
      <c r="AR256" s="5" t="str">
        <f ca="1">IFERROR(__xludf.DUMMYFUNCTION("IF(AB256 = """", """", GOOGLETRANSLATE(AB256, ""en"", ""bn""))"),"")</f>
        <v/>
      </c>
      <c r="AU256" s="5" t="str">
        <f ca="1">IFERROR(__xludf.DUMMYFUNCTION("IF(Y256 = """", """", GOOGLETRANSLATE(Y256, ""en"", ""te""))"),"చాలా కాలంగా పెండింగ్‌లో ఉన్న పనులు ముందుకు సాగవచ్చు")</f>
        <v>చాలా కాలంగా పెండింగ్‌లో ఉన్న పనులు ముందుకు సాగవచ్చు</v>
      </c>
      <c r="AV256" s="5" t="str">
        <f ca="1">IFERROR(__xludf.DUMMYFUNCTION("IF(Z256 = """", """", GOOGLETRANSLATE(Z256, ""en"", ""te""))"),"శుభవార్త సాధ్యమే")</f>
        <v>శుభవార్త సాధ్యమే</v>
      </c>
      <c r="AW256" s="5" t="str">
        <f ca="1">IFERROR(__xludf.DUMMYFUNCTION("IF(AA256 = """", """", GOOGLETRANSLATE(AA256, ""en"", ""te""))"),"అనుకూల సమయం")</f>
        <v>అనుకూల సమయం</v>
      </c>
      <c r="AX256" s="5" t="str">
        <f ca="1">IFERROR(__xludf.DUMMYFUNCTION("IF(AB256 = """", """", GOOGLETRANSLATE(AB256, ""en"", ""te""))"),"")</f>
        <v/>
      </c>
    </row>
    <row r="257" spans="1:50" x14ac:dyDescent="0.25">
      <c r="A257" s="1">
        <v>272</v>
      </c>
      <c r="B257" s="1" t="s">
        <v>56</v>
      </c>
      <c r="C257" s="2">
        <v>45843</v>
      </c>
      <c r="D257" s="2">
        <v>45843</v>
      </c>
      <c r="E257" s="1">
        <v>8</v>
      </c>
      <c r="F257" s="1">
        <v>1</v>
      </c>
      <c r="G257" s="3" t="s">
        <v>735</v>
      </c>
      <c r="H257" s="4">
        <v>1.0069444444444445E-2</v>
      </c>
      <c r="I257" s="4">
        <v>3.6226851851851854E-3</v>
      </c>
      <c r="J257" s="4">
        <v>4.0277777777777777E-3</v>
      </c>
      <c r="K257" s="1"/>
      <c r="L257" s="1" t="s">
        <v>64</v>
      </c>
      <c r="M257" s="1"/>
      <c r="N257" s="1"/>
      <c r="O257" s="1" t="s">
        <v>61</v>
      </c>
      <c r="P257" s="1" t="s">
        <v>61</v>
      </c>
      <c r="Q257" s="1" t="s">
        <v>61</v>
      </c>
      <c r="R257" s="1" t="s">
        <v>61</v>
      </c>
      <c r="S257" s="1" t="s">
        <v>61</v>
      </c>
      <c r="T257" s="1" t="s">
        <v>91</v>
      </c>
      <c r="U257" s="1" t="s">
        <v>109</v>
      </c>
      <c r="V257" s="1" t="s">
        <v>61</v>
      </c>
      <c r="W257" s="1" t="s">
        <v>61</v>
      </c>
      <c r="X257" s="1" t="s">
        <v>91</v>
      </c>
      <c r="Y257" s="1" t="s">
        <v>758</v>
      </c>
      <c r="Z257" s="1" t="s">
        <v>444</v>
      </c>
      <c r="AA257" s="1" t="s">
        <v>531</v>
      </c>
      <c r="AB257" s="1" t="s">
        <v>759</v>
      </c>
      <c r="AC257" s="5" t="str">
        <f ca="1">IFERROR(__xludf.DUMMYFUNCTION("IF(Y257 = """", """", GOOGLETRANSLATE(Y257, ""en"", ""hi""))
"),"निरंतर तनाव")</f>
        <v>निरंतर तनाव</v>
      </c>
      <c r="AD257" s="5" t="str">
        <f ca="1">IFERROR(__xludf.DUMMYFUNCTION("IF(Z257 = """", """", GOOGLETRANSLATE(Z257, ""en"", ""hi""))"),"स्वास्थ्य संबंधी चिंताएँ")</f>
        <v>स्वास्थ्य संबंधी चिंताएँ</v>
      </c>
      <c r="AE257" s="5" t="str">
        <f ca="1">IFERROR(__xludf.DUMMYFUNCTION("IF(AA257 = """", """", GOOGLETRANSLATE(AA257, ""en"", ""hi""))"),"उकसावे से बचें")</f>
        <v>उकसावे से बचें</v>
      </c>
      <c r="AF257" s="5" t="str">
        <f ca="1">IFERROR(__xludf.DUMMYFUNCTION("IF(AB257 = """", """", GOOGLETRANSLATE(AB257, ""en"", ""hi""))"),"कार्यों पर प्रतिक्रिया न करें, क्रोध और वाणी पर नियंत्रण रखें")</f>
        <v>कार्यों पर प्रतिक्रिया न करें, क्रोध और वाणी पर नियंत्रण रखें</v>
      </c>
      <c r="AG257" s="5" t="str">
        <f ca="1">IFERROR(__xludf.DUMMYFUNCTION("IF(Y257 = """", """", GOOGLETRANSLATE(Y257, ""en"", ""mr""))"),"सतत ताण")</f>
        <v>सतत ताण</v>
      </c>
      <c r="AH257" s="5" t="str">
        <f ca="1">IFERROR(__xludf.DUMMYFUNCTION("IF(Z257 = """", """", GOOGLETRANSLATE(Z257, ""en"", ""mr""))"),"आरोग्याची चिंता")</f>
        <v>आरोग्याची चिंता</v>
      </c>
      <c r="AI257" s="5" t="str">
        <f ca="1">IFERROR(__xludf.DUMMYFUNCTION("IF(AA257 = """", """", GOOGLETRANSLATE(AA257, ""en"", ""mr""))"),"चिथावणी देणे टाळा")</f>
        <v>चिथावणी देणे टाळा</v>
      </c>
      <c r="AJ257" s="5" t="str">
        <f ca="1">IFERROR(__xludf.DUMMYFUNCTION("IF(AB257 = """", """", GOOGLETRANSLATE(AB257, ""en"", ""mr""))")," कृतींवर प्रतिक्रिया नाही, राग आणि वाणीवर नियंत्रण ठेवा")</f>
        <v xml:space="preserve"> कृतींवर प्रतिक्रिया नाही, राग आणि वाणीवर नियंत्रण ठेवा</v>
      </c>
      <c r="AK257" s="5" t="str">
        <f ca="1">IFERROR(__xludf.DUMMYFUNCTION("IF(Y257 = """", """", GOOGLETRANSLATE(Y257, ""en"", ""gu""))"),"સતત તણાવ")</f>
        <v>સતત તણાવ</v>
      </c>
      <c r="AL257" s="5" t="str">
        <f ca="1">IFERROR(__xludf.DUMMYFUNCTION("IF(Z257 = """", """", GOOGLETRANSLATE(Z257, ""en"", ""gu""))"),"સ્વાસ્થ્યની ચિંતા")</f>
        <v>સ્વાસ્થ્યની ચિંતા</v>
      </c>
      <c r="AM257" s="5" t="str">
        <f ca="1">IFERROR(__xludf.DUMMYFUNCTION("IF(AA257 = """", """", GOOGLETRANSLATE(AA257, ""en"", ""gu""))"),"ઉશ્કેરણી ટાળો")</f>
        <v>ઉશ્કેરણી ટાળો</v>
      </c>
      <c r="AN257" s="5" t="str">
        <f ca="1">IFERROR(__xludf.DUMMYFUNCTION("IF(AB257 = """", """", GOOGLETRANSLATE(AB257, ""en"", ""gu""))")," ક્રિયાઓ પ્રત્યે પ્રતિક્રિયા નહીં, ક્રોધ અને વાણી પર નિયંત્રણ રાખો")</f>
        <v xml:space="preserve"> ક્રિયાઓ પ્રત્યે પ્રતિક્રિયા નહીં, ક્રોધ અને વાણી પર નિયંત્રણ રાખો</v>
      </c>
      <c r="AO257" s="5" t="str">
        <f ca="1">IFERROR(__xludf.DUMMYFUNCTION("IF(Y257 = """", """", GOOGLETRANSLATE(Y257, ""en"", ""bn""))"),"ক্রমাগত মানসিক চাপ")</f>
        <v>ক্রমাগত মানসিক চাপ</v>
      </c>
      <c r="AP257" s="5" t="str">
        <f ca="1">IFERROR(__xludf.DUMMYFUNCTION("IF(Z257 = """", """", GOOGLETRANSLATE(Z257, ""en"", ""bn""))"),"স্বাস্থ্য উদ্বেগ")</f>
        <v>স্বাস্থ্য উদ্বেগ</v>
      </c>
      <c r="AQ257" s="5" t="str">
        <f ca="1">IFERROR(__xludf.DUMMYFUNCTION("IF(AA257 = """", """", GOOGLETRANSLATE(AA257, ""en"", ""bn""))"),"উস্কানি এড়িয়ে চলুন")</f>
        <v>উস্কানি এড়িয়ে চলুন</v>
      </c>
      <c r="AR257" s="5" t="str">
        <f ca="1">IFERROR(__xludf.DUMMYFUNCTION("IF(AB257 = """", """", GOOGLETRANSLATE(AB257, ""en"", ""bn""))")," কর্মের প্রতিক্রিয়া নেই, রাগ এবং কথাবার্তা নিয়ন্ত্রণ করুন")</f>
        <v xml:space="preserve"> কর্মের প্রতিক্রিয়া নেই, রাগ এবং কথাবার্তা নিয়ন্ত্রণ করুন</v>
      </c>
      <c r="AU257" s="5" t="str">
        <f ca="1">IFERROR(__xludf.DUMMYFUNCTION("IF(Y257 = """", """", GOOGLETRANSLATE(Y257, ""en"", ""te""))"),"నిరంతర ఒత్తిడి")</f>
        <v>నిరంతర ఒత్తిడి</v>
      </c>
      <c r="AV257" s="5" t="str">
        <f ca="1">IFERROR(__xludf.DUMMYFUNCTION("IF(Z257 = """", """", GOOGLETRANSLATE(Z257, ""en"", ""te""))"),"ఆరోగ్య ఆందోళనలు")</f>
        <v>ఆరోగ్య ఆందోళనలు</v>
      </c>
      <c r="AW257" s="5" t="str">
        <f ca="1">IFERROR(__xludf.DUMMYFUNCTION("IF(AA257 = """", """", GOOGLETRANSLATE(AA257, ""en"", ""te""))"),"రెచ్చగొట్టడం మానుకోండి")</f>
        <v>రెచ్చగొట్టడం మానుకోండి</v>
      </c>
      <c r="AX257" s="5" t="str">
        <f ca="1">IFERROR(__xludf.DUMMYFUNCTION("IF(AB257 = """", """", GOOGLETRANSLATE(AB257, ""en"", ""te""))")," చర్యలకు ప్రతిస్పందన లేదు, కోపం మరియు మాటలను నియంత్రించండి")</f>
        <v xml:space="preserve"> చర్యలకు ప్రతిస్పందన లేదు, కోపం మరియు మాటలను నియంత్రించండి</v>
      </c>
    </row>
    <row r="258" spans="1:50" x14ac:dyDescent="0.25">
      <c r="A258" s="1">
        <v>273</v>
      </c>
      <c r="B258" s="1" t="s">
        <v>56</v>
      </c>
      <c r="C258" s="2">
        <v>45843</v>
      </c>
      <c r="D258" s="2">
        <v>45843</v>
      </c>
      <c r="E258" s="1">
        <v>9</v>
      </c>
      <c r="F258" s="1">
        <v>1</v>
      </c>
      <c r="G258" s="3" t="s">
        <v>735</v>
      </c>
      <c r="H258" s="4">
        <v>1.0069444444444445E-2</v>
      </c>
      <c r="I258" s="4">
        <v>4.0277777777777777E-3</v>
      </c>
      <c r="J258" s="4">
        <v>4.4444444444444444E-3</v>
      </c>
      <c r="K258" s="1"/>
      <c r="L258" s="1" t="s">
        <v>68</v>
      </c>
      <c r="M258" s="1"/>
      <c r="N258" s="1"/>
      <c r="O258" s="1" t="s">
        <v>61</v>
      </c>
      <c r="P258" s="1" t="s">
        <v>61</v>
      </c>
      <c r="Q258" s="1" t="s">
        <v>61</v>
      </c>
      <c r="R258" s="1" t="s">
        <v>61</v>
      </c>
      <c r="S258" s="1" t="s">
        <v>61</v>
      </c>
      <c r="T258" s="1" t="s">
        <v>91</v>
      </c>
      <c r="U258" s="1" t="s">
        <v>109</v>
      </c>
      <c r="V258" s="1" t="s">
        <v>61</v>
      </c>
      <c r="W258" s="1" t="s">
        <v>61</v>
      </c>
      <c r="X258" s="1" t="s">
        <v>91</v>
      </c>
      <c r="Y258" s="1" t="s">
        <v>546</v>
      </c>
      <c r="Z258" s="1" t="s">
        <v>760</v>
      </c>
      <c r="AA258" s="1" t="s">
        <v>761</v>
      </c>
      <c r="AB258" s="1" t="s">
        <v>762</v>
      </c>
      <c r="AC258" s="5" t="str">
        <f ca="1">IFERROR(__xludf.DUMMYFUNCTION("IF(Y258 = """", """", GOOGLETRANSLATE(Y258, ""en"", ""hi""))
"),"क्रोध पर नियंत्रण रखें")</f>
        <v>क्रोध पर नियंत्रण रखें</v>
      </c>
      <c r="AD258" s="5" t="str">
        <f ca="1">IFERROR(__xludf.DUMMYFUNCTION("IF(Z258 = """", """", GOOGLETRANSLATE(Z258, ""en"", ""hi""))"),"अति प्रतिक्रिया संभव")</f>
        <v>अति प्रतिक्रिया संभव</v>
      </c>
      <c r="AE258" s="5" t="str">
        <f ca="1">IFERROR(__xludf.DUMMYFUNCTION("IF(AA258 = """", """", GOOGLETRANSLATE(AA258, ""en"", ""hi""))"),"गलतियों को सुधारने का समय नहीं")</f>
        <v>गलतियों को सुधारने का समय नहीं</v>
      </c>
      <c r="AF258" s="5" t="str">
        <f ca="1">IFERROR(__xludf.DUMMYFUNCTION("IF(AB258 = """", """", GOOGLETRANSLATE(AB258, ""en"", ""hi""))"),"बुजुर्गों और बच्चों की चिंताएँ जारी")</f>
        <v>बुजुर्गों और बच्चों की चिंताएँ जारी</v>
      </c>
      <c r="AG258" s="5" t="str">
        <f ca="1">IFERROR(__xludf.DUMMYFUNCTION("IF(Y258 = """", """", GOOGLETRANSLATE(Y258, ""en"", ""mr""))"),"रागावर नियंत्रण ठेवा")</f>
        <v>रागावर नियंत्रण ठेवा</v>
      </c>
      <c r="AH258" s="5" t="str">
        <f ca="1">IFERROR(__xludf.DUMMYFUNCTION("IF(Z258 = """", """", GOOGLETRANSLATE(Z258, ""en"", ""mr""))"),"अतिप्रक्रिया शक्य आहे")</f>
        <v>अतिप्रक्रिया शक्य आहे</v>
      </c>
      <c r="AI258" s="5" t="str">
        <f ca="1">IFERROR(__xludf.DUMMYFUNCTION("IF(AA258 = """", """", GOOGLETRANSLATE(AA258, ""en"", ""mr""))"),"चुका सुधारण्यासाठी वेळ नाही")</f>
        <v>चुका सुधारण्यासाठी वेळ नाही</v>
      </c>
      <c r="AJ258" s="5" t="str">
        <f ca="1">IFERROR(__xludf.DUMMYFUNCTION("IF(AB258 = """", """", GOOGLETRANSLATE(AB258, ""en"", ""mr""))"),"वृद्ध आणि मुलांची चिंता कायम आहे")</f>
        <v>वृद्ध आणि मुलांची चिंता कायम आहे</v>
      </c>
      <c r="AK258" s="5" t="str">
        <f ca="1">IFERROR(__xludf.DUMMYFUNCTION("IF(Y258 = """", """", GOOGLETRANSLATE(Y258, ""en"", ""gu""))"),"ગુસ્સા પર નિયંત્રણ રાખો")</f>
        <v>ગુસ્સા પર નિયંત્રણ રાખો</v>
      </c>
      <c r="AL258" s="5" t="str">
        <f ca="1">IFERROR(__xludf.DUMMYFUNCTION("IF(Z258 = """", """", GOOGLETRANSLATE(Z258, ""en"", ""gu""))"),"અતિશય પ્રતિક્રિયા શક્ય છે")</f>
        <v>અતિશય પ્રતિક્રિયા શક્ય છે</v>
      </c>
      <c r="AM258" s="5" t="str">
        <f ca="1">IFERROR(__xludf.DUMMYFUNCTION("IF(AA258 = """", """", GOOGLETRANSLATE(AA258, ""en"", ""gu""))"),"ભૂલો સુધારવાનો સમય નથી")</f>
        <v>ભૂલો સુધારવાનો સમય નથી</v>
      </c>
      <c r="AN258" s="5" t="str">
        <f ca="1">IFERROR(__xludf.DUMMYFUNCTION("IF(AB258 = """", """", GOOGLETRANSLATE(AB258, ""en"", ""gu""))"),"વડીલો અને બાળકોની ચિંતા ચાલુ રહે")</f>
        <v>વડીલો અને બાળકોની ચિંતા ચાલુ રહે</v>
      </c>
      <c r="AO258" s="5" t="str">
        <f ca="1">IFERROR(__xludf.DUMMYFUNCTION("IF(Y258 = """", """", GOOGLETRANSLATE(Y258, ""en"", ""bn""))"),"রাগ নিয়ন্ত্রণ করুন")</f>
        <v>রাগ নিয়ন্ত্রণ করুন</v>
      </c>
      <c r="AP258" s="5" t="str">
        <f ca="1">IFERROR(__xludf.DUMMYFUNCTION("IF(Z258 = """", """", GOOGLETRANSLATE(Z258, ""en"", ""bn""))"),"অতিরিক্ত প্রতিক্রিয়া সম্ভব")</f>
        <v>অতিরিক্ত প্রতিক্রিয়া সম্ভব</v>
      </c>
      <c r="AQ258" s="5" t="str">
        <f ca="1">IFERROR(__xludf.DUMMYFUNCTION("IF(AA258 = """", """", GOOGLETRANSLATE(AA258, ""en"", ""bn""))"),"ভুল ঠিক করার সময় নেই")</f>
        <v>ভুল ঠিক করার সময় নেই</v>
      </c>
      <c r="AR258" s="5" t="str">
        <f ca="1">IFERROR(__xludf.DUMMYFUNCTION("IF(AB258 = """", """", GOOGLETRANSLATE(AB258, ""en"", ""bn""))"),"প্রবীণ এবং শিশু উদ্বেগ অব্যাহত")</f>
        <v>প্রবীণ এবং শিশু উদ্বেগ অব্যাহত</v>
      </c>
      <c r="AU258" s="5" t="str">
        <f ca="1">IFERROR(__xludf.DUMMYFUNCTION("IF(Y258 = """", """", GOOGLETRANSLATE(Y258, ""en"", ""te""))"),"కోపాన్ని అదుపులో పెట్టుకోండి")</f>
        <v>కోపాన్ని అదుపులో పెట్టుకోండి</v>
      </c>
      <c r="AV258" s="5" t="str">
        <f ca="1">IFERROR(__xludf.DUMMYFUNCTION("IF(Z258 = """", """", GOOGLETRANSLATE(Z258, ""en"", ""te""))"),"ఓవర్ రియాక్షన్ సాధ్యమే")</f>
        <v>ఓవర్ రియాక్షన్ సాధ్యమే</v>
      </c>
      <c r="AW258" s="5" t="str">
        <f ca="1">IFERROR(__xludf.DUMMYFUNCTION("IF(AA258 = """", """", GOOGLETRANSLATE(AA258, ""en"", ""te""))"),"తప్పులు సరిదిద్దుకోవడానికి సమయం లేదు")</f>
        <v>తప్పులు సరిదిద్దుకోవడానికి సమయం లేదు</v>
      </c>
      <c r="AX258" s="5" t="str">
        <f ca="1">IFERROR(__xludf.DUMMYFUNCTION("IF(AB258 = """", """", GOOGLETRANSLATE(AB258, ""en"", ""te""))"),"పెద్దలు &amp; పిల్లల ఆందోళనలు కొనసాగుతున్నాయి")</f>
        <v>పెద్దలు &amp; పిల్లల ఆందోళనలు కొనసాగుతున్నాయి</v>
      </c>
    </row>
    <row r="259" spans="1:50" x14ac:dyDescent="0.25">
      <c r="A259" s="1">
        <v>274</v>
      </c>
      <c r="B259" s="1" t="s">
        <v>56</v>
      </c>
      <c r="C259" s="2">
        <v>45843</v>
      </c>
      <c r="D259" s="2">
        <v>45843</v>
      </c>
      <c r="E259" s="1">
        <v>10</v>
      </c>
      <c r="F259" s="1">
        <v>1</v>
      </c>
      <c r="G259" s="3" t="s">
        <v>735</v>
      </c>
      <c r="H259" s="4">
        <v>1.0069444444444445E-2</v>
      </c>
      <c r="I259" s="4">
        <v>4.4444444444444444E-3</v>
      </c>
      <c r="J259" s="4">
        <v>4.7800925925925927E-3</v>
      </c>
      <c r="K259" s="1"/>
      <c r="L259" s="1" t="s">
        <v>72</v>
      </c>
      <c r="M259" s="1"/>
      <c r="N259" s="1"/>
      <c r="O259" s="1" t="s">
        <v>91</v>
      </c>
      <c r="P259" s="1" t="s">
        <v>61</v>
      </c>
      <c r="Q259" s="1" t="s">
        <v>61</v>
      </c>
      <c r="R259" s="1" t="s">
        <v>61</v>
      </c>
      <c r="S259" s="1" t="s">
        <v>61</v>
      </c>
      <c r="T259" s="1" t="s">
        <v>61</v>
      </c>
      <c r="U259" s="1" t="s">
        <v>109</v>
      </c>
      <c r="V259" s="1" t="s">
        <v>91</v>
      </c>
      <c r="W259" s="1" t="s">
        <v>61</v>
      </c>
      <c r="X259" s="1" t="s">
        <v>61</v>
      </c>
      <c r="Y259" s="1" t="s">
        <v>661</v>
      </c>
      <c r="Z259" s="1" t="s">
        <v>763</v>
      </c>
      <c r="AA259" s="1" t="s">
        <v>764</v>
      </c>
      <c r="AB259" s="1" t="s">
        <v>542</v>
      </c>
      <c r="AC259" s="5" t="str">
        <f ca="1">IFERROR(__xludf.DUMMYFUNCTION("IF(Y259 = """", """", GOOGLETRANSLATE(Y259, ""en"", ""hi""))
"),"बच्चों से संबंधित चिंताएँ कम होती हैं")</f>
        <v>बच्चों से संबंधित चिंताएँ कम होती हैं</v>
      </c>
      <c r="AD259" s="5" t="str">
        <f ca="1">IFERROR(__xludf.DUMMYFUNCTION("IF(Z259 = """", """", GOOGLETRANSLATE(Z259, ""en"", ""hi""))"),"माँ के स्वास्थ्य को देखभाल की आवश्यकता है")</f>
        <v>माँ के स्वास्थ्य को देखभाल की आवश्यकता है</v>
      </c>
      <c r="AE259" s="5" t="str">
        <f ca="1">IFERROR(__xludf.DUMMYFUNCTION("IF(AA259 = """", """", GOOGLETRANSLATE(AA259, ""en"", ""hi""))"),"पारिवारिक कर्तव्यों में वृद्धि")</f>
        <v>पारिवारिक कर्तव्यों में वृद्धि</v>
      </c>
      <c r="AF259" s="5" t="str">
        <f ca="1">IFERROR(__xludf.DUMMYFUNCTION("IF(AB259 = """", """", GOOGLETRANSLATE(AB259, ""en"", ""hi""))"),"अच्छी योजना मदद करती है")</f>
        <v>अच्छी योजना मदद करती है</v>
      </c>
      <c r="AG259" s="5" t="str">
        <f ca="1">IFERROR(__xludf.DUMMYFUNCTION("IF(Y259 = """", """", GOOGLETRANSLATE(Y259, ""en"", ""mr""))"),"मुलांशी संबंधित चिंता कमी होईल")</f>
        <v>मुलांशी संबंधित चिंता कमी होईल</v>
      </c>
      <c r="AH259" s="5" t="str">
        <f ca="1">IFERROR(__xludf.DUMMYFUNCTION("IF(Z259 = """", """", GOOGLETRANSLATE(Z259, ""en"", ""mr""))"),"आईच्या आरोग्याची काळजी घेणे आवश्यक आहे")</f>
        <v>आईच्या आरोग्याची काळजी घेणे आवश्यक आहे</v>
      </c>
      <c r="AI259" s="5" t="str">
        <f ca="1">IFERROR(__xludf.DUMMYFUNCTION("IF(AA259 = """", """", GOOGLETRANSLATE(AA259, ""en"", ""mr""))"),"कौटुंबिक कर्तव्ये वाढतील")</f>
        <v>कौटुंबिक कर्तव्ये वाढतील</v>
      </c>
      <c r="AJ259" s="5" t="str">
        <f ca="1">IFERROR(__xludf.DUMMYFUNCTION("IF(AB259 = """", """", GOOGLETRANSLATE(AB259, ""en"", ""mr""))"),"चांगले नियोजन मदत करते")</f>
        <v>चांगले नियोजन मदत करते</v>
      </c>
      <c r="AK259" s="5" t="str">
        <f ca="1">IFERROR(__xludf.DUMMYFUNCTION("IF(Y259 = """", """", GOOGLETRANSLATE(Y259, ""en"", ""gu""))"),"સંતાન સંબંધી ચિંતાઓ હળવી થાય")</f>
        <v>સંતાન સંબંધી ચિંતાઓ હળવી થાય</v>
      </c>
      <c r="AL259" s="5" t="str">
        <f ca="1">IFERROR(__xludf.DUMMYFUNCTION("IF(Z259 = """", """", GOOGLETRANSLATE(Z259, ""en"", ""gu""))"),"માતાના સ્વાસ્થ્યને સંભાળની જરૂર છે")</f>
        <v>માતાના સ્વાસ્થ્યને સંભાળની જરૂર છે</v>
      </c>
      <c r="AM259" s="5" t="str">
        <f ca="1">IFERROR(__xludf.DUMMYFUNCTION("IF(AA259 = """", """", GOOGLETRANSLATE(AA259, ""en"", ""gu""))"),"કૌટુંબિક ફરજો વધે")</f>
        <v>કૌટુંબિક ફરજો વધે</v>
      </c>
      <c r="AN259" s="5" t="str">
        <f ca="1">IFERROR(__xludf.DUMMYFUNCTION("IF(AB259 = """", """", GOOGLETRANSLATE(AB259, ""en"", ""gu""))"),"સારું આયોજન મદદ કરે છે")</f>
        <v>સારું આયોજન મદદ કરે છે</v>
      </c>
      <c r="AO259" s="5" t="str">
        <f ca="1">IFERROR(__xludf.DUMMYFUNCTION("IF(Y259 = """", """", GOOGLETRANSLATE(Y259, ""en"", ""bn""))"),"সন্তান-সম্পর্কিত দুশ্চিন্তা লাঘব")</f>
        <v>সন্তান-সম্পর্কিত দুশ্চিন্তা লাঘব</v>
      </c>
      <c r="AP259" s="5" t="str">
        <f ca="1">IFERROR(__xludf.DUMMYFUNCTION("IF(Z259 = """", """", GOOGLETRANSLATE(Z259, ""en"", ""bn""))"),"মায়ের স্বাস্থ্যের যত্ন প্রয়োজন")</f>
        <v>মায়ের স্বাস্থ্যের যত্ন প্রয়োজন</v>
      </c>
      <c r="AQ259" s="5" t="str">
        <f ca="1">IFERROR(__xludf.DUMMYFUNCTION("IF(AA259 = """", """", GOOGLETRANSLATE(AA259, ""en"", ""bn""))"),"পারিবারিক দায়িত্ব বৃদ্ধি পায়")</f>
        <v>পারিবারিক দায়িত্ব বৃদ্ধি পায়</v>
      </c>
      <c r="AR259" s="5" t="str">
        <f ca="1">IFERROR(__xludf.DUMMYFUNCTION("IF(AB259 = """", """", GOOGLETRANSLATE(AB259, ""en"", ""bn""))"),"ভালো পরিকল্পনা সাহায্য করে")</f>
        <v>ভালো পরিকল্পনা সাহায্য করে</v>
      </c>
      <c r="AU259" s="5" t="str">
        <f ca="1">IFERROR(__xludf.DUMMYFUNCTION("IF(Y259 = """", """", GOOGLETRANSLATE(Y259,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V259" s="5" t="str">
        <f ca="1">IFERROR(__xludf.DUMMYFUNCTION("IF(Z259 = """", """", GOOGLETRANSLATE(Z259, ""en"", ""te""))"),"తల్లి ఆరోగ్యం పట్ల శ్రద్ధ అవసరం")</f>
        <v>తల్లి ఆరోగ్యం పట్ల శ్రద్ధ అవసరం</v>
      </c>
      <c r="AW259" s="5" t="str">
        <f ca="1">IFERROR(__xludf.DUMMYFUNCTION("IF(AA259 = """", """", GOOGLETRANSLATE(AA259, ""en"", ""te""))"),"కుటుంబ బాధ్యతలు పెరుగుతాయి")</f>
        <v>కుటుంబ బాధ్యతలు పెరుగుతాయి</v>
      </c>
      <c r="AX259" s="5" t="str">
        <f ca="1">IFERROR(__xludf.DUMMYFUNCTION("IF(AB259 = """", """", GOOGLETRANSLATE(AB259, ""en"", ""te""))"),"మంచి ప్రణాళిక సహాయపడుతుంది")</f>
        <v>మంచి ప్రణాళిక సహాయపడుతుంది</v>
      </c>
    </row>
    <row r="260" spans="1:50" x14ac:dyDescent="0.25">
      <c r="A260" s="1">
        <v>275</v>
      </c>
      <c r="B260" s="1" t="s">
        <v>56</v>
      </c>
      <c r="C260" s="2">
        <v>45843</v>
      </c>
      <c r="D260" s="2">
        <v>45843</v>
      </c>
      <c r="E260" s="1">
        <v>11</v>
      </c>
      <c r="F260" s="1">
        <v>1</v>
      </c>
      <c r="G260" s="3" t="s">
        <v>735</v>
      </c>
      <c r="H260" s="4">
        <v>1.0069444444444445E-2</v>
      </c>
      <c r="I260" s="4">
        <v>4.7800925925925927E-3</v>
      </c>
      <c r="J260" s="4">
        <v>5.2777777777777779E-3</v>
      </c>
      <c r="K260" s="1"/>
      <c r="L260" s="1" t="s">
        <v>76</v>
      </c>
      <c r="M260" s="1"/>
      <c r="N260" s="1"/>
      <c r="O260" s="1" t="s">
        <v>61</v>
      </c>
      <c r="P260" s="1" t="s">
        <v>61</v>
      </c>
      <c r="Q260" s="1" t="s">
        <v>61</v>
      </c>
      <c r="R260" s="1" t="s">
        <v>91</v>
      </c>
      <c r="S260" s="1" t="s">
        <v>61</v>
      </c>
      <c r="T260" s="1" t="s">
        <v>61</v>
      </c>
      <c r="U260" s="1" t="s">
        <v>109</v>
      </c>
      <c r="V260" s="1" t="s">
        <v>91</v>
      </c>
      <c r="W260" s="1" t="s">
        <v>61</v>
      </c>
      <c r="X260" s="1" t="s">
        <v>61</v>
      </c>
      <c r="Y260" s="1" t="s">
        <v>765</v>
      </c>
      <c r="Z260" s="1" t="s">
        <v>766</v>
      </c>
      <c r="AA260" s="1" t="s">
        <v>767</v>
      </c>
      <c r="AB260" s="1"/>
      <c r="AC260" s="5" t="str">
        <f ca="1">IFERROR(__xludf.DUMMYFUNCTION("IF(Y260 = """", """", GOOGLETRANSLATE(Y260, ""en"", ""hi""))
"),"निर्णय लेने में जल्दबाजी न करें")</f>
        <v>निर्णय लेने में जल्दबाजी न करें</v>
      </c>
      <c r="AD260" s="5" t="str">
        <f ca="1">IFERROR(__xludf.DUMMYFUNCTION("IF(Z260 = """", """", GOOGLETRANSLATE(Z260, ""en"", ""hi""))"),"कोई भी निर्णय लेने से पहले सब कुछ अच्छी तरह जांच लें")</f>
        <v>कोई भी निर्णय लेने से पहले सब कुछ अच्छी तरह जांच लें</v>
      </c>
      <c r="AE260" s="5" t="str">
        <f ca="1">IFERROR(__xludf.DUMMYFUNCTION("IF(AA260 = """", """", GOOGLETRANSLATE(AA260, ""en"", ""hi""))"),"कुछ बुजुर्गों के स्वास्थ्य संबंधी राहत")</f>
        <v>कुछ बुजुर्गों के स्वास्थ्य संबंधी राहत</v>
      </c>
      <c r="AF260" s="5" t="str">
        <f ca="1">IFERROR(__xludf.DUMMYFUNCTION("IF(AB260 = """", """", GOOGLETRANSLATE(AB260, ""en"", ""hi""))"),"")</f>
        <v/>
      </c>
      <c r="AG260" s="5" t="str">
        <f ca="1">IFERROR(__xludf.DUMMYFUNCTION("IF(Y260 = """", """", GOOGLETRANSLATE(Y260, ""en"", ""mr""))"),"घाईघाईने निर्णय घेऊ नका")</f>
        <v>घाईघाईने निर्णय घेऊ नका</v>
      </c>
      <c r="AH260" s="5" t="str">
        <f ca="1">IFERROR(__xludf.DUMMYFUNCTION("IF(Z260 = """", """", GOOGLETRANSLATE(Z260, ""en"", ""mr""))"),"कोणताही निर्णय घेण्यापूर्वी सर्वकाही नीट तपासा")</f>
        <v>कोणताही निर्णय घेण्यापूर्वी सर्वकाही नीट तपासा</v>
      </c>
      <c r="AI260" s="5" t="str">
        <f ca="1">IFERROR(__xludf.DUMMYFUNCTION("IF(AA260 = """", """", GOOGLETRANSLATE(AA260, ""en"", ""mr""))"),"काही ज्येष्ठांच्या आरोग्याला आराम मिळेल")</f>
        <v>काही ज्येष्ठांच्या आरोग्याला आराम मिळेल</v>
      </c>
      <c r="AJ260" s="5" t="str">
        <f ca="1">IFERROR(__xludf.DUMMYFUNCTION("IF(AB260 = """", """", GOOGLETRANSLATE(AB260, ""en"", ""mr""))"),"")</f>
        <v/>
      </c>
      <c r="AK260" s="5" t="str">
        <f ca="1">IFERROR(__xludf.DUMMYFUNCTION("IF(Y260 = """", """", GOOGLETRANSLATE(Y260, ""en"", ""gu""))"),"નિર્ણયોમાં ઉતાવળ ન કરો")</f>
        <v>નિર્ણયોમાં ઉતાવળ ન કરો</v>
      </c>
      <c r="AL260" s="5" t="str">
        <f ca="1">IFERROR(__xludf.DUMMYFUNCTION("IF(Z260 = """", """", GOOGLETRANSLATE(Z260, ""en"", ""gu""))"),"કોઈપણ નિર્ણય લેતા પહેલા બધું બરાબર તપાસો")</f>
        <v>કોઈપણ નિર્ણય લેતા પહેલા બધું બરાબર તપાસો</v>
      </c>
      <c r="AM260" s="5" t="str">
        <f ca="1">IFERROR(__xludf.DUMMYFUNCTION("IF(AA260 = """", """", GOOGLETRANSLATE(AA260, ""en"", ""gu""))"),"કેટલાક વડીલ આરોગ્ય રાહત")</f>
        <v>કેટલાક વડીલ આરોગ્ય રાહત</v>
      </c>
      <c r="AN260" s="5" t="str">
        <f ca="1">IFERROR(__xludf.DUMMYFUNCTION("IF(AB260 = """", """", GOOGLETRANSLATE(AB260, ""en"", ""gu""))"),"")</f>
        <v/>
      </c>
      <c r="AO260" s="5" t="str">
        <f ca="1">IFERROR(__xludf.DUMMYFUNCTION("IF(Y260 = """", """", GOOGLETRANSLATE(Y260, ""en"", ""bn""))"),"সিদ্ধান্তে তাড়াহুড়ো করবেন না")</f>
        <v>সিদ্ধান্তে তাড়াহুড়ো করবেন না</v>
      </c>
      <c r="AP260" s="5" t="str">
        <f ca="1">IFERROR(__xludf.DUMMYFUNCTION("IF(Z260 = """", """", GOOGLETRANSLATE(Z260, ""en"", ""bn""))"),"কোনো সিদ্ধান্ত নেওয়ার আগে সবকিছু ভালোভাবে যাচাই করে নিন")</f>
        <v>কোনো সিদ্ধান্ত নেওয়ার আগে সবকিছু ভালোভাবে যাচাই করে নিন</v>
      </c>
      <c r="AQ260" s="5" t="str">
        <f ca="1">IFERROR(__xludf.DUMMYFUNCTION("IF(AA260 = """", """", GOOGLETRANSLATE(AA260, ""en"", ""bn""))"),"কিছু বয়স্ক স্বাস্থ্য ত্রাণ")</f>
        <v>কিছু বয়স্ক স্বাস্থ্য ত্রাণ</v>
      </c>
      <c r="AR260" s="5" t="str">
        <f ca="1">IFERROR(__xludf.DUMMYFUNCTION("IF(AB260 = """", """", GOOGLETRANSLATE(AB260, ""en"", ""bn""))"),"")</f>
        <v/>
      </c>
      <c r="AU260" s="5" t="str">
        <f ca="1">IFERROR(__xludf.DUMMYFUNCTION("IF(Y260 = """", """", GOOGLETRANSLATE(Y260, ""en"", ""te""))"),"నిర్ణయాలకు తొందరపడకండి")</f>
        <v>నిర్ణయాలకు తొందరపడకండి</v>
      </c>
      <c r="AV260" s="5" t="str">
        <f ca="1">IFERROR(__xludf.DUMMYFUNCTION("IF(Z260 = """", """", GOOGLETRANSLATE(Z260, ""en"", ""te""))"),"ఏదైనా నిర్ణయం తీసుకునే ముందు ప్రతిదీ క్షుణ్ణంగా తనిఖీ చేయండి")</f>
        <v>ఏదైనా నిర్ణయం తీసుకునే ముందు ప్రతిదీ క్షుణ్ణంగా తనిఖీ చేయండి</v>
      </c>
      <c r="AW260" s="5" t="str">
        <f ca="1">IFERROR(__xludf.DUMMYFUNCTION("IF(AA260 = """", """", GOOGLETRANSLATE(AA260, ""en"", ""te""))"),"వృద్ధుల ఆరోగ్యానికి కొంత ఉపశమనం")</f>
        <v>వృద్ధుల ఆరోగ్యానికి కొంత ఉపశమనం</v>
      </c>
      <c r="AX260" s="5" t="str">
        <f ca="1">IFERROR(__xludf.DUMMYFUNCTION("IF(AB260 = """", """", GOOGLETRANSLATE(AB260, ""en"", ""te""))"),"")</f>
        <v/>
      </c>
    </row>
    <row r="261" spans="1:50" x14ac:dyDescent="0.25">
      <c r="A261" s="1">
        <v>276</v>
      </c>
      <c r="B261" s="1" t="s">
        <v>56</v>
      </c>
      <c r="C261" s="2">
        <v>45843</v>
      </c>
      <c r="D261" s="2">
        <v>45843</v>
      </c>
      <c r="E261" s="1">
        <v>12</v>
      </c>
      <c r="F261" s="1">
        <v>1</v>
      </c>
      <c r="G261" s="3" t="s">
        <v>735</v>
      </c>
      <c r="H261" s="4">
        <v>1.0069444444444445E-2</v>
      </c>
      <c r="I261" s="4">
        <v>5.2777777777777779E-3</v>
      </c>
      <c r="J261" s="4">
        <v>5.7060185185185183E-3</v>
      </c>
      <c r="K261" s="1"/>
      <c r="L261" s="1" t="s">
        <v>79</v>
      </c>
      <c r="M261" s="1"/>
      <c r="N261" s="1"/>
      <c r="O261" s="1" t="s">
        <v>61</v>
      </c>
      <c r="P261" s="1" t="s">
        <v>61</v>
      </c>
      <c r="Q261" s="1" t="s">
        <v>61</v>
      </c>
      <c r="R261" s="1" t="s">
        <v>61</v>
      </c>
      <c r="S261" s="1" t="s">
        <v>61</v>
      </c>
      <c r="T261" s="1" t="s">
        <v>91</v>
      </c>
      <c r="U261" s="1" t="s">
        <v>109</v>
      </c>
      <c r="V261" s="1" t="s">
        <v>61</v>
      </c>
      <c r="W261" s="1" t="s">
        <v>61</v>
      </c>
      <c r="X261" s="1" t="s">
        <v>91</v>
      </c>
      <c r="Y261" s="1" t="s">
        <v>768</v>
      </c>
      <c r="Z261" s="1" t="s">
        <v>769</v>
      </c>
      <c r="AA261" s="1" t="s">
        <v>770</v>
      </c>
      <c r="AB261" s="1" t="s">
        <v>275</v>
      </c>
      <c r="AC261" s="5" t="str">
        <f ca="1">IFERROR(__xludf.DUMMYFUNCTION("IF(Y261 = """", """", GOOGLETRANSLATE(Y261, ""en"", ""hi""))
"),"स्वयं और जीवनसाथी के लिए स्वास्थ्य समस्याएँ")</f>
        <v>स्वयं और जीवनसाथी के लिए स्वास्थ्य समस्याएँ</v>
      </c>
      <c r="AD261" s="5" t="str">
        <f ca="1">IFERROR(__xludf.DUMMYFUNCTION("IF(Z261 = """", """", GOOGLETRANSLATE(Z261, ""en"", ""hi""))"),"तनाव संभव")</f>
        <v>तनाव संभव</v>
      </c>
      <c r="AE261" s="5" t="str">
        <f ca="1">IFERROR(__xludf.DUMMYFUNCTION("IF(AA261 = """", """", GOOGLETRANSLATE(AA261, ""en"", ""hi""))"),"सहायक परिवार")</f>
        <v>सहायक परिवार</v>
      </c>
      <c r="AF261" s="5" t="str">
        <f ca="1">IFERROR(__xludf.DUMMYFUNCTION("IF(AB261 = """", """", GOOGLETRANSLATE(AB261, ""en"", ""hi""))"),"ध्यान से चलाएं")</f>
        <v>ध्यान से चलाएं</v>
      </c>
      <c r="AG261" s="5" t="str">
        <f ca="1">IFERROR(__xludf.DUMMYFUNCTION("IF(Y261 = """", """", GOOGLETRANSLATE(Y261, ""en"", ""mr""))"),"स्वत: आणि जोडीदारासाठी आरोग्य समस्या")</f>
        <v>स्वत: आणि जोडीदारासाठी आरोग्य समस्या</v>
      </c>
      <c r="AH261" s="5" t="str">
        <f ca="1">IFERROR(__xludf.DUMMYFUNCTION("IF(Z261 = """", """", GOOGLETRANSLATE(Z261, ""en"", ""mr""))"),"तणाव संभवतो")</f>
        <v>तणाव संभवतो</v>
      </c>
      <c r="AI261" s="5" t="str">
        <f ca="1">IFERROR(__xludf.DUMMYFUNCTION("IF(AA261 = """", """", GOOGLETRANSLATE(AA261, ""en"", ""mr""))"),"आश्वासक कुटुंब")</f>
        <v>आश्वासक कुटुंब</v>
      </c>
      <c r="AJ261" s="5" t="str">
        <f ca="1">IFERROR(__xludf.DUMMYFUNCTION("IF(AB261 = """", """", GOOGLETRANSLATE(AB261, ""en"", ""mr""))"),"जपून चालवा")</f>
        <v>जपून चालवा</v>
      </c>
      <c r="AK261" s="5" t="str">
        <f ca="1">IFERROR(__xludf.DUMMYFUNCTION("IF(Y261 = """", """", GOOGLETRANSLATE(Y261, ""en"", ""gu""))"),"સ્વ અને જીવનસાથી માટે સ્વાસ્થ્ય સમસ્યાઓ")</f>
        <v>સ્વ અને જીવનસાથી માટે સ્વાસ્થ્ય સમસ્યાઓ</v>
      </c>
      <c r="AL261" s="5" t="str">
        <f ca="1">IFERROR(__xludf.DUMMYFUNCTION("IF(Z261 = """", """", GOOGLETRANSLATE(Z261, ""en"", ""gu""))"),"તણાવ શક્ય છે")</f>
        <v>તણાવ શક્ય છે</v>
      </c>
      <c r="AM261" s="5" t="str">
        <f ca="1">IFERROR(__xludf.DUMMYFUNCTION("IF(AA261 = """", """", GOOGLETRANSLATE(AA261, ""en"", ""gu""))"),"સહાયક કુટુંબ")</f>
        <v>સહાયક કુટુંબ</v>
      </c>
      <c r="AN261" s="5" t="str">
        <f ca="1">IFERROR(__xludf.DUMMYFUNCTION("IF(AB261 = """", """", GOOGLETRANSLATE(AB261, ""en"", ""gu""))"),"કાળજીપૂર્વક વાહન ચલાવો")</f>
        <v>કાળજીપૂર્વક વાહન ચલાવો</v>
      </c>
      <c r="AO261" s="5" t="str">
        <f ca="1">IFERROR(__xludf.DUMMYFUNCTION("IF(Y261 = """", """", GOOGLETRANSLATE(Y261, ""en"", ""bn""))"),"নিজের এবং স্ত্রীর জন্য স্বাস্থ্য সমস্যা")</f>
        <v>নিজের এবং স্ত্রীর জন্য স্বাস্থ্য সমস্যা</v>
      </c>
      <c r="AP261" s="5" t="str">
        <f ca="1">IFERROR(__xludf.DUMMYFUNCTION("IF(Z261 = """", """", GOOGLETRANSLATE(Z261, ""en"", ""bn""))"),"টেনশন সম্ভব")</f>
        <v>টেনশন সম্ভব</v>
      </c>
      <c r="AQ261" s="5" t="str">
        <f ca="1">IFERROR(__xludf.DUMMYFUNCTION("IF(AA261 = """", """", GOOGLETRANSLATE(AA261, ""en"", ""bn""))"),"সহায়ক পরিবার")</f>
        <v>সহায়ক পরিবার</v>
      </c>
      <c r="AR261" s="5" t="str">
        <f ca="1">IFERROR(__xludf.DUMMYFUNCTION("IF(AB261 = """", """", GOOGLETRANSLATE(AB261, ""en"", ""bn""))"),"সাবধানে চালান")</f>
        <v>সাবধানে চালান</v>
      </c>
      <c r="AU261" s="5" t="str">
        <f ca="1">IFERROR(__xludf.DUMMYFUNCTION("IF(Y261 = """", """", GOOGLETRANSLATE(Y261, ""en"", ""te""))"),"స్వీయ మరియు జీవిత భాగస్వామికి ఆరోగ్య సమస్యలు")</f>
        <v>స్వీయ మరియు జీవిత భాగస్వామికి ఆరోగ్య సమస్యలు</v>
      </c>
      <c r="AV261" s="5" t="str">
        <f ca="1">IFERROR(__xludf.DUMMYFUNCTION("IF(Z261 = """", """", GOOGLETRANSLATE(Z261, ""en"", ""te""))"),"ఉద్రిక్తత సాధ్యమే")</f>
        <v>ఉద్రిక్తత సాధ్యమే</v>
      </c>
      <c r="AW261" s="5" t="str">
        <f ca="1">IFERROR(__xludf.DUMMYFUNCTION("IF(AA261 = """", """", GOOGLETRANSLATE(AA261, ""en"", ""te""))"),"ఆదుకునే కుటుంబం")</f>
        <v>ఆదుకునే కుటుంబం</v>
      </c>
      <c r="AX261" s="5" t="str">
        <f ca="1">IFERROR(__xludf.DUMMYFUNCTION("IF(AB261 = """", """", GOOGLETRANSLATE(AB261, ""en"", ""te""))"),"జాగ్రత్తగా డ్రైవ్ చేయండి")</f>
        <v>జాగ్రత్తగా డ్రైవ్ చేయండి</v>
      </c>
    </row>
    <row r="262" spans="1:50" x14ac:dyDescent="0.25">
      <c r="A262" s="1">
        <v>277</v>
      </c>
      <c r="B262" s="1" t="s">
        <v>56</v>
      </c>
      <c r="C262" s="2">
        <v>45843</v>
      </c>
      <c r="D262" s="2">
        <v>45843</v>
      </c>
      <c r="E262" s="1">
        <v>13</v>
      </c>
      <c r="F262" s="1">
        <v>1</v>
      </c>
      <c r="G262" s="3" t="s">
        <v>735</v>
      </c>
      <c r="H262" s="4">
        <v>1.0069444444444445E-2</v>
      </c>
      <c r="I262" s="4">
        <v>5.7060185185185183E-3</v>
      </c>
      <c r="J262" s="4">
        <v>6.0185185185185185E-3</v>
      </c>
      <c r="K262" s="1"/>
      <c r="L262" s="1" t="s">
        <v>81</v>
      </c>
      <c r="M262" s="1"/>
      <c r="N262" s="1"/>
      <c r="O262" s="1" t="s">
        <v>61</v>
      </c>
      <c r="P262" s="1" t="s">
        <v>61</v>
      </c>
      <c r="Q262" s="1" t="s">
        <v>61</v>
      </c>
      <c r="R262" s="1" t="s">
        <v>61</v>
      </c>
      <c r="S262" s="1" t="s">
        <v>61</v>
      </c>
      <c r="T262" s="1" t="s">
        <v>91</v>
      </c>
      <c r="U262" s="1" t="s">
        <v>109</v>
      </c>
      <c r="V262" s="1" t="s">
        <v>61</v>
      </c>
      <c r="W262" s="1" t="s">
        <v>91</v>
      </c>
      <c r="X262" s="1" t="s">
        <v>61</v>
      </c>
      <c r="Y262" s="1" t="s">
        <v>771</v>
      </c>
      <c r="Z262" s="1" t="s">
        <v>434</v>
      </c>
      <c r="AA262" s="1" t="s">
        <v>289</v>
      </c>
      <c r="AB262" s="1" t="s">
        <v>772</v>
      </c>
      <c r="AC262" s="5" t="str">
        <f ca="1">IFERROR(__xludf.DUMMYFUNCTION("IF(Y262 = """", """", GOOGLETRANSLATE(Y262, ""en"", ""hi""))
"),"पारिवारिक चर्चाएँ बहस में बदल सकती हैं")</f>
        <v>पारिवारिक चर्चाएँ बहस में बदल सकती हैं</v>
      </c>
      <c r="AD262" s="5" t="str">
        <f ca="1">IFERROR(__xludf.DUMMYFUNCTION("IF(Z262 = """", """", GOOGLETRANSLATE(Z262, ""en"", ""hi""))"),"शांत रहें")</f>
        <v>शांत रहें</v>
      </c>
      <c r="AE262" s="5" t="str">
        <f ca="1">IFERROR(__xludf.DUMMYFUNCTION("IF(AA262 = """", """", GOOGLETRANSLATE(AA262, ""en"", ""hi""))"),"अति प्रतिक्रिया से बचें")</f>
        <v>अति प्रतिक्रिया से बचें</v>
      </c>
      <c r="AF262" s="5" t="str">
        <f ca="1">IFERROR(__xludf.DUMMYFUNCTION("IF(AB262 = """", """", GOOGLETRANSLATE(AB262, ""en"", ""hi""))"),"शांति बनाए रखें")</f>
        <v>शांति बनाए रखें</v>
      </c>
      <c r="AG262" s="5" t="str">
        <f ca="1">IFERROR(__xludf.DUMMYFUNCTION("IF(Y262 = """", """", GOOGLETRANSLATE(Y262, ""en"", ""mr""))"),"कौटुंबिक चर्चा वादाकडे वळू शकतात")</f>
        <v>कौटुंबिक चर्चा वादाकडे वळू शकतात</v>
      </c>
      <c r="AH262" s="5" t="str">
        <f ca="1">IFERROR(__xludf.DUMMYFUNCTION("IF(Z262 = """", """", GOOGLETRANSLATE(Z262, ""en"", ""mr""))"),"शांत राहा")</f>
        <v>शांत राहा</v>
      </c>
      <c r="AI262" s="5" t="str">
        <f ca="1">IFERROR(__xludf.DUMMYFUNCTION("IF(AA262 = """", """", GOOGLETRANSLATE(AA262, ""en"", ""mr""))"),"अतिप्रक्रिया टाळा")</f>
        <v>अतिप्रक्रिया टाळा</v>
      </c>
      <c r="AJ262" s="5" t="str">
        <f ca="1">IFERROR(__xludf.DUMMYFUNCTION("IF(AB262 = """", """", GOOGLETRANSLATE(AB262, ""en"", ""mr""))"),"शांतता राखा")</f>
        <v>शांतता राखा</v>
      </c>
      <c r="AK262" s="5" t="str">
        <f ca="1">IFERROR(__xludf.DUMMYFUNCTION("IF(Y262 = """", """", GOOGLETRANSLATE(Y262, ""en"", ""gu""))"),"પારિવારિક ચર્ચાઓ વાદ-વિવાદ તરફ વળી શકે છે")</f>
        <v>પારિવારિક ચર્ચાઓ વાદ-વિવાદ તરફ વળી શકે છે</v>
      </c>
      <c r="AL262" s="5" t="str">
        <f ca="1">IFERROR(__xludf.DUMMYFUNCTION("IF(Z262 = """", """", GOOGLETRANSLATE(Z262, ""en"", ""gu""))"),"શાંત રહો")</f>
        <v>શાંત રહો</v>
      </c>
      <c r="AM262" s="5" t="str">
        <f ca="1">IFERROR(__xludf.DUMMYFUNCTION("IF(AA262 = """", """", GOOGLETRANSLATE(AA262, ""en"", ""gu""))"),"અતિશય પ્રતિક્રિયા ટાળો")</f>
        <v>અતિશય પ્રતિક્રિયા ટાળો</v>
      </c>
      <c r="AN262" s="5" t="str">
        <f ca="1">IFERROR(__xludf.DUMMYFUNCTION("IF(AB262 = """", """", GOOGLETRANSLATE(AB262, ""en"", ""gu""))"),"શાંતિ જાળવી રાખો")</f>
        <v>શાંતિ જાળવી રાખો</v>
      </c>
      <c r="AO262" s="5" t="str">
        <f ca="1">IFERROR(__xludf.DUMMYFUNCTION("IF(Y262 = """", """", GOOGLETRANSLATE(Y262, ""en"", ""bn""))"),"পারিবারিক আলোচনা তর্ক-বিতর্কের দিকে যেতে পারে")</f>
        <v>পারিবারিক আলোচনা তর্ক-বিতর্কের দিকে যেতে পারে</v>
      </c>
      <c r="AP262" s="5" t="str">
        <f ca="1">IFERROR(__xludf.DUMMYFUNCTION("IF(Z262 = """", """", GOOGLETRANSLATE(Z262, ""en"", ""bn""))"),"শান্ত থাকুন")</f>
        <v>শান্ত থাকুন</v>
      </c>
      <c r="AQ262" s="5" t="str">
        <f ca="1">IFERROR(__xludf.DUMMYFUNCTION("IF(AA262 = """", """", GOOGLETRANSLATE(AA262, ""en"", ""bn""))"),"অতিরিক্ত প্রতিক্রিয়া এড়িয়ে চলুন")</f>
        <v>অতিরিক্ত প্রতিক্রিয়া এড়িয়ে চলুন</v>
      </c>
      <c r="AR262" s="5" t="str">
        <f ca="1">IFERROR(__xludf.DUMMYFUNCTION("IF(AB262 = """", """", GOOGLETRANSLATE(AB262, ""en"", ""bn""))"),"শান্তি বজায় রাখুন")</f>
        <v>শান্তি বজায় রাখুন</v>
      </c>
      <c r="AU262" s="5" t="str">
        <f ca="1">IFERROR(__xludf.DUMMYFUNCTION("IF(Y262 = """", """", GOOGLETRANSLATE(Y262, ""en"", ""te""))"),"కుటుంబ చర్చలు వాగ్వాదాలకు దారితీయవచ్చు")</f>
        <v>కుటుంబ చర్చలు వాగ్వాదాలకు దారితీయవచ్చు</v>
      </c>
      <c r="AV262" s="5" t="str">
        <f ca="1">IFERROR(__xludf.DUMMYFUNCTION("IF(Z262 = """", """", GOOGLETRANSLATE(Z262, ""en"", ""te""))"),"ప్రశాంతంగా ఉండు")</f>
        <v>ప్రశాంతంగా ఉండు</v>
      </c>
      <c r="AW262" s="5" t="str">
        <f ca="1">IFERROR(__xludf.DUMMYFUNCTION("IF(AA262 = """", """", GOOGLETRANSLATE(AA262, ""en"", ""te""))"),"అతిగా స్పందించడం మానుకోండి")</f>
        <v>అతిగా స్పందించడం మానుకోండి</v>
      </c>
      <c r="AX262" s="5" t="str">
        <f ca="1">IFERROR(__xludf.DUMMYFUNCTION("IF(AB262 = """", """", GOOGLETRANSLATE(AB262, ""en"", ""te""))"),"శాంతిని కాపాడుకోండి")</f>
        <v>శాంతిని కాపాడుకోండి</v>
      </c>
    </row>
    <row r="263" spans="1:50" x14ac:dyDescent="0.25">
      <c r="A263" s="1">
        <v>278</v>
      </c>
      <c r="B263" s="1" t="s">
        <v>56</v>
      </c>
      <c r="C263" s="2">
        <v>45843</v>
      </c>
      <c r="D263" s="2">
        <v>45843</v>
      </c>
      <c r="E263" s="1">
        <v>14</v>
      </c>
      <c r="F263" s="1">
        <v>1</v>
      </c>
      <c r="G263" s="3" t="s">
        <v>735</v>
      </c>
      <c r="H263" s="4">
        <v>1.0069444444444445E-2</v>
      </c>
      <c r="I263" s="4">
        <v>6.0185185185185185E-3</v>
      </c>
      <c r="J263" s="4">
        <v>1.0069444444444445E-2</v>
      </c>
      <c r="K263" s="1"/>
      <c r="L263" s="1" t="s">
        <v>137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 t="str">
        <f ca="1">IFERROR(__xludf.DUMMYFUNCTION("IF(Y263 = """", """", GOOGLETRANSLATE(Y263, ""en"", ""hi""))
"),"")</f>
        <v/>
      </c>
      <c r="AD263" s="5" t="str">
        <f ca="1">IFERROR(__xludf.DUMMYFUNCTION("IF(Z263 = """", """", GOOGLETRANSLATE(Z263, ""en"", ""hi""))"),"")</f>
        <v/>
      </c>
      <c r="AE263" s="5" t="str">
        <f ca="1">IFERROR(__xludf.DUMMYFUNCTION("IF(AA263 = """", """", GOOGLETRANSLATE(AA263, ""en"", ""hi""))"),"")</f>
        <v/>
      </c>
      <c r="AF263" s="5" t="str">
        <f ca="1">IFERROR(__xludf.DUMMYFUNCTION("IF(AB263 = """", """", GOOGLETRANSLATE(AB263, ""en"", ""hi""))"),"")</f>
        <v/>
      </c>
      <c r="AG263" s="5" t="str">
        <f ca="1">IFERROR(__xludf.DUMMYFUNCTION("IF(Y263 = """", """", GOOGLETRANSLATE(Y263, ""en"", ""mr""))"),"")</f>
        <v/>
      </c>
      <c r="AH263" s="5" t="str">
        <f ca="1">IFERROR(__xludf.DUMMYFUNCTION("IF(Z263 = """", """", GOOGLETRANSLATE(Z263, ""en"", ""mr""))"),"")</f>
        <v/>
      </c>
      <c r="AI263" s="5" t="str">
        <f ca="1">IFERROR(__xludf.DUMMYFUNCTION("IF(AA263 = """", """", GOOGLETRANSLATE(AA263, ""en"", ""mr""))"),"")</f>
        <v/>
      </c>
      <c r="AJ263" s="5" t="str">
        <f ca="1">IFERROR(__xludf.DUMMYFUNCTION("IF(AB263 = """", """", GOOGLETRANSLATE(AB263, ""en"", ""mr""))"),"")</f>
        <v/>
      </c>
      <c r="AK263" s="5" t="str">
        <f ca="1">IFERROR(__xludf.DUMMYFUNCTION("IF(Y263 = """", """", GOOGLETRANSLATE(Y263, ""en"", ""gu""))"),"")</f>
        <v/>
      </c>
      <c r="AL263" s="5" t="str">
        <f ca="1">IFERROR(__xludf.DUMMYFUNCTION("IF(Z263 = """", """", GOOGLETRANSLATE(Z263, ""en"", ""gu""))"),"")</f>
        <v/>
      </c>
      <c r="AM263" s="5" t="str">
        <f ca="1">IFERROR(__xludf.DUMMYFUNCTION("IF(AA263 = """", """", GOOGLETRANSLATE(AA263, ""en"", ""gu""))"),"")</f>
        <v/>
      </c>
      <c r="AN263" s="5" t="str">
        <f ca="1">IFERROR(__xludf.DUMMYFUNCTION("IF(AB263 = """", """", GOOGLETRANSLATE(AB263, ""en"", ""gu""))"),"")</f>
        <v/>
      </c>
      <c r="AO263" s="5" t="str">
        <f ca="1">IFERROR(__xludf.DUMMYFUNCTION("IF(Y263 = """", """", GOOGLETRANSLATE(Y263, ""en"", ""bn""))"),"")</f>
        <v/>
      </c>
      <c r="AP263" s="5" t="str">
        <f ca="1">IFERROR(__xludf.DUMMYFUNCTION("IF(Z263 = """", """", GOOGLETRANSLATE(Z263, ""en"", ""bn""))"),"")</f>
        <v/>
      </c>
      <c r="AQ263" s="5" t="str">
        <f ca="1">IFERROR(__xludf.DUMMYFUNCTION("IF(AA263 = """", """", GOOGLETRANSLATE(AA263, ""en"", ""bn""))"),"")</f>
        <v/>
      </c>
      <c r="AR263" s="5" t="str">
        <f ca="1">IFERROR(__xludf.DUMMYFUNCTION("IF(AB263 = """", """", GOOGLETRANSLATE(AB263, ""en"", ""bn""))"),"")</f>
        <v/>
      </c>
      <c r="AU263" s="5" t="str">
        <f ca="1">IFERROR(__xludf.DUMMYFUNCTION("IF(Y263 = """", """", GOOGLETRANSLATE(Y263, ""en"", ""te""))"),"")</f>
        <v/>
      </c>
      <c r="AV263" s="5" t="str">
        <f ca="1">IFERROR(__xludf.DUMMYFUNCTION("IF(Z263 = """", """", GOOGLETRANSLATE(Z263, ""en"", ""te""))"),"")</f>
        <v/>
      </c>
      <c r="AW263" s="5" t="str">
        <f ca="1">IFERROR(__xludf.DUMMYFUNCTION("IF(AA263 = """", """", GOOGLETRANSLATE(AA263, ""en"", ""te""))"),"")</f>
        <v/>
      </c>
      <c r="AX263" s="5" t="str">
        <f ca="1">IFERROR(__xludf.DUMMYFUNCTION("IF(AB263 = """", """", GOOGLETRANSLATE(AB263, ""en"", ""te""))"),"")</f>
        <v/>
      </c>
    </row>
    <row r="264" spans="1:50" x14ac:dyDescent="0.25">
      <c r="A264" s="1">
        <v>279</v>
      </c>
      <c r="B264" s="1" t="s">
        <v>56</v>
      </c>
      <c r="C264" s="2">
        <v>45844</v>
      </c>
      <c r="D264" s="2">
        <v>45844</v>
      </c>
      <c r="E264" s="1">
        <v>1</v>
      </c>
      <c r="F264" s="1">
        <v>1</v>
      </c>
      <c r="G264" s="3" t="s">
        <v>773</v>
      </c>
      <c r="H264" s="4">
        <v>7.3495370370370372E-3</v>
      </c>
      <c r="I264" s="4">
        <v>0</v>
      </c>
      <c r="J264" s="4">
        <v>8.9120370370370373E-4</v>
      </c>
      <c r="K264" s="1"/>
      <c r="L264" s="1" t="s">
        <v>59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 t="str">
        <f ca="1">IFERROR(__xludf.DUMMYFUNCTION("IF(Y264 = """", """", GOOGLETRANSLATE(Y264, ""en"", ""hi""))
"),"")</f>
        <v/>
      </c>
      <c r="AD264" s="5" t="str">
        <f ca="1">IFERROR(__xludf.DUMMYFUNCTION("IF(Z264 = """", """", GOOGLETRANSLATE(Z264, ""en"", ""hi""))"),"")</f>
        <v/>
      </c>
      <c r="AE264" s="5" t="str">
        <f ca="1">IFERROR(__xludf.DUMMYFUNCTION("IF(AA264 = """", """", GOOGLETRANSLATE(AA264, ""en"", ""hi""))"),"")</f>
        <v/>
      </c>
      <c r="AF264" s="5" t="str">
        <f ca="1">IFERROR(__xludf.DUMMYFUNCTION("IF(AB264 = """", """", GOOGLETRANSLATE(AB264, ""en"", ""hi""))"),"")</f>
        <v/>
      </c>
      <c r="AG264" s="5" t="str">
        <f ca="1">IFERROR(__xludf.DUMMYFUNCTION("IF(Y264 = """", """", GOOGLETRANSLATE(Y264, ""en"", ""mr""))"),"")</f>
        <v/>
      </c>
      <c r="AH264" s="5" t="str">
        <f ca="1">IFERROR(__xludf.DUMMYFUNCTION("IF(Z264 = """", """", GOOGLETRANSLATE(Z264, ""en"", ""mr""))"),"")</f>
        <v/>
      </c>
      <c r="AI264" s="5" t="str">
        <f ca="1">IFERROR(__xludf.DUMMYFUNCTION("IF(AA264 = """", """", GOOGLETRANSLATE(AA264, ""en"", ""mr""))"),"")</f>
        <v/>
      </c>
      <c r="AJ264" s="5" t="str">
        <f ca="1">IFERROR(__xludf.DUMMYFUNCTION("IF(AB264 = """", """", GOOGLETRANSLATE(AB264, ""en"", ""mr""))"),"")</f>
        <v/>
      </c>
      <c r="AK264" s="5" t="str">
        <f ca="1">IFERROR(__xludf.DUMMYFUNCTION("IF(Y264 = """", """", GOOGLETRANSLATE(Y264, ""en"", ""gu""))"),"")</f>
        <v/>
      </c>
      <c r="AL264" s="5" t="str">
        <f ca="1">IFERROR(__xludf.DUMMYFUNCTION("IF(Z264 = """", """", GOOGLETRANSLATE(Z264, ""en"", ""gu""))"),"")</f>
        <v/>
      </c>
      <c r="AM264" s="5" t="str">
        <f ca="1">IFERROR(__xludf.DUMMYFUNCTION("IF(AA264 = """", """", GOOGLETRANSLATE(AA264, ""en"", ""gu""))"),"")</f>
        <v/>
      </c>
      <c r="AN264" s="5" t="str">
        <f ca="1">IFERROR(__xludf.DUMMYFUNCTION("IF(AB264 = """", """", GOOGLETRANSLATE(AB264, ""en"", ""gu""))"),"")</f>
        <v/>
      </c>
      <c r="AO264" s="5" t="str">
        <f ca="1">IFERROR(__xludf.DUMMYFUNCTION("IF(Y264 = """", """", GOOGLETRANSLATE(Y264, ""en"", ""bn""))"),"")</f>
        <v/>
      </c>
      <c r="AP264" s="5" t="str">
        <f ca="1">IFERROR(__xludf.DUMMYFUNCTION("IF(Z264 = """", """", GOOGLETRANSLATE(Z264, ""en"", ""bn""))"),"")</f>
        <v/>
      </c>
      <c r="AQ264" s="5" t="str">
        <f ca="1">IFERROR(__xludf.DUMMYFUNCTION("IF(AA264 = """", """", GOOGLETRANSLATE(AA264, ""en"", ""bn""))"),"")</f>
        <v/>
      </c>
      <c r="AR264" s="5" t="str">
        <f ca="1">IFERROR(__xludf.DUMMYFUNCTION("IF(AB264 = """", """", GOOGLETRANSLATE(AB264, ""en"", ""bn""))"),"")</f>
        <v/>
      </c>
      <c r="AU264" s="5" t="str">
        <f ca="1">IFERROR(__xludf.DUMMYFUNCTION("IF(Y264 = """", """", GOOGLETRANSLATE(Y264, ""en"", ""te""))"),"")</f>
        <v/>
      </c>
      <c r="AV264" s="5" t="str">
        <f ca="1">IFERROR(__xludf.DUMMYFUNCTION("IF(Z264 = """", """", GOOGLETRANSLATE(Z264, ""en"", ""te""))"),"")</f>
        <v/>
      </c>
      <c r="AW264" s="5" t="str">
        <f ca="1">IFERROR(__xludf.DUMMYFUNCTION("IF(AA264 = """", """", GOOGLETRANSLATE(AA264, ""en"", ""te""))"),"")</f>
        <v/>
      </c>
      <c r="AX264" s="5" t="str">
        <f ca="1">IFERROR(__xludf.DUMMYFUNCTION("IF(AB264 = """", """", GOOGLETRANSLATE(AB264, ""en"", ""te""))"),"")</f>
        <v/>
      </c>
    </row>
    <row r="265" spans="1:50" x14ac:dyDescent="0.25">
      <c r="A265" s="1">
        <v>280</v>
      </c>
      <c r="B265" s="1" t="s">
        <v>56</v>
      </c>
      <c r="C265" s="2">
        <v>45844</v>
      </c>
      <c r="D265" s="2">
        <v>45844</v>
      </c>
      <c r="E265" s="1">
        <v>2</v>
      </c>
      <c r="F265" s="1">
        <v>1</v>
      </c>
      <c r="G265" s="3" t="s">
        <v>773</v>
      </c>
      <c r="H265" s="4">
        <v>7.3495370370370372E-3</v>
      </c>
      <c r="I265" s="4">
        <v>8.9120370370370373E-4</v>
      </c>
      <c r="J265" s="4">
        <v>1.6898148148148148E-3</v>
      </c>
      <c r="K265" s="1"/>
      <c r="L265" s="1" t="s">
        <v>142</v>
      </c>
      <c r="M265" s="1"/>
      <c r="N265" s="1"/>
      <c r="O265" s="1" t="s">
        <v>91</v>
      </c>
      <c r="P265" s="1" t="s">
        <v>61</v>
      </c>
      <c r="Q265" s="1" t="s">
        <v>61</v>
      </c>
      <c r="R265" s="1" t="s">
        <v>61</v>
      </c>
      <c r="S265" s="1" t="s">
        <v>61</v>
      </c>
      <c r="T265" s="1" t="s">
        <v>61</v>
      </c>
      <c r="U265" s="1" t="s">
        <v>61</v>
      </c>
      <c r="V265" s="1" t="s">
        <v>91</v>
      </c>
      <c r="W265" s="1" t="s">
        <v>61</v>
      </c>
      <c r="X265" s="1" t="s">
        <v>61</v>
      </c>
      <c r="Y265" s="1" t="s">
        <v>774</v>
      </c>
      <c r="Z265" s="1" t="s">
        <v>775</v>
      </c>
      <c r="AA265" s="1" t="s">
        <v>776</v>
      </c>
      <c r="AB265" s="1" t="s">
        <v>777</v>
      </c>
      <c r="AC265" s="5" t="str">
        <f ca="1">IFERROR(__xludf.DUMMYFUNCTION("IF(Y265 = """", """", GOOGLETRANSLATE(Y265, ""en"", ""hi""))
"),"केतु के प्रभाव से स्वास्थ्य संबंधी चेतावनी")</f>
        <v>केतु के प्रभाव से स्वास्थ्य संबंधी चेतावनी</v>
      </c>
      <c r="AD265" s="5" t="str">
        <f ca="1">IFERROR(__xludf.DUMMYFUNCTION("IF(Z265 = """", """", GOOGLETRANSLATE(Z265, ""en"", ""hi""))"),"शारीरिक समस्याओं को नज़रअंदाज़ न करें")</f>
        <v>शारीरिक समस्याओं को नज़रअंदाज़ न करें</v>
      </c>
      <c r="AE265" s="5" t="str">
        <f ca="1">IFERROR(__xludf.DUMMYFUNCTION("IF(AA265 = """", """", GOOGLETRANSLATE(AA265, ""en"", ""hi""))"),"व्यस्त दिन और कुछ योजनाएँ बदल सकती हैं या स्थगित हो सकती हैं")</f>
        <v>व्यस्त दिन और कुछ योजनाएँ बदल सकती हैं या स्थगित हो सकती हैं</v>
      </c>
      <c r="AF265" s="5" t="str">
        <f ca="1">IFERROR(__xludf.DUMMYFUNCTION("IF(AB265 = """", """", GOOGLETRANSLATE(AB265, ""en"", ""hi""))"),"लंबित कार्य समाप्त हो जाते हैं और पूरा होने के बाद आराम भी महसूस होता है")</f>
        <v>लंबित कार्य समाप्त हो जाते हैं और पूरा होने के बाद आराम भी महसूस होता है</v>
      </c>
      <c r="AG265" s="5" t="str">
        <f ca="1">IFERROR(__xludf.DUMMYFUNCTION("IF(Y265 = """", """", GOOGLETRANSLATE(Y265, ""en"", ""mr""))"),"केतू प्रभावामुळे आरोग्य सावधान")</f>
        <v>केतू प्रभावामुळे आरोग्य सावधान</v>
      </c>
      <c r="AH265" s="5" t="str">
        <f ca="1">IFERROR(__xludf.DUMMYFUNCTION("IF(Z265 = """", """", GOOGLETRANSLATE(Z265, ""en"", ""mr""))"),"शारीरिक समस्यांकडे दुर्लक्ष करू नका")</f>
        <v>शारीरिक समस्यांकडे दुर्लक्ष करू नका</v>
      </c>
      <c r="AI265" s="5" t="str">
        <f ca="1">IFERROR(__xludf.DUMMYFUNCTION("IF(AA265 = """", """", GOOGLETRANSLATE(AA265, ""en"", ""mr""))"),"व्यस्त दिवस आणि काही योजना बदलू शकतात किंवा पुढे ढकलू शकतात")</f>
        <v>व्यस्त दिवस आणि काही योजना बदलू शकतात किंवा पुढे ढकलू शकतात</v>
      </c>
      <c r="AJ265" s="5" t="str">
        <f ca="1">IFERROR(__xludf.DUMMYFUNCTION("IF(AB265 = """", """", GOOGLETRANSLATE(AB265, ""en"", ""mr""))"),"प्रलंबित कामे संपतात आणि पूर्ण झाल्यानंतर आरामही वाटतो")</f>
        <v>प्रलंबित कामे संपतात आणि पूर्ण झाल्यानंतर आरामही वाटतो</v>
      </c>
      <c r="AK265" s="5" t="str">
        <f ca="1">IFERROR(__xludf.DUMMYFUNCTION("IF(Y265 = """", """", GOOGLETRANSLATE(Y265, ""en"", ""gu""))"),"કેતુની અસરને કારણે સ્વાસ્થ્ય ચેતવણી")</f>
        <v>કેતુની અસરને કારણે સ્વાસ્થ્ય ચેતવણી</v>
      </c>
      <c r="AL265" s="5" t="str">
        <f ca="1">IFERROR(__xludf.DUMMYFUNCTION("IF(Z265 = """", """", GOOGLETRANSLATE(Z265, ""en"", ""gu""))"),"શારીરિક સમસ્યાઓને અવગણશો નહીં")</f>
        <v>શારીરિક સમસ્યાઓને અવગણશો નહીં</v>
      </c>
      <c r="AM265" s="5" t="str">
        <f ca="1">IFERROR(__xludf.DUMMYFUNCTION("IF(AA265 = """", """", GOOGLETRANSLATE(AA265, ""en"", ""gu""))"),"વ્યસ્ત દિવસ અને કેટલીક યોજનાઓ બદલાઈ શકે છે અથવા મુલતવી શકે છે")</f>
        <v>વ્યસ્ત દિવસ અને કેટલીક યોજનાઓ બદલાઈ શકે છે અથવા મુલતવી શકે છે</v>
      </c>
      <c r="AN265" s="5" t="str">
        <f ca="1">IFERROR(__xludf.DUMMYFUNCTION("IF(AB265 = """", """", GOOGLETRANSLATE(AB265, ""en"", ""gu""))"),"પેન્ડિંગ કાર્યો પૂરા થાય અને પૂરા થયા પછી આરામનો અનુભવ થાય")</f>
        <v>પેન્ડિંગ કાર્યો પૂરા થાય અને પૂરા થયા પછી આરામનો અનુભવ થાય</v>
      </c>
      <c r="AO265" s="5" t="str">
        <f ca="1">IFERROR(__xludf.DUMMYFUNCTION("IF(Y265 = """", """", GOOGLETRANSLATE(Y265, ""en"", ""bn""))"),"কেতু প্রভাবের কারণে স্বাস্থ্য সতর্কতা")</f>
        <v>কেতু প্রভাবের কারণে স্বাস্থ্য সতর্কতা</v>
      </c>
      <c r="AP265" s="5" t="str">
        <f ca="1">IFERROR(__xludf.DUMMYFUNCTION("IF(Z265 = """", """", GOOGLETRANSLATE(Z265, ""en"", ""bn""))"),"শারীরিক সমস্যা অবহেলা করবেন না")</f>
        <v>শারীরিক সমস্যা অবহেলা করবেন না</v>
      </c>
      <c r="AQ265" s="5" t="str">
        <f ca="1">IFERROR(__xludf.DUMMYFUNCTION("IF(AA265 = """", """", GOOGLETRANSLATE(AA265, ""en"", ""bn""))"),"ব্যস্ত দিন এবং কিছু পরিকল্পনা পরিবর্তন বা স্থগিত হতে পারে")</f>
        <v>ব্যস্ত দিন এবং কিছু পরিকল্পনা পরিবর্তন বা স্থগিত হতে পারে</v>
      </c>
      <c r="AR265" s="5" t="str">
        <f ca="1">IFERROR(__xludf.DUMMYFUNCTION("IF(AB265 = """", """", GOOGLETRANSLATE(AB265, ""en"", ""bn""))"),"অমীমাংসিত কাজগুলি শেষ হয় এবং সমাপ্তির পরে স্বস্তি বোধ করে")</f>
        <v>অমীমাংসিত কাজগুলি শেষ হয় এবং সমাপ্তির পরে স্বস্তি বোধ করে</v>
      </c>
      <c r="AU265" s="5" t="str">
        <f ca="1">IFERROR(__xludf.DUMMYFUNCTION("IF(Y265 = """", """", GOOGLETRANSLATE(Y265, ""en"", ""te""))"),"కేతువు ప్రభావం వల్ల ఆరోగ్యం అలర్ట్")</f>
        <v>కేతువు ప్రభావం వల్ల ఆరోగ్యం అలర్ట్</v>
      </c>
      <c r="AV265" s="5" t="str">
        <f ca="1">IFERROR(__xludf.DUMMYFUNCTION("IF(Z265 = """", """", GOOGLETRANSLATE(Z265, ""en"", ""te""))"),"శారీరక సమస్యలను విస్మరించవద్దు")</f>
        <v>శారీరక సమస్యలను విస్మరించవద్దు</v>
      </c>
      <c r="AW265" s="5" t="str">
        <f ca="1">IFERROR(__xludf.DUMMYFUNCTION("IF(AA265 = """", """", GOOGLETRANSLATE(AA265, ""en"", ""te""))"),"బిజీగా ఉండే రోజు మరియు కొన్ని ప్రణాళికలు మారవచ్చు లేదా వాయిదా వేయవచ్చు")</f>
        <v>బిజీగా ఉండే రోజు మరియు కొన్ని ప్రణాళికలు మారవచ్చు లేదా వాయిదా వేయవచ్చు</v>
      </c>
      <c r="AX265" s="5" t="str">
        <f ca="1">IFERROR(__xludf.DUMMYFUNCTION("IF(AB265 = """", """", GOOGLETRANSLATE(AB265, ""en"", ""te""))"),"పెండింగ్‌లో ఉన్న పనులు ముగుస్తాయి మరియు పూర్తయిన తర్వాత రిలాక్స్‌గా ఉంటాయి")</f>
        <v>పెండింగ్‌లో ఉన్న పనులు ముగుస్తాయి మరియు పూర్తయిన తర్వాత రిలాక్స్‌గా ఉంటాయి</v>
      </c>
    </row>
    <row r="266" spans="1:50" x14ac:dyDescent="0.25">
      <c r="A266" s="1">
        <v>281</v>
      </c>
      <c r="B266" s="1" t="s">
        <v>56</v>
      </c>
      <c r="C266" s="2">
        <v>45844</v>
      </c>
      <c r="D266" s="2">
        <v>45844</v>
      </c>
      <c r="E266" s="1">
        <v>3</v>
      </c>
      <c r="F266" s="1">
        <v>1</v>
      </c>
      <c r="G266" s="3" t="s">
        <v>773</v>
      </c>
      <c r="H266" s="4">
        <v>7.3495370370370372E-3</v>
      </c>
      <c r="I266" s="4">
        <v>1.6898148148148148E-3</v>
      </c>
      <c r="J266" s="4">
        <v>2.3842592592592591E-3</v>
      </c>
      <c r="K266" s="1"/>
      <c r="L266" s="1" t="s">
        <v>90</v>
      </c>
      <c r="M266" s="1"/>
      <c r="N266" s="1"/>
      <c r="O266" s="1" t="s">
        <v>91</v>
      </c>
      <c r="P266" s="1" t="s">
        <v>61</v>
      </c>
      <c r="Q266" s="1" t="s">
        <v>61</v>
      </c>
      <c r="R266" s="1" t="s">
        <v>61</v>
      </c>
      <c r="S266" s="1" t="s">
        <v>61</v>
      </c>
      <c r="T266" s="1" t="s">
        <v>61</v>
      </c>
      <c r="U266" s="1" t="s">
        <v>61</v>
      </c>
      <c r="V266" s="1" t="s">
        <v>61</v>
      </c>
      <c r="W266" s="1" t="s">
        <v>61</v>
      </c>
      <c r="X266" s="1" t="s">
        <v>91</v>
      </c>
      <c r="Y266" s="1" t="s">
        <v>778</v>
      </c>
      <c r="Z266" s="1" t="s">
        <v>779</v>
      </c>
      <c r="AA266" s="1" t="s">
        <v>502</v>
      </c>
      <c r="AB266" s="1" t="s">
        <v>780</v>
      </c>
      <c r="AC266" s="5" t="str">
        <f ca="1">IFERROR(__xludf.DUMMYFUNCTION("IF(Y266 = """", """", GOOGLETRANSLATE(Y266, ""en"", ""hi""))
"),"भारी खर्च संभव")</f>
        <v>भारी खर्च संभव</v>
      </c>
      <c r="AD266" s="5" t="str">
        <f ca="1">IFERROR(__xludf.DUMMYFUNCTION("IF(Z266 = """", """", GOOGLETRANSLATE(Z266, ""en"", ""hi""))"),"आगे अतिरिक्त कार्यभार")</f>
        <v>आगे अतिरिक्त कार्यभार</v>
      </c>
      <c r="AE266" s="5" t="str">
        <f ca="1">IFERROR(__xludf.DUMMYFUNCTION("IF(AA266 = """", """", GOOGLETRANSLATE(AA266, ""en"", ""hi""))"),"उपयोगी दिन")</f>
        <v>उपयोगी दिन</v>
      </c>
      <c r="AF266" s="5" t="str">
        <f ca="1">IFERROR(__xludf.DUMMYFUNCTION("IF(AB266 = """", """", GOOGLETRANSLATE(AB266, ""en"", ""hi""))"),"तनाव से भी बचें, वाहन सावधानी से चलाएं")</f>
        <v>तनाव से भी बचें, वाहन सावधानी से चलाएं</v>
      </c>
      <c r="AG266" s="5" t="str">
        <f ca="1">IFERROR(__xludf.DUMMYFUNCTION("IF(Y266 = """", """", GOOGLETRANSLATE(Y266, ""en"", ""mr""))"),"मोठा खर्च संभवतो")</f>
        <v>मोठा खर्च संभवतो</v>
      </c>
      <c r="AH266" s="5" t="str">
        <f ca="1">IFERROR(__xludf.DUMMYFUNCTION("IF(Z266 = """", """", GOOGLETRANSLATE(Z266, ""en"", ""mr""))"),"पुढे कामाचा अतिरिक्त ताण")</f>
        <v>पुढे कामाचा अतिरिक्त ताण</v>
      </c>
      <c r="AI266" s="5" t="str">
        <f ca="1">IFERROR(__xludf.DUMMYFUNCTION("IF(AA266 = """", """", GOOGLETRANSLATE(AA266, ""en"", ""mr""))"),"उत्पादक दिवस")</f>
        <v>उत्पादक दिवस</v>
      </c>
      <c r="AJ266" s="5" t="str">
        <f ca="1">IFERROR(__xludf.DUMMYFUNCTION("IF(AB266 = """", """", GOOGLETRANSLATE(AB266, ""en"", ""mr""))"),"तणाव टाळा तसेच काळजीपूर्वक वाहन चालवा")</f>
        <v>तणाव टाळा तसेच काळजीपूर्वक वाहन चालवा</v>
      </c>
      <c r="AK266" s="5" t="str">
        <f ca="1">IFERROR(__xludf.DUMMYFUNCTION("IF(Y266 = """", """", GOOGLETRANSLATE(Y266, ""en"", ""gu""))"),"ભારે ખર્ચ શક્ય છે")</f>
        <v>ભારે ખર્ચ શક્ય છે</v>
      </c>
      <c r="AL266" s="5" t="str">
        <f ca="1">IFERROR(__xludf.DUMMYFUNCTION("IF(Z266 = """", """", GOOGLETRANSLATE(Z266, ""en"", ""gu""))"),"આગળ વધારાનો વર્કલોડ")</f>
        <v>આગળ વધારાનો વર્કલોડ</v>
      </c>
      <c r="AM266" s="5" t="str">
        <f ca="1">IFERROR(__xludf.DUMMYFUNCTION("IF(AA266 = """", """", GOOGLETRANSLATE(AA266, ""en"", ""gu""))"),"ઉત્પાદક દિવસ")</f>
        <v>ઉત્પાદક દિવસ</v>
      </c>
      <c r="AN266" s="5" t="str">
        <f ca="1">IFERROR(__xludf.DUMMYFUNCTION("IF(AB266 = """", """", GOOGLETRANSLATE(AB266, ""en"", ""gu""))"),"તણાવ ટાળો પણ કાળજીપૂર્વક વાહન ચલાવો")</f>
        <v>તણાવ ટાળો પણ કાળજીપૂર્વક વાહન ચલાવો</v>
      </c>
      <c r="AO266" s="5" t="str">
        <f ca="1">IFERROR(__xludf.DUMMYFUNCTION("IF(Y266 = """", """", GOOGLETRANSLATE(Y266, ""en"", ""bn""))"),"ভারী খরচ সম্ভব")</f>
        <v>ভারী খরচ সম্ভব</v>
      </c>
      <c r="AP266" s="5" t="str">
        <f ca="1">IFERROR(__xludf.DUMMYFUNCTION("IF(Z266 = """", """", GOOGLETRANSLATE(Z266, ""en"", ""bn""))"),"সামনে অতিরিক্ত কাজের চাপ")</f>
        <v>সামনে অতিরিক্ত কাজের চাপ</v>
      </c>
      <c r="AQ266" s="5" t="str">
        <f ca="1">IFERROR(__xludf.DUMMYFUNCTION("IF(AA266 = """", """", GOOGLETRANSLATE(AA266, ""en"", ""bn""))"),"উৎপাদনশীল দিন")</f>
        <v>উৎপাদনশীল দিন</v>
      </c>
      <c r="AR266" s="5" t="str">
        <f ca="1">IFERROR(__xludf.DUMMYFUNCTION("IF(AB266 = """", """", GOOGLETRANSLATE(AB266, ""en"", ""bn""))"),"মানসিক চাপ এড়িয়ে সাবধানে গাড়ি চালান")</f>
        <v>মানসিক চাপ এড়িয়ে সাবধানে গাড়ি চালান</v>
      </c>
      <c r="AU266" s="5" t="str">
        <f ca="1">IFERROR(__xludf.DUMMYFUNCTION("IF(Y266 = """", """", GOOGLETRANSLATE(Y266, ""en"", ""te""))"),"భారీ ఖర్చులు సాధ్యమే")</f>
        <v>భారీ ఖర్చులు సాధ్యమే</v>
      </c>
      <c r="AV266" s="5" t="str">
        <f ca="1">IFERROR(__xludf.DUMMYFUNCTION("IF(Z266 = """", """", GOOGLETRANSLATE(Z266, ""en"", ""te""))"),"ముందుకు అదనపు పనిభారం")</f>
        <v>ముందుకు అదనపు పనిభారం</v>
      </c>
      <c r="AW266" s="5" t="str">
        <f ca="1">IFERROR(__xludf.DUMMYFUNCTION("IF(AA266 = """", """", GOOGLETRANSLATE(AA266, ""en"", ""te""))"),"ఉత్పాదక రోజు")</f>
        <v>ఉత్పాదక రోజు</v>
      </c>
      <c r="AX266" s="5" t="str">
        <f ca="1">IFERROR(__xludf.DUMMYFUNCTION("IF(AB266 = """", """", GOOGLETRANSLATE(AB266, ""en"", ""te""))"),"ఒత్తిడిని నివారించండి కూడా జాగ్రత్తగా డ్రైవ్ చేయండి")</f>
        <v>ఒత్తిడిని నివారించండి కూడా జాగ్రత్తగా డ్రైవ్ చేయండి</v>
      </c>
    </row>
    <row r="267" spans="1:50" x14ac:dyDescent="0.25">
      <c r="A267" s="1">
        <v>282</v>
      </c>
      <c r="B267" s="1" t="s">
        <v>56</v>
      </c>
      <c r="C267" s="2">
        <v>45844</v>
      </c>
      <c r="D267" s="2">
        <v>45844</v>
      </c>
      <c r="E267" s="1">
        <v>4</v>
      </c>
      <c r="F267" s="1">
        <v>1</v>
      </c>
      <c r="G267" s="3" t="s">
        <v>773</v>
      </c>
      <c r="H267" s="4">
        <v>7.3495370370370372E-3</v>
      </c>
      <c r="I267" s="4">
        <v>2.3842592592592591E-3</v>
      </c>
      <c r="J267" s="4">
        <v>2.6967592592592594E-3</v>
      </c>
      <c r="K267" s="1"/>
      <c r="L267" s="1" t="s">
        <v>97</v>
      </c>
      <c r="M267" s="1"/>
      <c r="N267" s="1"/>
      <c r="O267" s="1" t="s">
        <v>91</v>
      </c>
      <c r="P267" s="1" t="s">
        <v>61</v>
      </c>
      <c r="Q267" s="1" t="s">
        <v>61</v>
      </c>
      <c r="R267" s="1" t="s">
        <v>61</v>
      </c>
      <c r="S267" s="1" t="s">
        <v>61</v>
      </c>
      <c r="T267" s="1" t="s">
        <v>61</v>
      </c>
      <c r="U267" s="1" t="s">
        <v>61</v>
      </c>
      <c r="V267" s="1" t="s">
        <v>91</v>
      </c>
      <c r="W267" s="1" t="s">
        <v>61</v>
      </c>
      <c r="X267" s="1" t="s">
        <v>61</v>
      </c>
      <c r="Y267" s="1" t="s">
        <v>781</v>
      </c>
      <c r="Z267" s="1" t="s">
        <v>782</v>
      </c>
      <c r="AA267" s="1" t="s">
        <v>783</v>
      </c>
      <c r="AB267" s="1"/>
      <c r="AC267" s="5" t="str">
        <f ca="1">IFERROR(__xludf.DUMMYFUNCTION("IF(Y267 = """", """", GOOGLETRANSLATE(Y267, ""en"", ""hi""))
"),"बैकलॉग साफ़ करने के लिए बढ़िया")</f>
        <v>बैकलॉग साफ़ करने के लिए बढ़िया</v>
      </c>
      <c r="AD267" s="5" t="str">
        <f ca="1">IFERROR(__xludf.DUMMYFUNCTION("IF(Z267 = """", """", GOOGLETRANSLATE(Z267, ""en"", ""hi""))"),"धार्मिक या पारिवारिक कार्यक्रम की योजना बनाना")</f>
        <v>धार्मिक या पारिवारिक कार्यक्रम की योजना बनाना</v>
      </c>
      <c r="AE267" s="5" t="str">
        <f ca="1">IFERROR(__xludf.DUMMYFUNCTION("IF(AA267 = """", """", GOOGLETRANSLATE(AA267, ""en"", ""hi""))"),"आरामदायक और खुशहाल रविवार")</f>
        <v>आरामदायक और खुशहाल रविवार</v>
      </c>
      <c r="AF267" s="5" t="str">
        <f ca="1">IFERROR(__xludf.DUMMYFUNCTION("IF(AB267 = """", """", GOOGLETRANSLATE(AB267, ""en"", ""hi""))"),"")</f>
        <v/>
      </c>
      <c r="AG267" s="5" t="str">
        <f ca="1">IFERROR(__xludf.DUMMYFUNCTION("IF(Y267 = """", """", GOOGLETRANSLATE(Y267, ""en"", ""mr""))"),"अनुशेष साफ करण्यासाठी उत्तम")</f>
        <v>अनुशेष साफ करण्यासाठी उत्तम</v>
      </c>
      <c r="AH267" s="5" t="str">
        <f ca="1">IFERROR(__xludf.DUMMYFUNCTION("IF(Z267 = """", """", GOOGLETRANSLATE(Z267, ""en"", ""mr""))"),"धार्मिक किंवा कौटुंबिक कार्यक्रमाचे नियोजन")</f>
        <v>धार्मिक किंवा कौटुंबिक कार्यक्रमाचे नियोजन</v>
      </c>
      <c r="AI267" s="5" t="str">
        <f ca="1">IFERROR(__xludf.DUMMYFUNCTION("IF(AA267 = """", """", GOOGLETRANSLATE(AA267, ""en"", ""mr""))"),"आरामदायी आणि आनंदी रविवार")</f>
        <v>आरामदायी आणि आनंदी रविवार</v>
      </c>
      <c r="AJ267" s="5" t="str">
        <f ca="1">IFERROR(__xludf.DUMMYFUNCTION("IF(AB267 = """", """", GOOGLETRANSLATE(AB267, ""en"", ""mr""))"),"")</f>
        <v/>
      </c>
      <c r="AK267" s="5" t="str">
        <f ca="1">IFERROR(__xludf.DUMMYFUNCTION("IF(Y267 = """", """", GOOGLETRANSLATE(Y267, ""en"", ""gu""))"),"બેકલોગ સાફ કરવા માટે સરસ")</f>
        <v>બેકલોગ સાફ કરવા માટે સરસ</v>
      </c>
      <c r="AL267" s="5" t="str">
        <f ca="1">IFERROR(__xludf.DUMMYFUNCTION("IF(Z267 = """", """", GOOGLETRANSLATE(Z267, ""en"", ""gu""))"),"ધાર્મિક અથવા પારિવારિક પ્રસંગનું આયોજન")</f>
        <v>ધાર્મિક અથવા પારિવારિક પ્રસંગનું આયોજન</v>
      </c>
      <c r="AM267" s="5" t="str">
        <f ca="1">IFERROR(__xludf.DUMMYFUNCTION("IF(AA267 = """", """", GOOGLETRANSLATE(AA267, ""en"", ""gu""))"),"આરામદાયક અને ખુશ રવિવાર")</f>
        <v>આરામદાયક અને ખુશ રવિવાર</v>
      </c>
      <c r="AN267" s="5" t="str">
        <f ca="1">IFERROR(__xludf.DUMMYFUNCTION("IF(AB267 = """", """", GOOGLETRANSLATE(AB267, ""en"", ""gu""))"),"")</f>
        <v/>
      </c>
      <c r="AO267" s="5" t="str">
        <f ca="1">IFERROR(__xludf.DUMMYFUNCTION("IF(Y267 = """", """", GOOGLETRANSLATE(Y267, ""en"", ""bn""))"),"ব্যাকলগ সাফ করার জন্য দুর্দান্ত")</f>
        <v>ব্যাকলগ সাফ করার জন্য দুর্দান্ত</v>
      </c>
      <c r="AP267" s="5" t="str">
        <f ca="1">IFERROR(__xludf.DUMMYFUNCTION("IF(Z267 = """", """", GOOGLETRANSLATE(Z267, ""en"", ""bn""))"),"ধর্মীয় বা পারিবারিক অনুষ্ঠানের পরিকল্পনা")</f>
        <v>ধর্মীয় বা পারিবারিক অনুষ্ঠানের পরিকল্পনা</v>
      </c>
      <c r="AQ267" s="5" t="str">
        <f ca="1">IFERROR(__xludf.DUMMYFUNCTION("IF(AA267 = """", """", GOOGLETRANSLATE(AA267, ""en"", ""bn""))"),"আরামদায়ক এবং খুশি রবিবার")</f>
        <v>আরামদায়ক এবং খুশি রবিবার</v>
      </c>
      <c r="AR267" s="5" t="str">
        <f ca="1">IFERROR(__xludf.DUMMYFUNCTION("IF(AB267 = """", """", GOOGLETRANSLATE(AB267, ""en"", ""bn""))"),"")</f>
        <v/>
      </c>
      <c r="AU267" s="5" t="str">
        <f ca="1">IFERROR(__xludf.DUMMYFUNCTION("IF(Y267 = """", """", GOOGLETRANSLATE(Y267, ""en"", ""te""))"),"బ్యాక్‌లాగ్‌ను క్లియర్ చేయడానికి గొప్పది")</f>
        <v>బ్యాక్‌లాగ్‌ను క్లియర్ చేయడానికి గొప్పది</v>
      </c>
      <c r="AV267" s="5" t="str">
        <f ca="1">IFERROR(__xludf.DUMMYFUNCTION("IF(Z267 = """", """", GOOGLETRANSLATE(Z267, ""en"", ""te""))"),"మతపరమైన లేదా కుటుంబ కార్యక్రమాల ప్రణాళిక")</f>
        <v>మతపరమైన లేదా కుటుంబ కార్యక్రమాల ప్రణాళిక</v>
      </c>
      <c r="AW267" s="5" t="str">
        <f ca="1">IFERROR(__xludf.DUMMYFUNCTION("IF(AA267 = """", """", GOOGLETRANSLATE(AA267, ""en"", ""te""))"),"రిలాక్సింగ్ మరియు హ్యాపీ ఆదివారం")</f>
        <v>రిలాక్సింగ్ మరియు హ్యాపీ ఆదివారం</v>
      </c>
      <c r="AX267" s="5" t="str">
        <f ca="1">IFERROR(__xludf.DUMMYFUNCTION("IF(AB267 = """", """", GOOGLETRANSLATE(AB267, ""en"", ""te""))"),"")</f>
        <v/>
      </c>
    </row>
    <row r="268" spans="1:50" x14ac:dyDescent="0.25">
      <c r="A268" s="1">
        <v>283</v>
      </c>
      <c r="B268" s="1" t="s">
        <v>56</v>
      </c>
      <c r="C268" s="2">
        <v>45844</v>
      </c>
      <c r="D268" s="2">
        <v>45844</v>
      </c>
      <c r="E268" s="1">
        <v>5</v>
      </c>
      <c r="F268" s="1">
        <v>1</v>
      </c>
      <c r="G268" s="3" t="s">
        <v>773</v>
      </c>
      <c r="H268" s="4">
        <v>7.3495370370370372E-3</v>
      </c>
      <c r="I268" s="4">
        <v>2.6967592592592594E-3</v>
      </c>
      <c r="J268" s="4">
        <v>3.1597222222222222E-3</v>
      </c>
      <c r="K268" s="1"/>
      <c r="L268" s="1" t="s">
        <v>102</v>
      </c>
      <c r="M268" s="1"/>
      <c r="N268" s="1"/>
      <c r="O268" s="1" t="s">
        <v>61</v>
      </c>
      <c r="P268" s="1" t="s">
        <v>61</v>
      </c>
      <c r="Q268" s="1" t="s">
        <v>61</v>
      </c>
      <c r="R268" s="1" t="s">
        <v>61</v>
      </c>
      <c r="S268" s="1" t="s">
        <v>61</v>
      </c>
      <c r="T268" s="1" t="s">
        <v>91</v>
      </c>
      <c r="U268" s="1" t="s">
        <v>61</v>
      </c>
      <c r="V268" s="1" t="s">
        <v>61</v>
      </c>
      <c r="W268" s="1" t="s">
        <v>91</v>
      </c>
      <c r="X268" s="1" t="s">
        <v>61</v>
      </c>
      <c r="Y268" s="1" t="s">
        <v>784</v>
      </c>
      <c r="Z268" s="1" t="s">
        <v>785</v>
      </c>
      <c r="AA268" s="1" t="s">
        <v>786</v>
      </c>
      <c r="AB268" s="1"/>
      <c r="AC268" s="5" t="str">
        <f ca="1">IFERROR(__xludf.DUMMYFUNCTION("IF(Y268 = """", """", GOOGLETRANSLATE(Y268, ""en"", ""hi""))
"),"भावनात्मक तनाव संभव")</f>
        <v>भावनात्मक तनाव संभव</v>
      </c>
      <c r="AD268" s="5" t="str">
        <f ca="1">IFERROR(__xludf.DUMMYFUNCTION("IF(Z268 = """", """", GOOGLETRANSLATE(Z268, ""en"", ""hi""))"),"अनावश्यक चर्चा या बहस से बचें")</f>
        <v>अनावश्यक चर्चा या बहस से बचें</v>
      </c>
      <c r="AE268" s="5" t="str">
        <f ca="1">IFERROR(__xludf.DUMMYFUNCTION("IF(AA268 = """", """", GOOGLETRANSLATE(AA268, ""en"", ""hi""))"),"परिवार के साथ शांत रहें")</f>
        <v>परिवार के साथ शांत रहें</v>
      </c>
      <c r="AF268" s="5" t="str">
        <f ca="1">IFERROR(__xludf.DUMMYFUNCTION("IF(AB268 = """", """", GOOGLETRANSLATE(AB268, ""en"", ""hi""))"),"")</f>
        <v/>
      </c>
      <c r="AG268" s="5" t="str">
        <f ca="1">IFERROR(__xludf.DUMMYFUNCTION("IF(Y268 = """", """", GOOGLETRANSLATE(Y268, ""en"", ""mr""))"),"भावनिक ताण संभवतो")</f>
        <v>भावनिक ताण संभवतो</v>
      </c>
      <c r="AH268" s="5" t="str">
        <f ca="1">IFERROR(__xludf.DUMMYFUNCTION("IF(Z268 = """", """", GOOGLETRANSLATE(Z268, ""en"", ""mr""))"),"अनावश्यक चर्चा किंवा वाद टाळा")</f>
        <v>अनावश्यक चर्चा किंवा वाद टाळा</v>
      </c>
      <c r="AI268" s="5" t="str">
        <f ca="1">IFERROR(__xludf.DUMMYFUNCTION("IF(AA268 = """", """", GOOGLETRANSLATE(AA268, ""en"", ""mr""))"),"कुटुंबासह शांत राहा")</f>
        <v>कुटुंबासह शांत राहा</v>
      </c>
      <c r="AJ268" s="5" t="str">
        <f ca="1">IFERROR(__xludf.DUMMYFUNCTION("IF(AB268 = """", """", GOOGLETRANSLATE(AB268, ""en"", ""mr""))"),"")</f>
        <v/>
      </c>
      <c r="AK268" s="5" t="str">
        <f ca="1">IFERROR(__xludf.DUMMYFUNCTION("IF(Y268 = """", """", GOOGLETRANSLATE(Y268, ""en"", ""gu""))"),"ભાવનાત્મક તણાવ શક્ય છે")</f>
        <v>ભાવનાત્મક તણાવ શક્ય છે</v>
      </c>
      <c r="AL268" s="5" t="str">
        <f ca="1">IFERROR(__xludf.DUMMYFUNCTION("IF(Z268 = """", """", GOOGLETRANSLATE(Z268, ""en"", ""gu""))"),"બિનજરૂરી ચર્ચાઓ કે દલીલો ટાળો")</f>
        <v>બિનજરૂરી ચર્ચાઓ કે દલીલો ટાળો</v>
      </c>
      <c r="AM268" s="5" t="str">
        <f ca="1">IFERROR(__xludf.DUMMYFUNCTION("IF(AA268 = """", """", GOOGLETRANSLATE(AA268, ""en"", ""gu""))"),"પરિવાર સાથે શાંત રહો")</f>
        <v>પરિવાર સાથે શાંત રહો</v>
      </c>
      <c r="AN268" s="5" t="str">
        <f ca="1">IFERROR(__xludf.DUMMYFUNCTION("IF(AB268 = """", """", GOOGLETRANSLATE(AB268, ""en"", ""gu""))"),"")</f>
        <v/>
      </c>
      <c r="AO268" s="5" t="str">
        <f ca="1">IFERROR(__xludf.DUMMYFUNCTION("IF(Y268 = """", """", GOOGLETRANSLATE(Y268, ""en"", ""bn""))"),"মানসিক চাপ সম্ভব")</f>
        <v>মানসিক চাপ সম্ভব</v>
      </c>
      <c r="AP268" s="5" t="str">
        <f ca="1">IFERROR(__xludf.DUMMYFUNCTION("IF(Z268 = """", """", GOOGLETRANSLATE(Z268, ""en"", ""bn""))"),"অপ্রয়োজনীয় আলোচনা বা তর্ক এড়িয়ে চলুন")</f>
        <v>অপ্রয়োজনীয় আলোচনা বা তর্ক এড়িয়ে চলুন</v>
      </c>
      <c r="AQ268" s="5" t="str">
        <f ca="1">IFERROR(__xludf.DUMMYFUNCTION("IF(AA268 = """", """", GOOGLETRANSLATE(AA268, ""en"", ""bn""))"),"পরিবারের সাথে শান্ত থাকুন")</f>
        <v>পরিবারের সাথে শান্ত থাকুন</v>
      </c>
      <c r="AR268" s="5" t="str">
        <f ca="1">IFERROR(__xludf.DUMMYFUNCTION("IF(AB268 = """", """", GOOGLETRANSLATE(AB268, ""en"", ""bn""))"),"")</f>
        <v/>
      </c>
      <c r="AU268" s="5" t="str">
        <f ca="1">IFERROR(__xludf.DUMMYFUNCTION("IF(Y268 = """", """", GOOGLETRANSLATE(Y268, ""en"", ""te""))"),"మానసిక ఒత్తిడి సాధ్యమే")</f>
        <v>మానసిక ఒత్తిడి సాధ్యమే</v>
      </c>
      <c r="AV268" s="5" t="str">
        <f ca="1">IFERROR(__xludf.DUMMYFUNCTION("IF(Z268 = """", """", GOOGLETRANSLATE(Z268, ""en"", ""te""))"),"అనవసర చర్చలు లేదా వాదనలు మానుకోండి")</f>
        <v>అనవసర చర్చలు లేదా వాదనలు మానుకోండి</v>
      </c>
      <c r="AW268" s="5" t="str">
        <f ca="1">IFERROR(__xludf.DUMMYFUNCTION("IF(AA268 = """", """", GOOGLETRANSLATE(AA268, ""en"", ""te""))"),"కుటుంబంతో ప్రశాంతంగా ఉండండి")</f>
        <v>కుటుంబంతో ప్రశాంతంగా ఉండండి</v>
      </c>
      <c r="AX268" s="5" t="str">
        <f ca="1">IFERROR(__xludf.DUMMYFUNCTION("IF(AB268 = """", """", GOOGLETRANSLATE(AB268, ""en"", ""te""))"),"")</f>
        <v/>
      </c>
    </row>
    <row r="269" spans="1:50" x14ac:dyDescent="0.25">
      <c r="A269" s="1">
        <v>284</v>
      </c>
      <c r="B269" s="1" t="s">
        <v>56</v>
      </c>
      <c r="C269" s="2">
        <v>45844</v>
      </c>
      <c r="D269" s="2">
        <v>45844</v>
      </c>
      <c r="E269" s="1">
        <v>6</v>
      </c>
      <c r="F269" s="1">
        <v>1</v>
      </c>
      <c r="G269" s="3" t="s">
        <v>773</v>
      </c>
      <c r="H269" s="4">
        <v>7.3495370370370372E-3</v>
      </c>
      <c r="I269" s="4">
        <v>3.1597222222222222E-3</v>
      </c>
      <c r="J269" s="4">
        <v>3.5763888888888889E-3</v>
      </c>
      <c r="K269" s="1"/>
      <c r="L269" s="1" t="s">
        <v>108</v>
      </c>
      <c r="M269" s="1"/>
      <c r="N269" s="1"/>
      <c r="O269" s="1" t="s">
        <v>91</v>
      </c>
      <c r="P269" s="1" t="s">
        <v>61</v>
      </c>
      <c r="Q269" s="1" t="s">
        <v>61</v>
      </c>
      <c r="R269" s="1" t="s">
        <v>61</v>
      </c>
      <c r="S269" s="1" t="s">
        <v>61</v>
      </c>
      <c r="T269" s="1" t="s">
        <v>61</v>
      </c>
      <c r="U269" s="1" t="s">
        <v>61</v>
      </c>
      <c r="V269" s="1" t="s">
        <v>91</v>
      </c>
      <c r="W269" s="1" t="s">
        <v>61</v>
      </c>
      <c r="X269" s="1" t="s">
        <v>61</v>
      </c>
      <c r="Y269" s="1" t="s">
        <v>787</v>
      </c>
      <c r="Z269" s="1" t="s">
        <v>788</v>
      </c>
      <c r="AA269" s="1" t="s">
        <v>594</v>
      </c>
      <c r="AB269" s="1" t="s">
        <v>789</v>
      </c>
      <c r="AC269" s="5" t="str">
        <f ca="1">IFERROR(__xludf.DUMMYFUNCTION("IF(Y269 = """", """", GOOGLETRANSLATE(Y269, ""en"", ""hi""))
"),"सामाजिक या पारिवारिक कर्तव्य")</f>
        <v>सामाजिक या पारिवारिक कर्तव्य</v>
      </c>
      <c r="AD269" s="5" t="str">
        <f ca="1">IFERROR(__xludf.DUMMYFUNCTION("IF(Z269 = """", """", GOOGLETRANSLATE(Z269, ""en"", ""hi""))"),"अचानक खर्च")</f>
        <v>अचानक खर्च</v>
      </c>
      <c r="AE269" s="5" t="str">
        <f ca="1">IFERROR(__xludf.DUMMYFUNCTION("IF(AA269 = """", """", GOOGLETRANSLATE(AA269, ""en"", ""hi""))"),"जल्दबाजी से बचें")</f>
        <v>जल्दबाजी से बचें</v>
      </c>
      <c r="AF269" s="5" t="str">
        <f ca="1">IFERROR(__xludf.DUMMYFUNCTION("IF(AB269 = """", """", GOOGLETRANSLATE(AB269, ""en"", ""hi""))"),"बेहतर परिणामों के लिए अच्छी योजना बनाएं")</f>
        <v>बेहतर परिणामों के लिए अच्छी योजना बनाएं</v>
      </c>
      <c r="AG269" s="5" t="str">
        <f ca="1">IFERROR(__xludf.DUMMYFUNCTION("IF(Y269 = """", """", GOOGLETRANSLATE(Y269, ""en"", ""mr""))"),"सामाजिक किंवा कौटुंबिक कर्तव्ये")</f>
        <v>सामाजिक किंवा कौटुंबिक कर्तव्ये</v>
      </c>
      <c r="AH269" s="5" t="str">
        <f ca="1">IFERROR(__xludf.DUMMYFUNCTION("IF(Z269 = """", """", GOOGLETRANSLATE(Z269, ""en"", ""mr""))"),"अचानक होणारा खर्च")</f>
        <v>अचानक होणारा खर्च</v>
      </c>
      <c r="AI269" s="5" t="str">
        <f ca="1">IFERROR(__xludf.DUMMYFUNCTION("IF(AA269 = """", """", GOOGLETRANSLATE(AA269, ""en"", ""mr""))"),"घाई टाळा")</f>
        <v>घाई टाळा</v>
      </c>
      <c r="AJ269" s="5" t="str">
        <f ca="1">IFERROR(__xludf.DUMMYFUNCTION("IF(AB269 = """", """", GOOGLETRANSLATE(AB269, ""en"", ""mr""))"),"चांगल्या परिणामांसाठी चांगले नियोजन करा")</f>
        <v>चांगल्या परिणामांसाठी चांगले नियोजन करा</v>
      </c>
      <c r="AK269" s="5" t="str">
        <f ca="1">IFERROR(__xludf.DUMMYFUNCTION("IF(Y269 = """", """", GOOGLETRANSLATE(Y269, ""en"", ""gu""))"),"સામાજિક અથવા કૌટુંબિક ફરજો")</f>
        <v>સામાજિક અથવા કૌટુંબિક ફરજો</v>
      </c>
      <c r="AL269" s="5" t="str">
        <f ca="1">IFERROR(__xludf.DUMMYFUNCTION("IF(Z269 = """", """", GOOGLETRANSLATE(Z269, ""en"", ""gu""))"),"અચાનક ખર્ચ")</f>
        <v>અચાનક ખર્ચ</v>
      </c>
      <c r="AM269" s="5" t="str">
        <f ca="1">IFERROR(__xludf.DUMMYFUNCTION("IF(AA269 = """", """", GOOGLETRANSLATE(AA269, ""en"", ""gu""))"),"ઉતાવળ ટાળો")</f>
        <v>ઉતાવળ ટાળો</v>
      </c>
      <c r="AN269" s="5" t="str">
        <f ca="1">IFERROR(__xludf.DUMMYFUNCTION("IF(AB269 = """", """", GOOGLETRANSLATE(AB269, ""en"", ""gu""))"),"સારા પરિણામો માટે સારી યોજના બનાવો")</f>
        <v>સારા પરિણામો માટે સારી યોજના બનાવો</v>
      </c>
      <c r="AO269" s="5" t="str">
        <f ca="1">IFERROR(__xludf.DUMMYFUNCTION("IF(Y269 = """", """", GOOGLETRANSLATE(Y269, ""en"", ""bn""))"),"সামাজিক বা পারিবারিক কর্তব্য")</f>
        <v>সামাজিক বা পারিবারিক কর্তব্য</v>
      </c>
      <c r="AP269" s="5" t="str">
        <f ca="1">IFERROR(__xludf.DUMMYFUNCTION("IF(Z269 = """", """", GOOGLETRANSLATE(Z269, ""en"", ""bn""))"),"আকস্মিক খরচ")</f>
        <v>আকস্মিক খরচ</v>
      </c>
      <c r="AQ269" s="5" t="str">
        <f ca="1">IFERROR(__xludf.DUMMYFUNCTION("IF(AA269 = """", """", GOOGLETRANSLATE(AA269, ""en"", ""bn""))"),"তাড়াহুড়ো এড়িয়ে চলুন")</f>
        <v>তাড়াহুড়ো এড়িয়ে চলুন</v>
      </c>
      <c r="AR269" s="5" t="str">
        <f ca="1">IFERROR(__xludf.DUMMYFUNCTION("IF(AB269 = """", """", GOOGLETRANSLATE(AB269, ""en"", ""bn""))"),"ভাল ফলাফলের জন্য ভাল পরিকল্পনা করুন")</f>
        <v>ভাল ফলাফলের জন্য ভাল পরিকল্পনা করুন</v>
      </c>
      <c r="AU269" s="5" t="str">
        <f ca="1">IFERROR(__xludf.DUMMYFUNCTION("IF(Y269 = """", """", GOOGLETRANSLATE(Y269, ""en"", ""te""))"),"సామాజిక లేదా కుటుంబ విధులు")</f>
        <v>సామాజిక లేదా కుటుంబ విధులు</v>
      </c>
      <c r="AV269" s="5" t="str">
        <f ca="1">IFERROR(__xludf.DUMMYFUNCTION("IF(Z269 = """", """", GOOGLETRANSLATE(Z269, ""en"", ""te""))"),"ఆకస్మిక ఖర్చులు")</f>
        <v>ఆకస్మిక ఖర్చులు</v>
      </c>
      <c r="AW269" s="5" t="str">
        <f ca="1">IFERROR(__xludf.DUMMYFUNCTION("IF(AA269 = """", """", GOOGLETRANSLATE(AA269, ""en"", ""te""))"),"తొందరపాటు మానుకోండి")</f>
        <v>తొందరపాటు మానుకోండి</v>
      </c>
      <c r="AX269" s="5" t="str">
        <f ca="1">IFERROR(__xludf.DUMMYFUNCTION("IF(AB269 = """", """", GOOGLETRANSLATE(AB269, ""en"", ""te""))"),"మెరుగైన ఫలితాల కోసం బాగా ప్లాన్ చేయండి")</f>
        <v>మెరుగైన ఫలితాల కోసం బాగా ప్లాన్ చేయండి</v>
      </c>
    </row>
    <row r="270" spans="1:50" x14ac:dyDescent="0.25">
      <c r="A270" s="1">
        <v>285</v>
      </c>
      <c r="B270" s="1" t="s">
        <v>56</v>
      </c>
      <c r="C270" s="2">
        <v>45844</v>
      </c>
      <c r="D270" s="2">
        <v>45844</v>
      </c>
      <c r="E270" s="1">
        <v>7</v>
      </c>
      <c r="F270" s="1">
        <v>1</v>
      </c>
      <c r="G270" s="3" t="s">
        <v>773</v>
      </c>
      <c r="H270" s="4">
        <v>7.3495370370370372E-3</v>
      </c>
      <c r="I270" s="4">
        <v>3.5763888888888889E-3</v>
      </c>
      <c r="J270" s="4">
        <v>4.0277777777777777E-3</v>
      </c>
      <c r="K270" s="1"/>
      <c r="L270" s="1" t="s">
        <v>113</v>
      </c>
      <c r="M270" s="1"/>
      <c r="N270" s="1"/>
      <c r="O270" s="1" t="s">
        <v>61</v>
      </c>
      <c r="P270" s="1" t="s">
        <v>61</v>
      </c>
      <c r="Q270" s="1" t="s">
        <v>61</v>
      </c>
      <c r="R270" s="1" t="s">
        <v>91</v>
      </c>
      <c r="S270" s="1" t="s">
        <v>61</v>
      </c>
      <c r="T270" s="1" t="s">
        <v>61</v>
      </c>
      <c r="U270" s="1" t="s">
        <v>61</v>
      </c>
      <c r="V270" s="1" t="s">
        <v>91</v>
      </c>
      <c r="W270" s="1" t="s">
        <v>61</v>
      </c>
      <c r="X270" s="1" t="s">
        <v>61</v>
      </c>
      <c r="Y270" s="1" t="s">
        <v>790</v>
      </c>
      <c r="Z270" s="1" t="s">
        <v>791</v>
      </c>
      <c r="AA270" s="1" t="s">
        <v>792</v>
      </c>
      <c r="AB270" s="1"/>
      <c r="AC270" s="5" t="str">
        <f ca="1">IFERROR(__xludf.DUMMYFUNCTION("IF(Y270 = """", """", GOOGLETRANSLATE(Y270, ""en"", ""hi""))
"),"तनावपूर्ण सुबह, बाद में बेहतर")</f>
        <v>तनावपूर्ण सुबह, बाद में बेहतर</v>
      </c>
      <c r="AD270" s="5" t="str">
        <f ca="1">IFERROR(__xludf.DUMMYFUNCTION("IF(Z270 = """", """", GOOGLETRANSLATE(Z270, ""en"", ""hi""))"),"छोटी यात्रा या खरीदारी")</f>
        <v>छोटी यात्रा या खरीदारी</v>
      </c>
      <c r="AE270" s="5" t="str">
        <f ca="1">IFERROR(__xludf.DUMMYFUNCTION("IF(AA270 = """", """", GOOGLETRANSLATE(AA270, ""en"", ""hi""))"),"अगले सप्ताह के लिए पहले से योजना बनाएं")</f>
        <v>अगले सप्ताह के लिए पहले से योजना बनाएं</v>
      </c>
      <c r="AF270" s="5" t="str">
        <f ca="1">IFERROR(__xludf.DUMMYFUNCTION("IF(AB270 = """", """", GOOGLETRANSLATE(AB270, ""en"", ""hi""))"),"")</f>
        <v/>
      </c>
      <c r="AG270" s="5" t="str">
        <f ca="1">IFERROR(__xludf.DUMMYFUNCTION("IF(Y270 = """", """", GOOGLETRANSLATE(Y270, ""en"", ""mr""))"),"तणावपूर्ण सकाळ, नंतर चांगले ")</f>
        <v xml:space="preserve">तणावपूर्ण सकाळ, नंतर चांगले </v>
      </c>
      <c r="AH270" s="5" t="str">
        <f ca="1">IFERROR(__xludf.DUMMYFUNCTION("IF(Z270 = """", """", GOOGLETRANSLATE(Z270, ""en"", ""mr""))"),"लहान ट्रिप किंवा खरेदी")</f>
        <v>लहान ट्रिप किंवा खरेदी</v>
      </c>
      <c r="AI270" s="5" t="str">
        <f ca="1">IFERROR(__xludf.DUMMYFUNCTION("IF(AA270 = """", """", GOOGLETRANSLATE(AA270, ""en"", ""mr""))"),"पुढील आठवड्यात तीव्रतेसाठी योजना करा")</f>
        <v>पुढील आठवड्यात तीव्रतेसाठी योजना करा</v>
      </c>
      <c r="AJ270" s="5" t="str">
        <f ca="1">IFERROR(__xludf.DUMMYFUNCTION("IF(AB270 = """", """", GOOGLETRANSLATE(AB270, ""en"", ""mr""))"),"")</f>
        <v/>
      </c>
      <c r="AK270" s="5" t="str">
        <f ca="1">IFERROR(__xludf.DUMMYFUNCTION("IF(Y270 = """", """", GOOGLETRANSLATE(Y270, ""en"", ""gu""))"),"તણાવપૂર્ણ સવાર, પછીથી વધુ સારું ")</f>
        <v xml:space="preserve">તણાવપૂર્ણ સવાર, પછીથી વધુ સારું </v>
      </c>
      <c r="AL270" s="5" t="str">
        <f ca="1">IFERROR(__xludf.DUMMYFUNCTION("IF(Z270 = """", """", GOOGLETRANSLATE(Z270, ""en"", ""gu""))"),"ટૂંકી સફર અથવા ખરીદી")</f>
        <v>ટૂંકી સફર અથવા ખરીદી</v>
      </c>
      <c r="AM270" s="5" t="str">
        <f ca="1">IFERROR(__xludf.DUMMYFUNCTION("IF(AA270 = """", """", GOOGLETRANSLATE(AA270, ""en"", ""gu""))"),"આગલા અઠવાડિયે તીવ્રતા માટે આગળની યોજના બનાવો")</f>
        <v>આગલા અઠવાડિયે તીવ્રતા માટે આગળની યોજના બનાવો</v>
      </c>
      <c r="AN270" s="5" t="str">
        <f ca="1">IFERROR(__xludf.DUMMYFUNCTION("IF(AB270 = """", """", GOOGLETRANSLATE(AB270, ""en"", ""gu""))"),"")</f>
        <v/>
      </c>
      <c r="AO270" s="5" t="str">
        <f ca="1">IFERROR(__xludf.DUMMYFUNCTION("IF(Y270 = """", """", GOOGLETRANSLATE(Y270, ""en"", ""bn""))"),"স্ট্রেসফুল সকাল, পরে ভালো ")</f>
        <v xml:space="preserve">স্ট্রেসফুল সকাল, পরে ভালো </v>
      </c>
      <c r="AP270" s="5" t="str">
        <f ca="1">IFERROR(__xludf.DUMMYFUNCTION("IF(Z270 = """", """", GOOGLETRANSLATE(Z270, ""en"", ""bn""))"),"ছোট ট্রিপ বা কেনাকাটা")</f>
        <v>ছোট ট্রিপ বা কেনাকাটা</v>
      </c>
      <c r="AQ270" s="5" t="str">
        <f ca="1">IFERROR(__xludf.DUMMYFUNCTION("IF(AA270 = """", """", GOOGLETRANSLATE(AA270, ""en"", ""bn""))"),"পরের সপ্তাহে তীব্রতার জন্য পরিকল্পনা করুন")</f>
        <v>পরের সপ্তাহে তীব্রতার জন্য পরিকল্পনা করুন</v>
      </c>
      <c r="AR270" s="5" t="str">
        <f ca="1">IFERROR(__xludf.DUMMYFUNCTION("IF(AB270 = """", """", GOOGLETRANSLATE(AB270, ""en"", ""bn""))"),"")</f>
        <v/>
      </c>
      <c r="AU270" s="5" t="str">
        <f ca="1">IFERROR(__xludf.DUMMYFUNCTION("IF(Y270 = """", """", GOOGLETRANSLATE(Y270, ""en"", ""te""))"),"ఒత్తిడితో కూడిన ఉదయం, తర్వాత మంచిది ")</f>
        <v xml:space="preserve">ఒత్తిడితో కూడిన ఉదయం, తర్వాత మంచిది </v>
      </c>
      <c r="AV270" s="5" t="str">
        <f ca="1">IFERROR(__xludf.DUMMYFUNCTION("IF(Z270 = """", """", GOOGLETRANSLATE(Z270, ""en"", ""te""))"),"చిన్న పర్యటన లేదా షాపింగ్")</f>
        <v>చిన్న పర్యటన లేదా షాపింగ్</v>
      </c>
      <c r="AW270" s="5" t="str">
        <f ca="1">IFERROR(__xludf.DUMMYFUNCTION("IF(AA270 = """", """", GOOGLETRANSLATE(AA270, ""en"", ""te""))"),"వచ్చే వారం తీవ్రంగా ప్లాన్ చేయండి")</f>
        <v>వచ్చే వారం తీవ్రంగా ప్లాన్ చేయండి</v>
      </c>
      <c r="AX270" s="5" t="str">
        <f ca="1">IFERROR(__xludf.DUMMYFUNCTION("IF(AB270 = """", """", GOOGLETRANSLATE(AB270, ""en"", ""te""))"),"")</f>
        <v/>
      </c>
    </row>
    <row r="271" spans="1:50" x14ac:dyDescent="0.25">
      <c r="A271" s="1">
        <v>286</v>
      </c>
      <c r="B271" s="1" t="s">
        <v>56</v>
      </c>
      <c r="C271" s="2">
        <v>45844</v>
      </c>
      <c r="D271" s="2">
        <v>45844</v>
      </c>
      <c r="E271" s="1">
        <v>8</v>
      </c>
      <c r="F271" s="1">
        <v>1</v>
      </c>
      <c r="G271" s="3" t="s">
        <v>773</v>
      </c>
      <c r="H271" s="4">
        <v>7.3495370370370372E-3</v>
      </c>
      <c r="I271" s="4">
        <v>4.0277777777777777E-3</v>
      </c>
      <c r="J271" s="4">
        <v>4.7106481481481478E-3</v>
      </c>
      <c r="K271" s="1"/>
      <c r="L271" s="1" t="s">
        <v>64</v>
      </c>
      <c r="M271" s="1"/>
      <c r="N271" s="1"/>
      <c r="O271" s="1" t="s">
        <v>91</v>
      </c>
      <c r="P271" s="1" t="s">
        <v>61</v>
      </c>
      <c r="Q271" s="1" t="s">
        <v>61</v>
      </c>
      <c r="R271" s="1" t="s">
        <v>61</v>
      </c>
      <c r="S271" s="1" t="s">
        <v>61</v>
      </c>
      <c r="T271" s="1" t="s">
        <v>61</v>
      </c>
      <c r="U271" s="1" t="s">
        <v>61</v>
      </c>
      <c r="V271" s="1" t="s">
        <v>61</v>
      </c>
      <c r="W271" s="1" t="s">
        <v>61</v>
      </c>
      <c r="X271" s="1" t="s">
        <v>91</v>
      </c>
      <c r="Y271" s="1" t="s">
        <v>793</v>
      </c>
      <c r="Z271" s="1" t="s">
        <v>794</v>
      </c>
      <c r="AA271" s="1" t="s">
        <v>795</v>
      </c>
      <c r="AB271" s="1"/>
      <c r="AC271" s="5" t="str">
        <f ca="1">IFERROR(__xludf.DUMMYFUNCTION("IF(Y271 = """", """", GOOGLETRANSLATE(Y271, ""en"", ""hi""))
"),"लंबित कार्य निपटाने का अच्छा समय")</f>
        <v>लंबित कार्य निपटाने का अच्छा समय</v>
      </c>
      <c r="AD271" s="5" t="str">
        <f ca="1">IFERROR(__xludf.DUMMYFUNCTION("IF(Z271 = """", """", GOOGLETRANSLATE(Z271, ""en"", ""hi""))"),"करियर में वृद्धि की संभावना")</f>
        <v>करियर में वृद्धि की संभावना</v>
      </c>
      <c r="AE271" s="5" t="str">
        <f ca="1">IFERROR(__xludf.DUMMYFUNCTION("IF(AA271 = """", """", GOOGLETRANSLATE(AA271, ""en"", ""hi""))"),"नए अवसर संभव")</f>
        <v>नए अवसर संभव</v>
      </c>
      <c r="AF271" s="5" t="str">
        <f ca="1">IFERROR(__xludf.DUMMYFUNCTION("IF(AB271 = """", """", GOOGLETRANSLATE(AB271, ""en"", ""hi""))"),"")</f>
        <v/>
      </c>
      <c r="AG271" s="5" t="str">
        <f ca="1">IFERROR(__xludf.DUMMYFUNCTION("IF(Y271 = """", """", GOOGLETRANSLATE(Y271, ""en"", ""mr""))"),"प्रलंबित कामे पूर्ण करण्यासाठी चांगला काळ")</f>
        <v>प्रलंबित कामे पूर्ण करण्यासाठी चांगला काळ</v>
      </c>
      <c r="AH271" s="5" t="str">
        <f ca="1">IFERROR(__xludf.DUMMYFUNCTION("IF(Z271 = """", """", GOOGLETRANSLATE(Z271, ""en"", ""mr""))"),"करिअरमध्ये प्रशंसा होण्याची शक्यता आहे")</f>
        <v>करिअरमध्ये प्रशंसा होण्याची शक्यता आहे</v>
      </c>
      <c r="AI271" s="5" t="str">
        <f ca="1">IFERROR(__xludf.DUMMYFUNCTION("IF(AA271 = """", """", GOOGLETRANSLATE(AA271, ""en"", ""mr""))"),"नवीन संधी संभवतात")</f>
        <v>नवीन संधी संभवतात</v>
      </c>
      <c r="AJ271" s="5" t="str">
        <f ca="1">IFERROR(__xludf.DUMMYFUNCTION("IF(AB271 = """", """", GOOGLETRANSLATE(AB271, ""en"", ""mr""))"),"")</f>
        <v/>
      </c>
      <c r="AK271" s="5" t="str">
        <f ca="1">IFERROR(__xludf.DUMMYFUNCTION("IF(Y271 = """", """", GOOGLETRANSLATE(Y271, ""en"", ""gu""))"),"અટકેલા કામ પૂરા કરવા માટે સારો સમય")</f>
        <v>અટકેલા કામ પૂરા કરવા માટે સારો સમય</v>
      </c>
      <c r="AL271" s="5" t="str">
        <f ca="1">IFERROR(__xludf.DUMMYFUNCTION("IF(Z271 = """", """", GOOGLETRANSLATE(Z271, ""en"", ""gu""))"),"કરિયરમાં પ્રશંસા થવાની સંભાવના છે")</f>
        <v>કરિયરમાં પ્રશંસા થવાની સંભાવના છે</v>
      </c>
      <c r="AM271" s="5" t="str">
        <f ca="1">IFERROR(__xludf.DUMMYFUNCTION("IF(AA271 = """", """", GOOGLETRANSLATE(AA271, ""en"", ""gu""))"),"નવી તકો શક્ય છે")</f>
        <v>નવી તકો શક્ય છે</v>
      </c>
      <c r="AN271" s="5" t="str">
        <f ca="1">IFERROR(__xludf.DUMMYFUNCTION("IF(AB271 = """", """", GOOGLETRANSLATE(AB271, ""en"", ""gu""))"),"")</f>
        <v/>
      </c>
      <c r="AO271" s="5" t="str">
        <f ca="1">IFERROR(__xludf.DUMMYFUNCTION("IF(Y271 = """", """", GOOGLETRANSLATE(Y271, ""en"", ""bn""))"),"অমীমাংসিত কাজ শেষ করার জন্য শুভ সময়")</f>
        <v>অমীমাংসিত কাজ শেষ করার জন্য শুভ সময়</v>
      </c>
      <c r="AP271" s="5" t="str">
        <f ca="1">IFERROR(__xludf.DUMMYFUNCTION("IF(Z271 = """", """", GOOGLETRANSLATE(Z271, ""en"", ""bn""))"),"কর্মজীবনে প্রশংসা পাওয়ার সম্ভাবনা")</f>
        <v>কর্মজীবনে প্রশংসা পাওয়ার সম্ভাবনা</v>
      </c>
      <c r="AQ271" s="5" t="str">
        <f ca="1">IFERROR(__xludf.DUMMYFUNCTION("IF(AA271 = """", """", GOOGLETRANSLATE(AA271, ""en"", ""bn""))"),"নতুন সুযোগ সম্ভব")</f>
        <v>নতুন সুযোগ সম্ভব</v>
      </c>
      <c r="AR271" s="5" t="str">
        <f ca="1">IFERROR(__xludf.DUMMYFUNCTION("IF(AB271 = """", """", GOOGLETRANSLATE(AB271, ""en"", ""bn""))"),"")</f>
        <v/>
      </c>
      <c r="AU271" s="5" t="str">
        <f ca="1">IFERROR(__xludf.DUMMYFUNCTION("IF(Y271 = """", """", GOOGLETRANSLATE(Y271, ""en"", ""te""))"),"పెండింగ్‌లో ఉన్న పనులను పూర్తి చేయడానికి మంచి సమయం")</f>
        <v>పెండింగ్‌లో ఉన్న పనులను పూర్తి చేయడానికి మంచి సమయం</v>
      </c>
      <c r="AV271" s="5" t="str">
        <f ca="1">IFERROR(__xludf.DUMMYFUNCTION("IF(Z271 = """", """", GOOGLETRANSLATE(Z271, ""en"", ""te""))"),"కెరీర్‌లో ప్రశంసలు వచ్చే అవకాశం ఉంది")</f>
        <v>కెరీర్‌లో ప్రశంసలు వచ్చే అవకాశం ఉంది</v>
      </c>
      <c r="AW271" s="5" t="str">
        <f ca="1">IFERROR(__xludf.DUMMYFUNCTION("IF(AA271 = """", """", GOOGLETRANSLATE(AA271, ""en"", ""te""))"),"కొత్త అవకాశాలు సాధ్యమవుతాయి")</f>
        <v>కొత్త అవకాశాలు సాధ్యమవుతాయి</v>
      </c>
      <c r="AX271" s="5" t="str">
        <f ca="1">IFERROR(__xludf.DUMMYFUNCTION("IF(AB271 = """", """", GOOGLETRANSLATE(AB271, ""en"", ""te""))"),"")</f>
        <v/>
      </c>
    </row>
    <row r="272" spans="1:50" x14ac:dyDescent="0.25">
      <c r="A272" s="1">
        <v>287</v>
      </c>
      <c r="B272" s="1" t="s">
        <v>56</v>
      </c>
      <c r="C272" s="2">
        <v>45844</v>
      </c>
      <c r="D272" s="2">
        <v>45844</v>
      </c>
      <c r="E272" s="1">
        <v>9</v>
      </c>
      <c r="F272" s="1">
        <v>1</v>
      </c>
      <c r="G272" s="3" t="s">
        <v>773</v>
      </c>
      <c r="H272" s="4">
        <v>7.3495370370370372E-3</v>
      </c>
      <c r="I272" s="4">
        <v>4.7106481481481478E-3</v>
      </c>
      <c r="J272" s="4">
        <v>5.0231481481481481E-3</v>
      </c>
      <c r="K272" s="1"/>
      <c r="L272" s="1" t="s">
        <v>68</v>
      </c>
      <c r="M272" s="1"/>
      <c r="N272" s="1"/>
      <c r="O272" s="1" t="s">
        <v>91</v>
      </c>
      <c r="P272" s="1" t="s">
        <v>61</v>
      </c>
      <c r="Q272" s="1" t="s">
        <v>61</v>
      </c>
      <c r="R272" s="1" t="s">
        <v>61</v>
      </c>
      <c r="S272" s="1" t="s">
        <v>61</v>
      </c>
      <c r="T272" s="1" t="s">
        <v>61</v>
      </c>
      <c r="U272" s="1" t="s">
        <v>61</v>
      </c>
      <c r="V272" s="1" t="s">
        <v>91</v>
      </c>
      <c r="W272" s="1" t="s">
        <v>61</v>
      </c>
      <c r="X272" s="1" t="s">
        <v>61</v>
      </c>
      <c r="Y272" s="1" t="s">
        <v>796</v>
      </c>
      <c r="Z272" s="1" t="s">
        <v>797</v>
      </c>
      <c r="AA272" s="1" t="s">
        <v>798</v>
      </c>
      <c r="AB272" s="1" t="s">
        <v>799</v>
      </c>
      <c r="AC272" s="5" t="str">
        <f ca="1">IFERROR(__xludf.DUMMYFUNCTION("IF(Y272 = """", """", GOOGLETRANSLATE(Y272, ""en"", ""hi""))
"),"पारिवारिक सभा")</f>
        <v>पारिवारिक सभा</v>
      </c>
      <c r="AD272" s="5" t="str">
        <f ca="1">IFERROR(__xludf.DUMMYFUNCTION("IF(Z272 = """", """", GOOGLETRANSLATE(Z272, ""en"", ""hi""))"),"आनंददायक रविवार")</f>
        <v>आनंददायक रविवार</v>
      </c>
      <c r="AE272" s="5" t="str">
        <f ca="1">IFERROR(__xludf.DUMMYFUNCTION("IF(AA272 = """", """", GOOGLETRANSLATE(AA272, ""en"", ""hi""))"),"प्रियजनों के साथ समय बिताएँ")</f>
        <v>प्रियजनों के साथ समय बिताएँ</v>
      </c>
      <c r="AF272" s="5" t="str">
        <f ca="1">IFERROR(__xludf.DUMMYFUNCTION("IF(AB272 = """", """", GOOGLETRANSLATE(AB272, ""en"", ""hi""))"),"सामाजिक उत्सव")</f>
        <v>सामाजिक उत्सव</v>
      </c>
      <c r="AG272" s="5" t="str">
        <f ca="1">IFERROR(__xludf.DUMMYFUNCTION("IF(Y272 = """", """", GOOGLETRANSLATE(Y272, ""en"", ""mr""))"),"कौटुंबिक मेळावा")</f>
        <v>कौटुंबिक मेळावा</v>
      </c>
      <c r="AH272" s="5" t="str">
        <f ca="1">IFERROR(__xludf.DUMMYFUNCTION("IF(Z272 = """", """", GOOGLETRANSLATE(Z272, ""en"", ""mr""))"),"आनंददायी रविवार")</f>
        <v>आनंददायी रविवार</v>
      </c>
      <c r="AI272" s="5" t="str">
        <f ca="1">IFERROR(__xludf.DUMMYFUNCTION("IF(AA272 = """", """", GOOGLETRANSLATE(AA272, ""en"", ""mr""))"),"प्रियजनांसोबत वेळ घालवाल")</f>
        <v>प्रियजनांसोबत वेळ घालवाल</v>
      </c>
      <c r="AJ272" s="5" t="str">
        <f ca="1">IFERROR(__xludf.DUMMYFUNCTION("IF(AB272 = """", """", GOOGLETRANSLATE(AB272, ""en"", ""mr""))"),"सामाजिक उत्सव")</f>
        <v>सामाजिक उत्सव</v>
      </c>
      <c r="AK272" s="5" t="str">
        <f ca="1">IFERROR(__xludf.DUMMYFUNCTION("IF(Y272 = """", """", GOOGLETRANSLATE(Y272, ""en"", ""gu""))"),"કૌટુંબિક મેળાવડો")</f>
        <v>કૌટુંબિક મેળાવડો</v>
      </c>
      <c r="AL272" s="5" t="str">
        <f ca="1">IFERROR(__xludf.DUMMYFUNCTION("IF(Z272 = """", """", GOOGLETRANSLATE(Z272, ""en"", ""gu""))"),"આનંદદાયક રવિવાર")</f>
        <v>આનંદદાયક રવિવાર</v>
      </c>
      <c r="AM272" s="5" t="str">
        <f ca="1">IFERROR(__xludf.DUMMYFUNCTION("IF(AA272 = """", """", GOOGLETRANSLATE(AA272, ""en"", ""gu""))"),"પ્રિયજનો સાથે સમય વિતાવશો")</f>
        <v>પ્રિયજનો સાથે સમય વિતાવશો</v>
      </c>
      <c r="AN272" s="5" t="str">
        <f ca="1">IFERROR(__xludf.DUMMYFUNCTION("IF(AB272 = """", """", GOOGLETRANSLATE(AB272, ""en"", ""gu""))"),"સામાજિક ઉજવણી")</f>
        <v>સામાજિક ઉજવણી</v>
      </c>
      <c r="AO272" s="5" t="str">
        <f ca="1">IFERROR(__xludf.DUMMYFUNCTION("IF(Y272 = """", """", GOOGLETRANSLATE(Y272, ""en"", ""bn""))"),"পারিবারিক সমাবেশ")</f>
        <v>পারিবারিক সমাবেশ</v>
      </c>
      <c r="AP272" s="5" t="str">
        <f ca="1">IFERROR(__xludf.DUMMYFUNCTION("IF(Z272 = """", """", GOOGLETRANSLATE(Z272, ""en"", ""bn""))"),"উপভোগ্য রবিবার")</f>
        <v>উপভোগ্য রবিবার</v>
      </c>
      <c r="AQ272" s="5" t="str">
        <f ca="1">IFERROR(__xludf.DUMMYFUNCTION("IF(AA272 = """", """", GOOGLETRANSLATE(AA272, ""en"", ""bn""))"),"প্রিয়জনের সঙ্গে সময় কাটান")</f>
        <v>প্রিয়জনের সঙ্গে সময় কাটান</v>
      </c>
      <c r="AR272" s="5" t="str">
        <f ca="1">IFERROR(__xludf.DUMMYFUNCTION("IF(AB272 = """", """", GOOGLETRANSLATE(AB272, ""en"", ""bn""))"),"সামাজিক উদযাপন")</f>
        <v>সামাজিক উদযাপন</v>
      </c>
      <c r="AU272" s="5" t="str">
        <f ca="1">IFERROR(__xludf.DUMMYFUNCTION("IF(Y272 = """", """", GOOGLETRANSLATE(Y272, ""en"", ""te""))"),"కుటుంబ సమావేశం")</f>
        <v>కుటుంబ సమావేశం</v>
      </c>
      <c r="AV272" s="5" t="str">
        <f ca="1">IFERROR(__xludf.DUMMYFUNCTION("IF(Z272 = """", """", GOOGLETRANSLATE(Z272, ""en"", ""te""))"),"ఆనందించే ఆదివారం")</f>
        <v>ఆనందించే ఆదివారం</v>
      </c>
      <c r="AW272" s="5" t="str">
        <f ca="1">IFERROR(__xludf.DUMMYFUNCTION("IF(AA272 = """", """", GOOGLETRANSLATE(AA272, ""en"", ""te""))"),"ప్రియమైన వారితో సమయం గడుపుతారు")</f>
        <v>ప్రియమైన వారితో సమయం గడుపుతారు</v>
      </c>
      <c r="AX272" s="5" t="str">
        <f ca="1">IFERROR(__xludf.DUMMYFUNCTION("IF(AB272 = """", """", GOOGLETRANSLATE(AB272, ""en"", ""te""))"),"సామాజిక వేడుక")</f>
        <v>సామాజిక వేడుక</v>
      </c>
    </row>
    <row r="273" spans="1:50" x14ac:dyDescent="0.25">
      <c r="A273" s="1">
        <v>288</v>
      </c>
      <c r="B273" s="1" t="s">
        <v>56</v>
      </c>
      <c r="C273" s="2">
        <v>45844</v>
      </c>
      <c r="D273" s="2">
        <v>45844</v>
      </c>
      <c r="E273" s="1">
        <v>10</v>
      </c>
      <c r="F273" s="1">
        <v>1</v>
      </c>
      <c r="G273" s="3" t="s">
        <v>773</v>
      </c>
      <c r="H273" s="4">
        <v>7.3495370370370372E-3</v>
      </c>
      <c r="I273" s="4">
        <v>5.0231481481481481E-3</v>
      </c>
      <c r="J273" s="4">
        <v>5.4745370370370373E-3</v>
      </c>
      <c r="K273" s="1"/>
      <c r="L273" s="1" t="s">
        <v>72</v>
      </c>
      <c r="M273" s="1"/>
      <c r="N273" s="1"/>
      <c r="O273" s="1" t="s">
        <v>91</v>
      </c>
      <c r="P273" s="1" t="s">
        <v>61</v>
      </c>
      <c r="Q273" s="1" t="s">
        <v>61</v>
      </c>
      <c r="R273" s="1" t="s">
        <v>61</v>
      </c>
      <c r="S273" s="1" t="s">
        <v>61</v>
      </c>
      <c r="T273" s="1" t="s">
        <v>61</v>
      </c>
      <c r="U273" s="1" t="s">
        <v>61</v>
      </c>
      <c r="V273" s="1" t="s">
        <v>91</v>
      </c>
      <c r="W273" s="1" t="s">
        <v>61</v>
      </c>
      <c r="X273" s="1" t="s">
        <v>61</v>
      </c>
      <c r="Y273" s="1" t="s">
        <v>800</v>
      </c>
      <c r="Z273" s="1" t="s">
        <v>801</v>
      </c>
      <c r="AA273" s="1" t="s">
        <v>802</v>
      </c>
      <c r="AB273" s="1"/>
      <c r="AC273" s="5" t="str">
        <f ca="1">IFERROR(__xludf.DUMMYFUNCTION("IF(Y273 = """", """", GOOGLETRANSLATE(Y273, ""en"", ""hi""))
"),"प्रशंसा और सम्मान बढ़ता है")</f>
        <v>प्रशंसा और सम्मान बढ़ता है</v>
      </c>
      <c r="AD273" s="5" t="str">
        <f ca="1">IFERROR(__xludf.DUMMYFUNCTION("IF(Z273 = """", """", GOOGLETRANSLATE(Z273, ""en"", ""hi""))"),"खुशी से भरा")</f>
        <v>खुशी से भरा</v>
      </c>
      <c r="AE273" s="5" t="str">
        <f ca="1">IFERROR(__xludf.DUMMYFUNCTION("IF(AA273 = """", """", GOOGLETRANSLATE(AA273, ""en"", ""hi""))"),"चापलूसी से सावधान रहें")</f>
        <v>चापलूसी से सावधान रहें</v>
      </c>
      <c r="AF273" s="5" t="str">
        <f ca="1">IFERROR(__xludf.DUMMYFUNCTION("IF(AB273 = """", """", GOOGLETRANSLATE(AB273, ""en"", ""hi""))"),"")</f>
        <v/>
      </c>
      <c r="AG273" s="5" t="str">
        <f ca="1">IFERROR(__xludf.DUMMYFUNCTION("IF(Y273 = """", """", GOOGLETRANSLATE(Y273, ""en"", ""mr""))"),"कौतुक आणि आदर वाढेल")</f>
        <v>कौतुक आणि आदर वाढेल</v>
      </c>
      <c r="AH273" s="5" t="str">
        <f ca="1">IFERROR(__xludf.DUMMYFUNCTION("IF(Z273 = """", """", GOOGLETRANSLATE(Z273, ""en"", ""mr""))"),"आनंदाने भरलेला")</f>
        <v>आनंदाने भरलेला</v>
      </c>
      <c r="AI273" s="5" t="str">
        <f ca="1">IFERROR(__xludf.DUMMYFUNCTION("IF(AA273 = """", """", GOOGLETRANSLATE(AA273, ""en"", ""mr""))"),"खुशामत करण्यापासून सावध राहा")</f>
        <v>खुशामत करण्यापासून सावध राहा</v>
      </c>
      <c r="AJ273" s="5" t="str">
        <f ca="1">IFERROR(__xludf.DUMMYFUNCTION("IF(AB273 = """", """", GOOGLETRANSLATE(AB273, ""en"", ""mr""))"),"")</f>
        <v/>
      </c>
      <c r="AK273" s="5" t="str">
        <f ca="1">IFERROR(__xludf.DUMMYFUNCTION("IF(Y273 = """", """", GOOGLETRANSLATE(Y273, ""en"", ""gu""))"),"પ્રશંસા અને સન્માન વધે")</f>
        <v>પ્રશંસા અને સન્માન વધે</v>
      </c>
      <c r="AL273" s="5" t="str">
        <f ca="1">IFERROR(__xludf.DUMMYFUNCTION("IF(Z273 = """", """", GOOGLETRANSLATE(Z273, ""en"", ""gu""))"),"આનંદથી ભરપૂર")</f>
        <v>આનંદથી ભરપૂર</v>
      </c>
      <c r="AM273" s="5" t="str">
        <f ca="1">IFERROR(__xludf.DUMMYFUNCTION("IF(AA273 = """", """", GOOGLETRANSLATE(AA273, ""en"", ""gu""))"),"ખુશામતથી સાવધ રહો")</f>
        <v>ખુશામતથી સાવધ રહો</v>
      </c>
      <c r="AN273" s="5" t="str">
        <f ca="1">IFERROR(__xludf.DUMMYFUNCTION("IF(AB273 = """", """", GOOGLETRANSLATE(AB273, ""en"", ""gu""))"),"")</f>
        <v/>
      </c>
      <c r="AO273" s="5" t="str">
        <f ca="1">IFERROR(__xludf.DUMMYFUNCTION("IF(Y273 = """", """", GOOGLETRANSLATE(Y273, ""en"", ""bn""))"),"প্রশংসা এবং সম্মান বৃদ্ধি")</f>
        <v>প্রশংসা এবং সম্মান বৃদ্ধি</v>
      </c>
      <c r="AP273" s="5" t="str">
        <f ca="1">IFERROR(__xludf.DUMMYFUNCTION("IF(Z273 = """", """", GOOGLETRANSLATE(Z273, ""en"", ""bn""))"),"আনন্দে ভরপুর")</f>
        <v>আনন্দে ভরপুর</v>
      </c>
      <c r="AQ273" s="5" t="str">
        <f ca="1">IFERROR(__xludf.DUMMYFUNCTION("IF(AA273 = """", """", GOOGLETRANSLATE(AA273, ""en"", ""bn""))"),"তোষামোদ থেকে সতর্ক থাকুন")</f>
        <v>তোষামোদ থেকে সতর্ক থাকুন</v>
      </c>
      <c r="AR273" s="5" t="str">
        <f ca="1">IFERROR(__xludf.DUMMYFUNCTION("IF(AB273 = """", """", GOOGLETRANSLATE(AB273, ""en"", ""bn""))"),"")</f>
        <v/>
      </c>
      <c r="AU273" s="5" t="str">
        <f ca="1">IFERROR(__xludf.DUMMYFUNCTION("IF(Y273 = """", """", GOOGLETRANSLATE(Y273, ""en"", ""te""))"),"ప్రశంసలు, గౌరవం పెరుగుతాయి")</f>
        <v>ప్రశంసలు, గౌరవం పెరుగుతాయి</v>
      </c>
      <c r="AV273" s="5" t="str">
        <f ca="1">IFERROR(__xludf.DUMMYFUNCTION("IF(Z273 = """", """", GOOGLETRANSLATE(Z273, ""en"", ""te""))"),"ఆనందంతో నిండిపోయింది")</f>
        <v>ఆనందంతో నిండిపోయింది</v>
      </c>
      <c r="AW273" s="5" t="str">
        <f ca="1">IFERROR(__xludf.DUMMYFUNCTION("IF(AA273 = """", """", GOOGLETRANSLATE(AA273, ""en"", ""te""))"),"ముఖస్తుతి విషయంలో జాగ్రత్తగా ఉండండి")</f>
        <v>ముఖస్తుతి విషయంలో జాగ్రత్తగా ఉండండి</v>
      </c>
      <c r="AX273" s="5" t="str">
        <f ca="1">IFERROR(__xludf.DUMMYFUNCTION("IF(AB273 = """", """", GOOGLETRANSLATE(AB273, ""en"", ""te""))"),"")</f>
        <v/>
      </c>
    </row>
    <row r="274" spans="1:50" x14ac:dyDescent="0.25">
      <c r="A274" s="1">
        <v>289</v>
      </c>
      <c r="B274" s="1" t="s">
        <v>56</v>
      </c>
      <c r="C274" s="2">
        <v>45844</v>
      </c>
      <c r="D274" s="2">
        <v>45844</v>
      </c>
      <c r="E274" s="1">
        <v>11</v>
      </c>
      <c r="F274" s="1">
        <v>1</v>
      </c>
      <c r="G274" s="3" t="s">
        <v>773</v>
      </c>
      <c r="H274" s="4">
        <v>7.3495370370370372E-3</v>
      </c>
      <c r="I274" s="4">
        <v>5.4745370370370373E-3</v>
      </c>
      <c r="J274" s="4">
        <v>6.030092592592593E-3</v>
      </c>
      <c r="K274" s="1"/>
      <c r="L274" s="1" t="s">
        <v>76</v>
      </c>
      <c r="M274" s="1"/>
      <c r="N274" s="1"/>
      <c r="O274" s="1" t="s">
        <v>61</v>
      </c>
      <c r="P274" s="1" t="s">
        <v>61</v>
      </c>
      <c r="Q274" s="1" t="s">
        <v>61</v>
      </c>
      <c r="R274" s="1" t="s">
        <v>91</v>
      </c>
      <c r="S274" s="1" t="s">
        <v>61</v>
      </c>
      <c r="T274" s="1" t="s">
        <v>61</v>
      </c>
      <c r="U274" s="1" t="s">
        <v>61</v>
      </c>
      <c r="V274" s="1" t="s">
        <v>91</v>
      </c>
      <c r="W274" s="1" t="s">
        <v>61</v>
      </c>
      <c r="X274" s="1" t="s">
        <v>61</v>
      </c>
      <c r="Y274" s="1" t="s">
        <v>803</v>
      </c>
      <c r="Z274" s="1" t="s">
        <v>788</v>
      </c>
      <c r="AA274" s="1" t="s">
        <v>804</v>
      </c>
      <c r="AB274" s="1" t="s">
        <v>627</v>
      </c>
      <c r="AC274" s="5" t="str">
        <f ca="1">IFERROR(__xludf.DUMMYFUNCTION("IF(Y274 = """", """", GOOGLETRANSLATE(Y274, ""en"", ""hi""))
"),"पारिवारिक स्वास्थ्य पर ध्यान देने की आवश्यकता हो सकती है")</f>
        <v>पारिवारिक स्वास्थ्य पर ध्यान देने की आवश्यकता हो सकती है</v>
      </c>
      <c r="AD274" s="5" t="str">
        <f ca="1">IFERROR(__xludf.DUMMYFUNCTION("IF(Z274 = """", """", GOOGLETRANSLATE(Z274, ""en"", ""hi""))"),"अचानक खर्च")</f>
        <v>अचानक खर्च</v>
      </c>
      <c r="AE274" s="5" t="str">
        <f ca="1">IFERROR(__xludf.DUMMYFUNCTION("IF(AA274 = """", """", GOOGLETRANSLATE(AA274, ""en"", ""hi""))"),"आगामी कार्यक्रमों की योजना बनाएं")</f>
        <v>आगामी कार्यक्रमों की योजना बनाएं</v>
      </c>
      <c r="AF274" s="5" t="str">
        <f ca="1">IFERROR(__xludf.DUMMYFUNCTION("IF(AB274 = """", """", GOOGLETRANSLATE(AB274, ""en"", ""hi""))"),"मीठा बोलो")</f>
        <v>मीठा बोलो</v>
      </c>
      <c r="AG274" s="5" t="str">
        <f ca="1">IFERROR(__xludf.DUMMYFUNCTION("IF(Y274 = """", """", GOOGLETRANSLATE(Y274, ""en"", ""mr""))"),"कौटुंबिक आरोग्याकडे लक्ष द्यावे लागेल")</f>
        <v>कौटुंबिक आरोग्याकडे लक्ष द्यावे लागेल</v>
      </c>
      <c r="AH274" s="5" t="str">
        <f ca="1">IFERROR(__xludf.DUMMYFUNCTION("IF(Z274 = """", """", GOOGLETRANSLATE(Z274, ""en"", ""mr""))"),"अचानक होणारा खर्च")</f>
        <v>अचानक होणारा खर्च</v>
      </c>
      <c r="AI274" s="5" t="str">
        <f ca="1">IFERROR(__xludf.DUMMYFUNCTION("IF(AA274 = """", """", GOOGLETRANSLATE(AA274, ""en"", ""mr""))"),"आगामी कार्यक्रमांची योजना करा")</f>
        <v>आगामी कार्यक्रमांची योजना करा</v>
      </c>
      <c r="AJ274" s="5" t="str">
        <f ca="1">IFERROR(__xludf.DUMMYFUNCTION("IF(AB274 = """", """", GOOGLETRANSLATE(AB274, ""en"", ""mr""))"),"गोड बोला")</f>
        <v>गोड बोला</v>
      </c>
      <c r="AK274" s="5" t="str">
        <f ca="1">IFERROR(__xludf.DUMMYFUNCTION("IF(Y274 = """", """", GOOGLETRANSLATE(Y274, ""en"", ""gu""))"),"કૌટુંબિક સ્વાસ્થ્ય પર ધ્યાન આપવાની જરૂર પડી શકે છે")</f>
        <v>કૌટુંબિક સ્વાસ્થ્ય પર ધ્યાન આપવાની જરૂર પડી શકે છે</v>
      </c>
      <c r="AL274" s="5" t="str">
        <f ca="1">IFERROR(__xludf.DUMMYFUNCTION("IF(Z274 = """", """", GOOGLETRANSLATE(Z274, ""en"", ""gu""))"),"અચાનક ખર્ચ")</f>
        <v>અચાનક ખર્ચ</v>
      </c>
      <c r="AM274" s="5" t="str">
        <f ca="1">IFERROR(__xludf.DUMMYFUNCTION("IF(AA274 = """", """", GOOGLETRANSLATE(AA274, ""en"", ""gu""))"),"આગામી કાર્યક્રમો માટે આયોજન")</f>
        <v>આગામી કાર્યક્રમો માટે આયોજન</v>
      </c>
      <c r="AN274" s="5" t="str">
        <f ca="1">IFERROR(__xludf.DUMMYFUNCTION("IF(AB274 = """", """", GOOGLETRANSLATE(AB274, ""en"", ""gu""))"),"મધુર બોલો")</f>
        <v>મધુર બોલો</v>
      </c>
      <c r="AO274" s="5" t="str">
        <f ca="1">IFERROR(__xludf.DUMMYFUNCTION("IF(Y274 = """", """", GOOGLETRANSLATE(Y274, ""en"", ""bn""))"),"পারিবারিক স্বাস্থ্যের প্রতি মনোযোগের প্রয়োজন হতে পারে")</f>
        <v>পারিবারিক স্বাস্থ্যের প্রতি মনোযোগের প্রয়োজন হতে পারে</v>
      </c>
      <c r="AP274" s="5" t="str">
        <f ca="1">IFERROR(__xludf.DUMMYFUNCTION("IF(Z274 = """", """", GOOGLETRANSLATE(Z274, ""en"", ""bn""))"),"আকস্মিক খরচ")</f>
        <v>আকস্মিক খরচ</v>
      </c>
      <c r="AQ274" s="5" t="str">
        <f ca="1">IFERROR(__xludf.DUMMYFUNCTION("IF(AA274 = """", """", GOOGLETRANSLATE(AA274, ""en"", ""bn""))"),"আসন্ন ইভেন্টের জন্য পরিকল্পনা করুন")</f>
        <v>আসন্ন ইভেন্টের জন্য পরিকল্পনা করুন</v>
      </c>
      <c r="AR274" s="5" t="str">
        <f ca="1">IFERROR(__xludf.DUMMYFUNCTION("IF(AB274 = """", """", GOOGLETRANSLATE(AB274, ""en"", ""bn""))"),"মিষ্টি করে কথা বল")</f>
        <v>মিষ্টি করে কথা বল</v>
      </c>
      <c r="AU274" s="5" t="str">
        <f ca="1">IFERROR(__xludf.DUMMYFUNCTION("IF(Y274 = """", """", GOOGLETRANSLATE(Y274, ""en"", ""te""))"),"కుటుంబ ఆరోగ్యానికి శ్రద్ధ అవసరం కావచ్చు")</f>
        <v>కుటుంబ ఆరోగ్యానికి శ్రద్ధ అవసరం కావచ్చు</v>
      </c>
      <c r="AV274" s="5" t="str">
        <f ca="1">IFERROR(__xludf.DUMMYFUNCTION("IF(Z274 = """", """", GOOGLETRANSLATE(Z274, ""en"", ""te""))"),"ఆకస్మిక ఖర్చులు")</f>
        <v>ఆకస్మిక ఖర్చులు</v>
      </c>
      <c r="AW274" s="5" t="str">
        <f ca="1">IFERROR(__xludf.DUMMYFUNCTION("IF(AA274 = """", """", GOOGLETRANSLATE(AA274, ""en"", ""te""))"),"రాబోయే ఈవెంట్‌ల కోసం ప్లాన్ చేయండి")</f>
        <v>రాబోయే ఈవెంట్‌ల కోసం ప్లాన్ చేయండి</v>
      </c>
      <c r="AX274" s="5" t="str">
        <f ca="1">IFERROR(__xludf.DUMMYFUNCTION("IF(AB274 = """", """", GOOGLETRANSLATE(AB274, ""en"", ""te""))"),"మధురంగా ​​మాట్లాడండి")</f>
        <v>మధురంగా ​​మాట్లాడండి</v>
      </c>
    </row>
    <row r="275" spans="1:50" x14ac:dyDescent="0.25">
      <c r="A275" s="1">
        <v>290</v>
      </c>
      <c r="B275" s="1" t="s">
        <v>56</v>
      </c>
      <c r="C275" s="2">
        <v>45844</v>
      </c>
      <c r="D275" s="2">
        <v>45844</v>
      </c>
      <c r="E275" s="1">
        <v>12</v>
      </c>
      <c r="F275" s="1">
        <v>1</v>
      </c>
      <c r="G275" s="3" t="s">
        <v>773</v>
      </c>
      <c r="H275" s="4">
        <v>7.3495370370370372E-3</v>
      </c>
      <c r="I275" s="4">
        <v>6.030092592592593E-3</v>
      </c>
      <c r="J275" s="4">
        <v>6.4467592592592588E-3</v>
      </c>
      <c r="K275" s="1"/>
      <c r="L275" s="1" t="s">
        <v>79</v>
      </c>
      <c r="M275" s="1"/>
      <c r="N275" s="1"/>
      <c r="O275" s="1" t="s">
        <v>91</v>
      </c>
      <c r="P275" s="1" t="s">
        <v>61</v>
      </c>
      <c r="Q275" s="1" t="s">
        <v>61</v>
      </c>
      <c r="R275" s="1" t="s">
        <v>61</v>
      </c>
      <c r="S275" s="1" t="s">
        <v>61</v>
      </c>
      <c r="T275" s="1" t="s">
        <v>61</v>
      </c>
      <c r="U275" s="1" t="s">
        <v>61</v>
      </c>
      <c r="V275" s="1" t="s">
        <v>61</v>
      </c>
      <c r="W275" s="1" t="s">
        <v>61</v>
      </c>
      <c r="X275" s="1" t="s">
        <v>91</v>
      </c>
      <c r="Y275" s="1" t="s">
        <v>805</v>
      </c>
      <c r="Z275" s="1" t="s">
        <v>806</v>
      </c>
      <c r="AA275" s="1" t="s">
        <v>807</v>
      </c>
      <c r="AB275" s="1" t="s">
        <v>808</v>
      </c>
      <c r="AC275" s="5" t="str">
        <f ca="1">IFERROR(__xludf.DUMMYFUNCTION("IF(Y275 = """", """", GOOGLETRANSLATE(Y275, ""en"", ""hi""))
"),"तनाव से राहत शुरू होती है")</f>
        <v>तनाव से राहत शुरू होती है</v>
      </c>
      <c r="AD275" s="5" t="str">
        <f ca="1">IFERROR(__xludf.DUMMYFUNCTION("IF(Z275 = """", """", GOOGLETRANSLATE(Z275, ""en"", ""hi""))"),"जीवन पटरी पर लौट रहा है")</f>
        <v>जीवन पटरी पर लौट रहा है</v>
      </c>
      <c r="AE275" s="5" t="str">
        <f ca="1">IFERROR(__xludf.DUMMYFUNCTION("IF(AA275 = """", """", GOOGLETRANSLATE(AA275, ""en"", ""hi""))"),"जीवनसाथी के स्वास्थ्य में सुधार")</f>
        <v>जीवनसाथी के स्वास्थ्य में सुधार</v>
      </c>
      <c r="AF275" s="5" t="str">
        <f ca="1">IFERROR(__xludf.DUMMYFUNCTION("IF(AB275 = """", """", GOOGLETRANSLATE(AB275, ""en"", ""hi""))"),"परिवार का समर्थन मजबूत")</f>
        <v>परिवार का समर्थन मजबूत</v>
      </c>
      <c r="AG275" s="5" t="str">
        <f ca="1">IFERROR(__xludf.DUMMYFUNCTION("IF(Y275 = """", """", GOOGLETRANSLATE(Y275, ""en"", ""mr""))"),"तणावमुक्ती सुरू होते")</f>
        <v>तणावमुक्ती सुरू होते</v>
      </c>
      <c r="AH275" s="5" t="str">
        <f ca="1">IFERROR(__xludf.DUMMYFUNCTION("IF(Z275 = """", """", GOOGLETRANSLATE(Z275, ""en"", ""mr""))"),"आयुष्य पुन्हा रुळावर येत आहे")</f>
        <v>आयुष्य पुन्हा रुळावर येत आहे</v>
      </c>
      <c r="AI275" s="5" t="str">
        <f ca="1">IFERROR(__xludf.DUMMYFUNCTION("IF(AA275 = """", """", GOOGLETRANSLATE(AA275, ""en"", ""mr""))"),"जोडीदाराचे आरोग्य सुधारते")</f>
        <v>जोडीदाराचे आरोग्य सुधारते</v>
      </c>
      <c r="AJ275" s="5" t="str">
        <f ca="1">IFERROR(__xludf.DUMMYFUNCTION("IF(AB275 = """", """", GOOGLETRANSLATE(AB275, ""en"", ""mr""))"),"कौटुंबिक आधार मजबूत")</f>
        <v>कौटुंबिक आधार मजबूत</v>
      </c>
      <c r="AK275" s="5" t="str">
        <f ca="1">IFERROR(__xludf.DUMMYFUNCTION("IF(Y275 = """", """", GOOGLETRANSLATE(Y275, ""en"", ""gu""))"),"તણાવ રાહત શરૂ થાય છે")</f>
        <v>તણાવ રાહત શરૂ થાય છે</v>
      </c>
      <c r="AL275" s="5" t="str">
        <f ca="1">IFERROR(__xludf.DUMMYFUNCTION("IF(Z275 = """", """", GOOGLETRANSLATE(Z275, ""en"", ""gu""))"),"જીવન પાટા પર પાછું આવી રહ્યું છે")</f>
        <v>જીવન પાટા પર પાછું આવી રહ્યું છે</v>
      </c>
      <c r="AM275" s="5" t="str">
        <f ca="1">IFERROR(__xludf.DUMMYFUNCTION("IF(AA275 = """", """", GOOGLETRANSLATE(AA275, ""en"", ""gu""))"),"જીવનસાથીના સ્વાસ્થ્યમાં સુધારો થાય")</f>
        <v>જીવનસાથીના સ્વાસ્થ્યમાં સુધારો થાય</v>
      </c>
      <c r="AN275" s="5" t="str">
        <f ca="1">IFERROR(__xludf.DUMMYFUNCTION("IF(AB275 = """", """", GOOGLETRANSLATE(AB275, ""en"", ""gu""))"),"કૌટુંબિક સમર્થન મજબૂત")</f>
        <v>કૌટુંબિક સમર્થન મજબૂત</v>
      </c>
      <c r="AO275" s="5" t="str">
        <f ca="1">IFERROR(__xludf.DUMMYFUNCTION("IF(Y275 = """", """", GOOGLETRANSLATE(Y275, ""en"", ""bn""))"),"স্ট্রেস রিলিফ শুরু হয়")</f>
        <v>স্ট্রেস রিলিফ শুরু হয়</v>
      </c>
      <c r="AP275" s="5" t="str">
        <f ca="1">IFERROR(__xludf.DUMMYFUNCTION("IF(Z275 = """", """", GOOGLETRANSLATE(Z275, ""en"", ""bn""))"),"জীবন ট্র্যাকে ফিরে আসছে")</f>
        <v>জীবন ট্র্যাকে ফিরে আসছে</v>
      </c>
      <c r="AQ275" s="5" t="str">
        <f ca="1">IFERROR(__xludf.DUMMYFUNCTION("IF(AA275 = """", """", GOOGLETRANSLATE(AA275, ""en"", ""bn""))"),"জীবনসঙ্গীর স্বাস্থ্যের উন্নতি হয়")</f>
        <v>জীবনসঙ্গীর স্বাস্থ্যের উন্নতি হয়</v>
      </c>
      <c r="AR275" s="5" t="str">
        <f ca="1">IFERROR(__xludf.DUMMYFUNCTION("IF(AB275 = """", """", GOOGLETRANSLATE(AB275, ""en"", ""bn""))"),"পরিবারের সমর্থন শক্তিশালী")</f>
        <v>পরিবারের সমর্থন শক্তিশালী</v>
      </c>
      <c r="AU275" s="5" t="str">
        <f ca="1">IFERROR(__xludf.DUMMYFUNCTION("IF(Y275 = """", """", GOOGLETRANSLATE(Y275, ""en"", ""te""))"),"ఒత్తిడి ఉపశమనం ప్రారంభమవుతుంది")</f>
        <v>ఒత్తిడి ఉపశమనం ప్రారంభమవుతుంది</v>
      </c>
      <c r="AV275" s="5" t="str">
        <f ca="1">IFERROR(__xludf.DUMMYFUNCTION("IF(Z275 = """", """", GOOGLETRANSLATE(Z275, ""en"", ""te""))"),"జీవితం తిరిగి పట్టాలెక్కుతోంది")</f>
        <v>జీవితం తిరిగి పట్టాలెక్కుతోంది</v>
      </c>
      <c r="AW275" s="5" t="str">
        <f ca="1">IFERROR(__xludf.DUMMYFUNCTION("IF(AA275 = """", """", GOOGLETRANSLATE(AA275, ""en"", ""te""))"),"జీవిత భాగస్వామి ఆరోగ్యం మెరుగుపడుతుంది")</f>
        <v>జీవిత భాగస్వామి ఆరోగ్యం మెరుగుపడుతుంది</v>
      </c>
      <c r="AX275" s="5" t="str">
        <f ca="1">IFERROR(__xludf.DUMMYFUNCTION("IF(AB275 = """", """", GOOGLETRANSLATE(AB275, ""en"", ""te""))"),"కుటుంబ మద్దతు బలంగా ఉంటుంది")</f>
        <v>కుటుంబ మద్దతు బలంగా ఉంటుంది</v>
      </c>
    </row>
    <row r="276" spans="1:50" x14ac:dyDescent="0.25">
      <c r="A276" s="1">
        <v>291</v>
      </c>
      <c r="B276" s="1" t="s">
        <v>56</v>
      </c>
      <c r="C276" s="2">
        <v>45844</v>
      </c>
      <c r="D276" s="2">
        <v>45844</v>
      </c>
      <c r="E276" s="1">
        <v>13</v>
      </c>
      <c r="F276" s="1">
        <v>1</v>
      </c>
      <c r="G276" s="3" t="s">
        <v>773</v>
      </c>
      <c r="H276" s="4">
        <v>7.3495370370370372E-3</v>
      </c>
      <c r="I276" s="4">
        <v>6.4467592592592588E-3</v>
      </c>
      <c r="J276" s="4">
        <v>7.0486111111111114E-3</v>
      </c>
      <c r="K276" s="1"/>
      <c r="L276" s="1" t="s">
        <v>81</v>
      </c>
      <c r="M276" s="1"/>
      <c r="N276" s="1"/>
      <c r="O276" s="1" t="s">
        <v>61</v>
      </c>
      <c r="P276" s="1" t="s">
        <v>61</v>
      </c>
      <c r="Q276" s="1" t="s">
        <v>61</v>
      </c>
      <c r="R276" s="1" t="s">
        <v>61</v>
      </c>
      <c r="S276" s="1" t="s">
        <v>61</v>
      </c>
      <c r="T276" s="1" t="s">
        <v>91</v>
      </c>
      <c r="U276" s="1" t="s">
        <v>61</v>
      </c>
      <c r="V276" s="1" t="s">
        <v>61</v>
      </c>
      <c r="W276" s="1" t="s">
        <v>61</v>
      </c>
      <c r="X276" s="1" t="s">
        <v>91</v>
      </c>
      <c r="Y276" s="1" t="s">
        <v>809</v>
      </c>
      <c r="Z276" s="1" t="s">
        <v>810</v>
      </c>
      <c r="AA276" s="1" t="s">
        <v>275</v>
      </c>
      <c r="AB276" s="1" t="s">
        <v>811</v>
      </c>
      <c r="AC276" s="5" t="str">
        <f ca="1">IFERROR(__xludf.DUMMYFUNCTION("IF(Y276 = """", """", GOOGLETRANSLATE(Y276, ""en"", ""hi""))
"),"उकसावे पर प्रतिक्रिया करने से बचें")</f>
        <v>उकसावे पर प्रतिक्रिया करने से बचें</v>
      </c>
      <c r="AD276" s="5" t="str">
        <f ca="1">IFERROR(__xludf.DUMMYFUNCTION("IF(Z276 = """", """", GOOGLETRANSLATE(Z276, ""en"", ""hi""))"),"स्वास्थ्य को हल्के में न लें")</f>
        <v>स्वास्थ्य को हल्के में न लें</v>
      </c>
      <c r="AE276" s="5" t="str">
        <f ca="1">IFERROR(__xludf.DUMMYFUNCTION("IF(AA276 = """", """", GOOGLETRANSLATE(AA276, ""en"", ""hi""))"),"ध्यान से चलाएं")</f>
        <v>ध्यान से चलाएं</v>
      </c>
      <c r="AF276" s="5" t="str">
        <f ca="1">IFERROR(__xludf.DUMMYFUNCTION("IF(AB276 = """", """", GOOGLETRANSLATE(AB276, ""en"", ""hi""))"),"नियमित कार्य शांतिपूर्वक करें")</f>
        <v>नियमित कार्य शांतिपूर्वक करें</v>
      </c>
      <c r="AG276" s="5" t="str">
        <f ca="1">IFERROR(__xludf.DUMMYFUNCTION("IF(Y276 = """", """", GOOGLETRANSLATE(Y276, ""en"", ""mr""))"),"चिथावणीखोर प्रतिक्रिया देणे टाळा")</f>
        <v>चिथावणीखोर प्रतिक्रिया देणे टाळा</v>
      </c>
      <c r="AH276" s="5" t="str">
        <f ca="1">IFERROR(__xludf.DUMMYFUNCTION("IF(Z276 = """", """", GOOGLETRANSLATE(Z276, ""en"", ""mr""))"),"आरोग्याला हलके घेऊ नका")</f>
        <v>आरोग्याला हलके घेऊ नका</v>
      </c>
      <c r="AI276" s="5" t="str">
        <f ca="1">IFERROR(__xludf.DUMMYFUNCTION("IF(AA276 = """", """", GOOGLETRANSLATE(AA276, ""en"", ""mr""))"),"जपून चालवा")</f>
        <v>जपून चालवा</v>
      </c>
      <c r="AJ276" s="5" t="str">
        <f ca="1">IFERROR(__xludf.DUMMYFUNCTION("IF(AB276 = """", """", GOOGLETRANSLATE(AB276, ""en"", ""mr""))"),"नियमित काम शांतपणे करा")</f>
        <v>नियमित काम शांतपणे करा</v>
      </c>
      <c r="AK276" s="5" t="str">
        <f ca="1">IFERROR(__xludf.DUMMYFUNCTION("IF(Y276 = """", """", GOOGLETRANSLATE(Y276, ""en"", ""gu""))"),"ઉશ્કેરણી પર પ્રતિક્રિયા આપવાનું ટાળો")</f>
        <v>ઉશ્કેરણી પર પ્રતિક્રિયા આપવાનું ટાળો</v>
      </c>
      <c r="AL276" s="5" t="str">
        <f ca="1">IFERROR(__xludf.DUMMYFUNCTION("IF(Z276 = """", """", GOOGLETRANSLATE(Z276, ""en"", ""gu""))"),"સ્વાસ્થ્યને હળવાશથી ન લો")</f>
        <v>સ્વાસ્થ્યને હળવાશથી ન લો</v>
      </c>
      <c r="AM276" s="5" t="str">
        <f ca="1">IFERROR(__xludf.DUMMYFUNCTION("IF(AA276 = """", """", GOOGLETRANSLATE(AA276, ""en"", ""gu""))"),"કાળજીપૂર્વક વાહન ચલાવો")</f>
        <v>કાળજીપૂર્વક વાહન ચલાવો</v>
      </c>
      <c r="AN276" s="5" t="str">
        <f ca="1">IFERROR(__xludf.DUMMYFUNCTION("IF(AB276 = """", """", GOOGLETRANSLATE(AB276, ""en"", ""gu""))"),"નિયમિત કામ શાંતિથી કરો")</f>
        <v>નિયમિત કામ શાંતિથી કરો</v>
      </c>
      <c r="AO276" s="5" t="str">
        <f ca="1">IFERROR(__xludf.DUMMYFUNCTION("IF(Y276 = """", """", GOOGLETRANSLATE(Y276, ""en"", ""bn""))"),"উস্কানিমূলক প্রতিক্রিয়া এড়িয়ে চলুন")</f>
        <v>উস্কানিমূলক প্রতিক্রিয়া এড়িয়ে চলুন</v>
      </c>
      <c r="AP276" s="5" t="str">
        <f ca="1">IFERROR(__xludf.DUMMYFUNCTION("IF(Z276 = """", """", GOOGLETRANSLATE(Z276, ""en"", ""bn""))"),"স্বাস্থ্যকে হালকাভাবে নেবেন না")</f>
        <v>স্বাস্থ্যকে হালকাভাবে নেবেন না</v>
      </c>
      <c r="AQ276" s="5" t="str">
        <f ca="1">IFERROR(__xludf.DUMMYFUNCTION("IF(AA276 = """", """", GOOGLETRANSLATE(AA276, ""en"", ""bn""))"),"সাবধানে চালান")</f>
        <v>সাবধানে চালান</v>
      </c>
      <c r="AR276" s="5" t="str">
        <f ca="1">IFERROR(__xludf.DUMMYFUNCTION("IF(AB276 = """", """", GOOGLETRANSLATE(AB276, ""en"", ""bn""))"),"শান্তভাবে রুটিন কাজ করুন")</f>
        <v>শান্তভাবে রুটিন কাজ করুন</v>
      </c>
      <c r="AU276" s="5" t="str">
        <f ca="1">IFERROR(__xludf.DUMMYFUNCTION("IF(Y276 = """", """", GOOGLETRANSLATE(Y276, ""en"", ""te""))"),"రెచ్చగొట్టే చర్యలకు ప్రతిస్పందించడం మానుకోండి")</f>
        <v>రెచ్చగొట్టే చర్యలకు ప్రతిస్పందించడం మానుకోండి</v>
      </c>
      <c r="AV276" s="5" t="str">
        <f ca="1">IFERROR(__xludf.DUMMYFUNCTION("IF(Z276 = """", """", GOOGLETRANSLATE(Z276, ""en"", ""te""))"),"ఆరోగ్యాన్ని తేలికగా తీసుకోకండి")</f>
        <v>ఆరోగ్యాన్ని తేలికగా తీసుకోకండి</v>
      </c>
      <c r="AW276" s="5" t="str">
        <f ca="1">IFERROR(__xludf.DUMMYFUNCTION("IF(AA276 = """", """", GOOGLETRANSLATE(AA276, ""en"", ""te""))"),"జాగ్రత్తగా డ్రైవ్ చేయండి")</f>
        <v>జాగ్రత్తగా డ్రైవ్ చేయండి</v>
      </c>
      <c r="AX276" s="5" t="str">
        <f ca="1">IFERROR(__xludf.DUMMYFUNCTION("IF(AB276 = """", """", GOOGLETRANSLATE(AB276, ""en"", ""te""))"),"సాధారణ పనిని ప్రశాంతంగా చేయండి")</f>
        <v>సాధారణ పనిని ప్రశాంతంగా చేయండి</v>
      </c>
    </row>
    <row r="277" spans="1:50" x14ac:dyDescent="0.25">
      <c r="A277" s="1">
        <v>292</v>
      </c>
      <c r="B277" s="1" t="s">
        <v>56</v>
      </c>
      <c r="C277" s="2">
        <v>45844</v>
      </c>
      <c r="D277" s="2">
        <v>45844</v>
      </c>
      <c r="E277" s="1">
        <v>14</v>
      </c>
      <c r="F277" s="1">
        <v>1</v>
      </c>
      <c r="G277" s="3" t="s">
        <v>773</v>
      </c>
      <c r="H277" s="4">
        <v>7.3495370370370372E-3</v>
      </c>
      <c r="I277" s="4">
        <v>7.0486111111111114E-3</v>
      </c>
      <c r="J277" s="4">
        <v>7.3495370370370372E-3</v>
      </c>
      <c r="K277" s="1"/>
      <c r="L277" s="1" t="s">
        <v>137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 t="str">
        <f ca="1">IFERROR(__xludf.DUMMYFUNCTION("IF(Y277 = """", """", GOOGLETRANSLATE(Y277, ""en"", ""hi""))
"),"")</f>
        <v/>
      </c>
      <c r="AD277" s="5" t="str">
        <f ca="1">IFERROR(__xludf.DUMMYFUNCTION("IF(Z277 = """", """", GOOGLETRANSLATE(Z277, ""en"", ""hi""))"),"")</f>
        <v/>
      </c>
      <c r="AE277" s="5" t="str">
        <f ca="1">IFERROR(__xludf.DUMMYFUNCTION("IF(AA277 = """", """", GOOGLETRANSLATE(AA277, ""en"", ""hi""))"),"")</f>
        <v/>
      </c>
      <c r="AF277" s="5" t="str">
        <f ca="1">IFERROR(__xludf.DUMMYFUNCTION("IF(AB277 = """", """", GOOGLETRANSLATE(AB277, ""en"", ""hi""))"),"")</f>
        <v/>
      </c>
      <c r="AG277" s="5" t="str">
        <f ca="1">IFERROR(__xludf.DUMMYFUNCTION("IF(Y277 = """", """", GOOGLETRANSLATE(Y277, ""en"", ""mr""))"),"")</f>
        <v/>
      </c>
      <c r="AH277" s="5" t="str">
        <f ca="1">IFERROR(__xludf.DUMMYFUNCTION("IF(Z277 = """", """", GOOGLETRANSLATE(Z277, ""en"", ""mr""))"),"")</f>
        <v/>
      </c>
      <c r="AI277" s="5" t="str">
        <f ca="1">IFERROR(__xludf.DUMMYFUNCTION("IF(AA277 = """", """", GOOGLETRANSLATE(AA277, ""en"", ""mr""))"),"")</f>
        <v/>
      </c>
      <c r="AJ277" s="5" t="str">
        <f ca="1">IFERROR(__xludf.DUMMYFUNCTION("IF(AB277 = """", """", GOOGLETRANSLATE(AB277, ""en"", ""mr""))"),"")</f>
        <v/>
      </c>
      <c r="AK277" s="5" t="str">
        <f ca="1">IFERROR(__xludf.DUMMYFUNCTION("IF(Y277 = """", """", GOOGLETRANSLATE(Y277, ""en"", ""gu""))"),"")</f>
        <v/>
      </c>
      <c r="AL277" s="5" t="str">
        <f ca="1">IFERROR(__xludf.DUMMYFUNCTION("IF(Z277 = """", """", GOOGLETRANSLATE(Z277, ""en"", ""gu""))"),"")</f>
        <v/>
      </c>
      <c r="AM277" s="5" t="str">
        <f ca="1">IFERROR(__xludf.DUMMYFUNCTION("IF(AA277 = """", """", GOOGLETRANSLATE(AA277, ""en"", ""gu""))"),"")</f>
        <v/>
      </c>
      <c r="AN277" s="5" t="str">
        <f ca="1">IFERROR(__xludf.DUMMYFUNCTION("IF(AB277 = """", """", GOOGLETRANSLATE(AB277, ""en"", ""gu""))"),"")</f>
        <v/>
      </c>
      <c r="AO277" s="5" t="str">
        <f ca="1">IFERROR(__xludf.DUMMYFUNCTION("IF(Y277 = """", """", GOOGLETRANSLATE(Y277, ""en"", ""bn""))"),"")</f>
        <v/>
      </c>
      <c r="AP277" s="5" t="str">
        <f ca="1">IFERROR(__xludf.DUMMYFUNCTION("IF(Z277 = """", """", GOOGLETRANSLATE(Z277, ""en"", ""bn""))"),"")</f>
        <v/>
      </c>
      <c r="AQ277" s="5" t="str">
        <f ca="1">IFERROR(__xludf.DUMMYFUNCTION("IF(AA277 = """", """", GOOGLETRANSLATE(AA277, ""en"", ""bn""))"),"")</f>
        <v/>
      </c>
      <c r="AR277" s="5" t="str">
        <f ca="1">IFERROR(__xludf.DUMMYFUNCTION("IF(AB277 = """", """", GOOGLETRANSLATE(AB277, ""en"", ""bn""))"),"")</f>
        <v/>
      </c>
      <c r="AU277" s="5" t="str">
        <f ca="1">IFERROR(__xludf.DUMMYFUNCTION("IF(Y277 = """", """", GOOGLETRANSLATE(Y277, ""en"", ""te""))"),"")</f>
        <v/>
      </c>
      <c r="AV277" s="5" t="str">
        <f ca="1">IFERROR(__xludf.DUMMYFUNCTION("IF(Z277 = """", """", GOOGLETRANSLATE(Z277, ""en"", ""te""))"),"")</f>
        <v/>
      </c>
      <c r="AW277" s="5" t="str">
        <f ca="1">IFERROR(__xludf.DUMMYFUNCTION("IF(AA277 = """", """", GOOGLETRANSLATE(AA277, ""en"", ""te""))"),"")</f>
        <v/>
      </c>
      <c r="AX277" s="5" t="str">
        <f ca="1">IFERROR(__xludf.DUMMYFUNCTION("IF(AB277 = """", """", GOOGLETRANSLATE(AB277, ""en"", ""te""))"),"")</f>
        <v/>
      </c>
    </row>
    <row r="278" spans="1:50" x14ac:dyDescent="0.25">
      <c r="A278" s="1">
        <v>293</v>
      </c>
      <c r="B278" s="1" t="s">
        <v>56</v>
      </c>
      <c r="C278" s="2">
        <v>45845</v>
      </c>
      <c r="D278" s="2">
        <v>45845</v>
      </c>
      <c r="E278" s="1">
        <v>1</v>
      </c>
      <c r="F278" s="1">
        <v>1</v>
      </c>
      <c r="G278" s="3" t="s">
        <v>812</v>
      </c>
      <c r="H278" s="4">
        <v>7.4074074074074077E-3</v>
      </c>
      <c r="I278" s="4">
        <v>0</v>
      </c>
      <c r="J278" s="4">
        <v>9.6064814814814819E-4</v>
      </c>
      <c r="K278" s="1"/>
      <c r="L278" s="1" t="s">
        <v>59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 t="str">
        <f ca="1">IFERROR(__xludf.DUMMYFUNCTION("IF(Y278 = """", """", GOOGLETRANSLATE(Y278, ""en"", ""hi""))
"),"")</f>
        <v/>
      </c>
      <c r="AD278" s="5" t="str">
        <f ca="1">IFERROR(__xludf.DUMMYFUNCTION("IF(Z278 = """", """", GOOGLETRANSLATE(Z278, ""en"", ""hi""))"),"")</f>
        <v/>
      </c>
      <c r="AE278" s="5" t="str">
        <f ca="1">IFERROR(__xludf.DUMMYFUNCTION("IF(AA278 = """", """", GOOGLETRANSLATE(AA278, ""en"", ""hi""))"),"")</f>
        <v/>
      </c>
      <c r="AF278" s="5" t="str">
        <f ca="1">IFERROR(__xludf.DUMMYFUNCTION("IF(AB278 = """", """", GOOGLETRANSLATE(AB278, ""en"", ""hi""))"),"")</f>
        <v/>
      </c>
      <c r="AG278" s="5" t="str">
        <f ca="1">IFERROR(__xludf.DUMMYFUNCTION("IF(Y278 = """", """", GOOGLETRANSLATE(Y278, ""en"", ""mr""))"),"")</f>
        <v/>
      </c>
      <c r="AH278" s="5" t="str">
        <f ca="1">IFERROR(__xludf.DUMMYFUNCTION("IF(Z278 = """", """", GOOGLETRANSLATE(Z278, ""en"", ""mr""))"),"")</f>
        <v/>
      </c>
      <c r="AI278" s="5" t="str">
        <f ca="1">IFERROR(__xludf.DUMMYFUNCTION("IF(AA278 = """", """", GOOGLETRANSLATE(AA278, ""en"", ""mr""))"),"")</f>
        <v/>
      </c>
      <c r="AJ278" s="5" t="str">
        <f ca="1">IFERROR(__xludf.DUMMYFUNCTION("IF(AB278 = """", """", GOOGLETRANSLATE(AB278, ""en"", ""mr""))"),"")</f>
        <v/>
      </c>
      <c r="AK278" s="5" t="str">
        <f ca="1">IFERROR(__xludf.DUMMYFUNCTION("IF(Y278 = """", """", GOOGLETRANSLATE(Y278, ""en"", ""gu""))"),"")</f>
        <v/>
      </c>
      <c r="AL278" s="5" t="str">
        <f ca="1">IFERROR(__xludf.DUMMYFUNCTION("IF(Z278 = """", """", GOOGLETRANSLATE(Z278, ""en"", ""gu""))"),"")</f>
        <v/>
      </c>
      <c r="AM278" s="5" t="str">
        <f ca="1">IFERROR(__xludf.DUMMYFUNCTION("IF(AA278 = """", """", GOOGLETRANSLATE(AA278, ""en"", ""gu""))"),"")</f>
        <v/>
      </c>
      <c r="AN278" s="5" t="str">
        <f ca="1">IFERROR(__xludf.DUMMYFUNCTION("IF(AB278 = """", """", GOOGLETRANSLATE(AB278, ""en"", ""gu""))"),"")</f>
        <v/>
      </c>
      <c r="AO278" s="5" t="str">
        <f ca="1">IFERROR(__xludf.DUMMYFUNCTION("IF(Y278 = """", """", GOOGLETRANSLATE(Y278, ""en"", ""bn""))"),"")</f>
        <v/>
      </c>
      <c r="AP278" s="5" t="str">
        <f ca="1">IFERROR(__xludf.DUMMYFUNCTION("IF(Z278 = """", """", GOOGLETRANSLATE(Z278, ""en"", ""bn""))"),"")</f>
        <v/>
      </c>
      <c r="AQ278" s="5" t="str">
        <f ca="1">IFERROR(__xludf.DUMMYFUNCTION("IF(AA278 = """", """", GOOGLETRANSLATE(AA278, ""en"", ""bn""))"),"")</f>
        <v/>
      </c>
      <c r="AR278" s="5" t="str">
        <f ca="1">IFERROR(__xludf.DUMMYFUNCTION("IF(AB278 = """", """", GOOGLETRANSLATE(AB278, ""en"", ""bn""))"),"")</f>
        <v/>
      </c>
      <c r="AU278" s="5" t="str">
        <f ca="1">IFERROR(__xludf.DUMMYFUNCTION("IF(Y278 = """", """", GOOGLETRANSLATE(Y278, ""en"", ""te""))"),"")</f>
        <v/>
      </c>
      <c r="AV278" s="5" t="str">
        <f ca="1">IFERROR(__xludf.DUMMYFUNCTION("IF(Z278 = """", """", GOOGLETRANSLATE(Z278, ""en"", ""te""))"),"")</f>
        <v/>
      </c>
      <c r="AW278" s="5" t="str">
        <f ca="1">IFERROR(__xludf.DUMMYFUNCTION("IF(AA278 = """", """", GOOGLETRANSLATE(AA278, ""en"", ""te""))"),"")</f>
        <v/>
      </c>
      <c r="AX278" s="5" t="str">
        <f ca="1">IFERROR(__xludf.DUMMYFUNCTION("IF(AB278 = """", """", GOOGLETRANSLATE(AB278, ""en"", ""te""))"),"")</f>
        <v/>
      </c>
    </row>
    <row r="279" spans="1:50" x14ac:dyDescent="0.25">
      <c r="A279" s="1">
        <v>294</v>
      </c>
      <c r="B279" s="1" t="s">
        <v>56</v>
      </c>
      <c r="C279" s="2">
        <v>45845</v>
      </c>
      <c r="D279" s="2">
        <v>45845</v>
      </c>
      <c r="E279" s="1">
        <v>2</v>
      </c>
      <c r="F279" s="1">
        <v>1</v>
      </c>
      <c r="G279" s="3" t="s">
        <v>812</v>
      </c>
      <c r="H279" s="4">
        <v>7.4074074074074077E-3</v>
      </c>
      <c r="I279" s="4">
        <v>9.6064814814814819E-4</v>
      </c>
      <c r="J279" s="4">
        <v>1.5162037037037036E-3</v>
      </c>
      <c r="K279" s="1"/>
      <c r="L279" s="1" t="s">
        <v>142</v>
      </c>
      <c r="M279" s="1"/>
      <c r="N279" s="1"/>
      <c r="O279" s="1" t="s">
        <v>61</v>
      </c>
      <c r="P279" s="1" t="s">
        <v>61</v>
      </c>
      <c r="Q279" s="1" t="s">
        <v>61</v>
      </c>
      <c r="R279" s="1" t="s">
        <v>61</v>
      </c>
      <c r="S279" s="1" t="s">
        <v>61</v>
      </c>
      <c r="T279" s="1" t="s">
        <v>91</v>
      </c>
      <c r="U279" s="1" t="s">
        <v>61</v>
      </c>
      <c r="V279" s="1" t="s">
        <v>61</v>
      </c>
      <c r="W279" s="1" t="s">
        <v>91</v>
      </c>
      <c r="X279" s="1" t="s">
        <v>61</v>
      </c>
      <c r="Y279" s="1"/>
      <c r="Z279" s="1"/>
      <c r="AA279" s="1"/>
      <c r="AB279" s="1"/>
      <c r="AC279" s="5" t="str">
        <f ca="1">IFERROR(__xludf.DUMMYFUNCTION("IF(Y279 = """", """", GOOGLETRANSLATE(Y279, ""en"", ""hi""))
"),"")</f>
        <v/>
      </c>
      <c r="AD279" s="5" t="str">
        <f ca="1">IFERROR(__xludf.DUMMYFUNCTION("IF(Z279 = """", """", GOOGLETRANSLATE(Z279, ""en"", ""hi""))"),"")</f>
        <v/>
      </c>
      <c r="AE279" s="5" t="str">
        <f ca="1">IFERROR(__xludf.DUMMYFUNCTION("IF(AA279 = """", """", GOOGLETRANSLATE(AA279, ""en"", ""hi""))"),"")</f>
        <v/>
      </c>
      <c r="AF279" s="5" t="str">
        <f ca="1">IFERROR(__xludf.DUMMYFUNCTION("IF(AB279 = """", """", GOOGLETRANSLATE(AB279, ""en"", ""hi""))"),"")</f>
        <v/>
      </c>
      <c r="AG279" s="5" t="str">
        <f ca="1">IFERROR(__xludf.DUMMYFUNCTION("IF(Y279 = """", """", GOOGLETRANSLATE(Y279, ""en"", ""mr""))"),"")</f>
        <v/>
      </c>
      <c r="AH279" s="5" t="str">
        <f ca="1">IFERROR(__xludf.DUMMYFUNCTION("IF(Z279 = """", """", GOOGLETRANSLATE(Z279, ""en"", ""mr""))"),"")</f>
        <v/>
      </c>
      <c r="AI279" s="5" t="str">
        <f ca="1">IFERROR(__xludf.DUMMYFUNCTION("IF(AA279 = """", """", GOOGLETRANSLATE(AA279, ""en"", ""mr""))"),"")</f>
        <v/>
      </c>
      <c r="AJ279" s="5" t="str">
        <f ca="1">IFERROR(__xludf.DUMMYFUNCTION("IF(AB279 = """", """", GOOGLETRANSLATE(AB279, ""en"", ""mr""))"),"")</f>
        <v/>
      </c>
      <c r="AK279" s="5" t="str">
        <f ca="1">IFERROR(__xludf.DUMMYFUNCTION("IF(Y279 = """", """", GOOGLETRANSLATE(Y279, ""en"", ""gu""))"),"")</f>
        <v/>
      </c>
      <c r="AL279" s="5" t="str">
        <f ca="1">IFERROR(__xludf.DUMMYFUNCTION("IF(Z279 = """", """", GOOGLETRANSLATE(Z279, ""en"", ""gu""))"),"")</f>
        <v/>
      </c>
      <c r="AM279" s="5" t="str">
        <f ca="1">IFERROR(__xludf.DUMMYFUNCTION("IF(AA279 = """", """", GOOGLETRANSLATE(AA279, ""en"", ""gu""))"),"")</f>
        <v/>
      </c>
      <c r="AN279" s="5" t="str">
        <f ca="1">IFERROR(__xludf.DUMMYFUNCTION("IF(AB279 = """", """", GOOGLETRANSLATE(AB279, ""en"", ""gu""))"),"")</f>
        <v/>
      </c>
      <c r="AO279" s="5" t="str">
        <f ca="1">IFERROR(__xludf.DUMMYFUNCTION("IF(Y279 = """", """", GOOGLETRANSLATE(Y279, ""en"", ""bn""))"),"")</f>
        <v/>
      </c>
      <c r="AP279" s="5" t="str">
        <f ca="1">IFERROR(__xludf.DUMMYFUNCTION("IF(Z279 = """", """", GOOGLETRANSLATE(Z279, ""en"", ""bn""))"),"")</f>
        <v/>
      </c>
      <c r="AQ279" s="5" t="str">
        <f ca="1">IFERROR(__xludf.DUMMYFUNCTION("IF(AA279 = """", """", GOOGLETRANSLATE(AA279, ""en"", ""bn""))"),"")</f>
        <v/>
      </c>
      <c r="AR279" s="5" t="str">
        <f ca="1">IFERROR(__xludf.DUMMYFUNCTION("IF(AB279 = """", """", GOOGLETRANSLATE(AB279, ""en"", ""bn""))"),"")</f>
        <v/>
      </c>
      <c r="AU279" s="5" t="str">
        <f ca="1">IFERROR(__xludf.DUMMYFUNCTION("IF(Y279 = """", """", GOOGLETRANSLATE(Y279, ""en"", ""te""))"),"")</f>
        <v/>
      </c>
      <c r="AV279" s="5" t="str">
        <f ca="1">IFERROR(__xludf.DUMMYFUNCTION("IF(Z279 = """", """", GOOGLETRANSLATE(Z279, ""en"", ""te""))"),"")</f>
        <v/>
      </c>
      <c r="AW279" s="5" t="str">
        <f ca="1">IFERROR(__xludf.DUMMYFUNCTION("IF(AA279 = """", """", GOOGLETRANSLATE(AA279, ""en"", ""te""))"),"")</f>
        <v/>
      </c>
      <c r="AX279" s="5" t="str">
        <f ca="1">IFERROR(__xludf.DUMMYFUNCTION("IF(AB279 = """", """", GOOGLETRANSLATE(AB279, ""en"", ""te""))"),"")</f>
        <v/>
      </c>
    </row>
    <row r="280" spans="1:50" x14ac:dyDescent="0.25">
      <c r="A280" s="1">
        <v>295</v>
      </c>
      <c r="B280" s="1" t="s">
        <v>56</v>
      </c>
      <c r="C280" s="2">
        <v>45845</v>
      </c>
      <c r="D280" s="2">
        <v>45845</v>
      </c>
      <c r="E280" s="1">
        <v>3</v>
      </c>
      <c r="F280" s="1">
        <v>1</v>
      </c>
      <c r="G280" s="3" t="s">
        <v>812</v>
      </c>
      <c r="H280" s="4">
        <v>7.4074074074074077E-3</v>
      </c>
      <c r="I280" s="4">
        <v>1.5162037037037036E-3</v>
      </c>
      <c r="J280" s="4">
        <v>2.0949074074074073E-3</v>
      </c>
      <c r="K280" s="1"/>
      <c r="L280" s="1" t="s">
        <v>90</v>
      </c>
      <c r="M280" s="1"/>
      <c r="N280" s="1"/>
      <c r="O280" s="1" t="s">
        <v>91</v>
      </c>
      <c r="P280" s="1" t="s">
        <v>61</v>
      </c>
      <c r="Q280" s="1" t="s">
        <v>61</v>
      </c>
      <c r="R280" s="1" t="s">
        <v>61</v>
      </c>
      <c r="S280" s="1" t="s">
        <v>61</v>
      </c>
      <c r="T280" s="1" t="s">
        <v>61</v>
      </c>
      <c r="U280" s="1" t="s">
        <v>61</v>
      </c>
      <c r="V280" s="1" t="s">
        <v>91</v>
      </c>
      <c r="W280" s="1" t="s">
        <v>61</v>
      </c>
      <c r="X280" s="1" t="s">
        <v>61</v>
      </c>
      <c r="Y280" s="1" t="s">
        <v>813</v>
      </c>
      <c r="Z280" s="1" t="s">
        <v>814</v>
      </c>
      <c r="AA280" s="1" t="s">
        <v>815</v>
      </c>
      <c r="AB280" s="1" t="s">
        <v>816</v>
      </c>
      <c r="AC280" s="5" t="str">
        <f ca="1">IFERROR(__xludf.DUMMYFUNCTION("IF(Y280 = """", """", GOOGLETRANSLATE(Y280, ""en"", ""hi""))
"),"स्वास्थ्य के मुद्दों")</f>
        <v>स्वास्थ्य के मुद्दों</v>
      </c>
      <c r="AD280" s="5" t="str">
        <f ca="1">IFERROR(__xludf.DUMMYFUNCTION("IF(Z280 = """", """", GOOGLETRANSLATE(Z280, ""en"", ""hi""))"),"मानसिक तनाव")</f>
        <v>मानसिक तनाव</v>
      </c>
      <c r="AE280" s="5" t="str">
        <f ca="1">IFERROR(__xludf.DUMMYFUNCTION("IF(AA280 = """", """", GOOGLETRANSLATE(AA280, ""en"", ""hi""))"),"कम आत्मविश्वास")</f>
        <v>कम आत्मविश्वास</v>
      </c>
      <c r="AF280" s="5" t="str">
        <f ca="1">IFERROR(__xludf.DUMMYFUNCTION("IF(AB280 = """", """", GOOGLETRANSLATE(AB280, ""en"", ""hi""))"),"चुपचाप दिनचर्या समाप्त करें")</f>
        <v>चुपचाप दिनचर्या समाप्त करें</v>
      </c>
      <c r="AG280" s="5" t="str">
        <f ca="1">IFERROR(__xludf.DUMMYFUNCTION("IF(Y280 = """", """", GOOGLETRANSLATE(Y280, ""en"", ""mr""))"),"आरोग्य समस्या")</f>
        <v>आरोग्य समस्या</v>
      </c>
      <c r="AH280" s="5" t="str">
        <f ca="1">IFERROR(__xludf.DUMMYFUNCTION("IF(Z280 = """", """", GOOGLETRANSLATE(Z280, ""en"", ""mr""))"),"मानसिक ताण")</f>
        <v>मानसिक ताण</v>
      </c>
      <c r="AI280" s="5" t="str">
        <f ca="1">IFERROR(__xludf.DUMMYFUNCTION("IF(AA280 = """", """", GOOGLETRANSLATE(AA280, ""en"", ""mr""))"),"कमी आत्मविश्वास")</f>
        <v>कमी आत्मविश्वास</v>
      </c>
      <c r="AJ280" s="5" t="str">
        <f ca="1">IFERROR(__xludf.DUMMYFUNCTION("IF(AB280 = """", """", GOOGLETRANSLATE(AB280, ""en"", ""mr""))"),"शांतपणे दिनक्रम पूर्ण करा")</f>
        <v>शांतपणे दिनक्रम पूर्ण करा</v>
      </c>
      <c r="AK280" s="5" t="str">
        <f ca="1">IFERROR(__xludf.DUMMYFUNCTION("IF(Y280 = """", """", GOOGLETRANSLATE(Y280, ""en"", ""gu""))"),"આરોગ્ય સમસ્યાઓ")</f>
        <v>આરોગ્ય સમસ્યાઓ</v>
      </c>
      <c r="AL280" s="5" t="str">
        <f ca="1">IFERROR(__xludf.DUMMYFUNCTION("IF(Z280 = """", """", GOOGLETRANSLATE(Z280, ""en"", ""gu""))"),"માનસિક તણાવ")</f>
        <v>માનસિક તણાવ</v>
      </c>
      <c r="AM280" s="5" t="str">
        <f ca="1">IFERROR(__xludf.DUMMYFUNCTION("IF(AA280 = """", """", GOOGLETRANSLATE(AA280, ""en"", ""gu""))"),"ઓછો આત્મવિશ્વાસ")</f>
        <v>ઓછો આત્મવિશ્વાસ</v>
      </c>
      <c r="AN280" s="5" t="str">
        <f ca="1">IFERROR(__xludf.DUMMYFUNCTION("IF(AB280 = """", """", GOOGLETRANSLATE(AB280, ""en"", ""gu""))"),"નિત્યક્રમ શાંતિથી પૂર્ણ કરો")</f>
        <v>નિત્યક્રમ શાંતિથી પૂર્ણ કરો</v>
      </c>
      <c r="AO280" s="5" t="str">
        <f ca="1">IFERROR(__xludf.DUMMYFUNCTION("IF(Y280 = """", """", GOOGLETRANSLATE(Y280, ""en"", ""bn""))"),"স্বাস্থ্য সমস্যা")</f>
        <v>স্বাস্থ্য সমস্যা</v>
      </c>
      <c r="AP280" s="5" t="str">
        <f ca="1">IFERROR(__xludf.DUMMYFUNCTION("IF(Z280 = """", """", GOOGLETRANSLATE(Z280, ""en"", ""bn""))"),"মানসিক চাপ")</f>
        <v>মানসিক চাপ</v>
      </c>
      <c r="AQ280" s="5" t="str">
        <f ca="1">IFERROR(__xludf.DUMMYFUNCTION("IF(AA280 = """", """", GOOGLETRANSLATE(AA280, ""en"", ""bn""))"),"কম আত্মবিশ্বাস")</f>
        <v>কম আত্মবিশ্বাস</v>
      </c>
      <c r="AR280" s="5" t="str">
        <f ca="1">IFERROR(__xludf.DUMMYFUNCTION("IF(AB280 = """", """", GOOGLETRANSLATE(AB280, ""en"", ""bn""))"),"নিঃশব্দে রুটিন শেষ করুন")</f>
        <v>নিঃশব্দে রুটিন শেষ করুন</v>
      </c>
      <c r="AU280" s="5" t="str">
        <f ca="1">IFERROR(__xludf.DUMMYFUNCTION("IF(Y280 = """", """", GOOGLETRANSLATE(Y280, ""en"", ""te""))"),"ఆరోగ్య సమస్యలు")</f>
        <v>ఆరోగ్య సమస్యలు</v>
      </c>
      <c r="AV280" s="5" t="str">
        <f ca="1">IFERROR(__xludf.DUMMYFUNCTION("IF(Z280 = """", """", GOOGLETRANSLATE(Z280, ""en"", ""te""))"),"మానసిక ఒత్తిడి")</f>
        <v>మానసిక ఒత్తిడి</v>
      </c>
      <c r="AW280" s="5" t="str">
        <f ca="1">IFERROR(__xludf.DUMMYFUNCTION("IF(AA280 = """", """", GOOGLETRANSLATE(AA280, ""en"", ""te""))"),"తక్కువ విశ్వాసం")</f>
        <v>తక్కువ విశ్వాసం</v>
      </c>
      <c r="AX280" s="5" t="str">
        <f ca="1">IFERROR(__xludf.DUMMYFUNCTION("IF(AB280 = """", """", GOOGLETRANSLATE(AB280, ""en"", ""te""))"),"నిశ్శబ్దంగా దినచర్యను ముగించండి")</f>
        <v>నిశ్శబ్దంగా దినచర్యను ముగించండి</v>
      </c>
    </row>
    <row r="281" spans="1:50" x14ac:dyDescent="0.25">
      <c r="A281" s="1">
        <v>296</v>
      </c>
      <c r="B281" s="1" t="s">
        <v>56</v>
      </c>
      <c r="C281" s="2">
        <v>45845</v>
      </c>
      <c r="D281" s="2">
        <v>45845</v>
      </c>
      <c r="E281" s="1">
        <v>4</v>
      </c>
      <c r="F281" s="1">
        <v>1</v>
      </c>
      <c r="G281" s="3" t="s">
        <v>812</v>
      </c>
      <c r="H281" s="4">
        <v>7.4074074074074077E-3</v>
      </c>
      <c r="I281" s="4">
        <v>2.0949074074074073E-3</v>
      </c>
      <c r="J281" s="4">
        <v>2.4652777777777776E-3</v>
      </c>
      <c r="K281" s="1"/>
      <c r="L281" s="1" t="s">
        <v>97</v>
      </c>
      <c r="M281" s="1"/>
      <c r="N281" s="1"/>
      <c r="O281" s="1" t="s">
        <v>61</v>
      </c>
      <c r="P281" s="1" t="s">
        <v>61</v>
      </c>
      <c r="Q281" s="1" t="s">
        <v>61</v>
      </c>
      <c r="R281" s="1" t="s">
        <v>91</v>
      </c>
      <c r="S281" s="1" t="s">
        <v>61</v>
      </c>
      <c r="T281" s="1" t="s">
        <v>61</v>
      </c>
      <c r="U281" s="1" t="s">
        <v>61</v>
      </c>
      <c r="V281" s="1" t="s">
        <v>91</v>
      </c>
      <c r="W281" s="1" t="s">
        <v>61</v>
      </c>
      <c r="X281" s="1" t="s">
        <v>61</v>
      </c>
      <c r="Y281" s="1" t="s">
        <v>817</v>
      </c>
      <c r="Z281" s="1" t="s">
        <v>818</v>
      </c>
      <c r="AA281" s="1" t="s">
        <v>819</v>
      </c>
      <c r="AB281" s="1"/>
      <c r="AC281" s="5" t="str">
        <f ca="1">IFERROR(__xludf.DUMMYFUNCTION("IF(Y281 = """", """", GOOGLETRANSLATE(Y281, ""en"", ""hi""))
"),"महत्वपूर्ण कार्य करें")</f>
        <v>महत्वपूर्ण कार्य करें</v>
      </c>
      <c r="AD281" s="5" t="str">
        <f ca="1">IFERROR(__xludf.DUMMYFUNCTION("IF(Z281 = """", """", GOOGLETRANSLATE(Z281, ""en"", ""hi""))"),"स्वास्थ्य की उपेक्षा से बचें")</f>
        <v>स्वास्थ्य की उपेक्षा से बचें</v>
      </c>
      <c r="AE281" s="5" t="str">
        <f ca="1">IFERROR(__xludf.DUMMYFUNCTION("IF(AA281 = """", """", GOOGLETRANSLATE(AA281, ""en"", ""hi""))"),"कार्यभार प्रबंधित करें")</f>
        <v>कार्यभार प्रबंधित करें</v>
      </c>
      <c r="AF281" s="5" t="str">
        <f ca="1">IFERROR(__xludf.DUMMYFUNCTION("IF(AB281 = """", """", GOOGLETRANSLATE(AB281, ""en"", ""hi""))"),"")</f>
        <v/>
      </c>
      <c r="AG281" s="5" t="str">
        <f ca="1">IFERROR(__xludf.DUMMYFUNCTION("IF(Y281 = """", """", GOOGLETRANSLATE(Y281, ""en"", ""mr""))"),"महत्त्वाची कामे करा")</f>
        <v>महत्त्वाची कामे करा</v>
      </c>
      <c r="AH281" s="5" t="str">
        <f ca="1">IFERROR(__xludf.DUMMYFUNCTION("IF(Z281 = """", """", GOOGLETRANSLATE(Z281, ""en"", ""mr""))"),"आरोग्याकडे दुर्लक्ष टाळा")</f>
        <v>आरोग्याकडे दुर्लक्ष टाळा</v>
      </c>
      <c r="AI281" s="5" t="str">
        <f ca="1">IFERROR(__xludf.DUMMYFUNCTION("IF(AA281 = """", """", GOOGLETRANSLATE(AA281, ""en"", ""mr""))"),"वर्कलोड व्यवस्थापित करा")</f>
        <v>वर्कलोड व्यवस्थापित करा</v>
      </c>
      <c r="AJ281" s="5" t="str">
        <f ca="1">IFERROR(__xludf.DUMMYFUNCTION("IF(AB281 = """", """", GOOGLETRANSLATE(AB281, ""en"", ""mr""))"),"")</f>
        <v/>
      </c>
      <c r="AK281" s="5" t="str">
        <f ca="1">IFERROR(__xludf.DUMMYFUNCTION("IF(Y281 = """", """", GOOGLETRANSLATE(Y281, ""en"", ""gu""))"),"મહત્વપૂર્ણ કાર્યો કરો")</f>
        <v>મહત્વપૂર્ણ કાર્યો કરો</v>
      </c>
      <c r="AL281" s="5" t="str">
        <f ca="1">IFERROR(__xludf.DUMMYFUNCTION("IF(Z281 = """", """", GOOGLETRANSLATE(Z281, ""en"", ""gu""))"),"સ્વાસ્થ્ય પ્રત્યે બેદરકારી ટાળો")</f>
        <v>સ્વાસ્થ્ય પ્રત્યે બેદરકારી ટાળો</v>
      </c>
      <c r="AM281" s="5" t="str">
        <f ca="1">IFERROR(__xludf.DUMMYFUNCTION("IF(AA281 = """", """", GOOGLETRANSLATE(AA281, ""en"", ""gu""))"),"વર્કલોડ મેનેજ કરો")</f>
        <v>વર્કલોડ મેનેજ કરો</v>
      </c>
      <c r="AN281" s="5" t="str">
        <f ca="1">IFERROR(__xludf.DUMMYFUNCTION("IF(AB281 = """", """", GOOGLETRANSLATE(AB281, ""en"", ""gu""))"),"")</f>
        <v/>
      </c>
      <c r="AO281" s="5" t="str">
        <f ca="1">IFERROR(__xludf.DUMMYFUNCTION("IF(Y281 = """", """", GOOGLETRANSLATE(Y281, ""en"", ""bn""))"),"গুরুত্বপূর্ণ কাজগুলো করুন")</f>
        <v>গুরুত্বপূর্ণ কাজগুলো করুন</v>
      </c>
      <c r="AP281" s="5" t="str">
        <f ca="1">IFERROR(__xludf.DUMMYFUNCTION("IF(Z281 = """", """", GOOGLETRANSLATE(Z281, ""en"", ""bn""))"),"স্বাস্থ্য অবহেলা এড়িয়ে চলুন")</f>
        <v>স্বাস্থ্য অবহেলা এড়িয়ে চলুন</v>
      </c>
      <c r="AQ281" s="5" t="str">
        <f ca="1">IFERROR(__xludf.DUMMYFUNCTION("IF(AA281 = """", """", GOOGLETRANSLATE(AA281, ""en"", ""bn""))"),"কাজের চাপ পরিচালনা করুন")</f>
        <v>কাজের চাপ পরিচালনা করুন</v>
      </c>
      <c r="AR281" s="5" t="str">
        <f ca="1">IFERROR(__xludf.DUMMYFUNCTION("IF(AB281 = """", """", GOOGLETRANSLATE(AB281, ""en"", ""bn""))"),"")</f>
        <v/>
      </c>
      <c r="AU281" s="5" t="str">
        <f ca="1">IFERROR(__xludf.DUMMYFUNCTION("IF(Y281 = """", """", GOOGLETRANSLATE(Y281, ""en"", ""te""))"),"ముఖ్యమైన పనులు చేయండి")</f>
        <v>ముఖ్యమైన పనులు చేయండి</v>
      </c>
      <c r="AV281" s="5" t="str">
        <f ca="1">IFERROR(__xludf.DUMMYFUNCTION("IF(Z281 = """", """", GOOGLETRANSLATE(Z281, ""en"", ""te""))"),"ఆరోగ్య నిర్లక్ష్యం మానుకోండి")</f>
        <v>ఆరోగ్య నిర్లక్ష్యం మానుకోండి</v>
      </c>
      <c r="AW281" s="5" t="str">
        <f ca="1">IFERROR(__xludf.DUMMYFUNCTION("IF(AA281 = """", """", GOOGLETRANSLATE(AA281, ""en"", ""te""))"),"పనిభారాన్ని నిర్వహించండి")</f>
        <v>పనిభారాన్ని నిర్వహించండి</v>
      </c>
      <c r="AX281" s="5" t="str">
        <f ca="1">IFERROR(__xludf.DUMMYFUNCTION("IF(AB281 = """", """", GOOGLETRANSLATE(AB281, ""en"", ""te""))"),"")</f>
        <v/>
      </c>
    </row>
    <row r="282" spans="1:50" x14ac:dyDescent="0.25">
      <c r="A282" s="1">
        <v>297</v>
      </c>
      <c r="B282" s="1" t="s">
        <v>56</v>
      </c>
      <c r="C282" s="2">
        <v>45845</v>
      </c>
      <c r="D282" s="2">
        <v>45845</v>
      </c>
      <c r="E282" s="1">
        <v>5</v>
      </c>
      <c r="F282" s="1">
        <v>1</v>
      </c>
      <c r="G282" s="3" t="s">
        <v>812</v>
      </c>
      <c r="H282" s="4">
        <v>7.4074074074074077E-3</v>
      </c>
      <c r="I282" s="4">
        <v>2.4652777777777776E-3</v>
      </c>
      <c r="J282" s="4">
        <v>3.0671296296296297E-3</v>
      </c>
      <c r="K282" s="1"/>
      <c r="L282" s="1" t="s">
        <v>102</v>
      </c>
      <c r="M282" s="1"/>
      <c r="N282" s="1"/>
      <c r="O282" s="1" t="s">
        <v>91</v>
      </c>
      <c r="P282" s="1" t="s">
        <v>61</v>
      </c>
      <c r="Q282" s="1" t="s">
        <v>61</v>
      </c>
      <c r="R282" s="1" t="s">
        <v>61</v>
      </c>
      <c r="S282" s="1" t="s">
        <v>61</v>
      </c>
      <c r="T282" s="1" t="s">
        <v>61</v>
      </c>
      <c r="U282" s="1" t="s">
        <v>61</v>
      </c>
      <c r="V282" s="1" t="s">
        <v>61</v>
      </c>
      <c r="W282" s="1" t="s">
        <v>61</v>
      </c>
      <c r="X282" s="1" t="s">
        <v>91</v>
      </c>
      <c r="Y282" s="1" t="s">
        <v>820</v>
      </c>
      <c r="Z282" s="1" t="s">
        <v>821</v>
      </c>
      <c r="AA282" s="1" t="s">
        <v>822</v>
      </c>
      <c r="AB282" s="1"/>
      <c r="AC282" s="5" t="str">
        <f ca="1">IFERROR(__xludf.DUMMYFUNCTION("IF(Y282 = """", """", GOOGLETRANSLATE(Y282, ""en"", ""hi""))
"),"पिछला काम पूरा करें")</f>
        <v>पिछला काम पूरा करें</v>
      </c>
      <c r="AD282" s="5" t="str">
        <f ca="1">IFERROR(__xludf.DUMMYFUNCTION("IF(Z282 = """", """", GOOGLETRANSLATE(Z282, ""en"", ""hi""))"),"विदेशी मामले अनुकूल")</f>
        <v>विदेशी मामले अनुकूल</v>
      </c>
      <c r="AE282" s="5" t="str">
        <f ca="1">IFERROR(__xludf.DUMMYFUNCTION("IF(AA282 = """", """", GOOGLETRANSLATE(AA282, ""en"", ""hi""))"),"सामाजिक कार्यक्रम की तैयारी और खर्च")</f>
        <v>सामाजिक कार्यक्रम की तैयारी और खर्च</v>
      </c>
      <c r="AF282" s="5" t="str">
        <f ca="1">IFERROR(__xludf.DUMMYFUNCTION("IF(AB282 = """", """", GOOGLETRANSLATE(AB282, ""en"", ""hi""))"),"")</f>
        <v/>
      </c>
      <c r="AG282" s="5" t="str">
        <f ca="1">IFERROR(__xludf.DUMMYFUNCTION("IF(Y282 = """", """", GOOGLETRANSLATE(Y282, ""en"", ""mr""))"),"मागील काम पूर्ण करा")</f>
        <v>मागील काम पूर्ण करा</v>
      </c>
      <c r="AH282" s="5" t="str">
        <f ca="1">IFERROR(__xludf.DUMMYFUNCTION("IF(Z282 = """", """", GOOGLETRANSLATE(Z282, ""en"", ""mr""))"),"परदेशी बाबी अनुकूल")</f>
        <v>परदेशी बाबी अनुकूल</v>
      </c>
      <c r="AI282" s="5" t="str">
        <f ca="1">IFERROR(__xludf.DUMMYFUNCTION("IF(AA282 = """", """", GOOGLETRANSLATE(AA282, ""en"", ""mr""))"),"सामाजिक कार्यक्रमाची तयारी आणि खर्च")</f>
        <v>सामाजिक कार्यक्रमाची तयारी आणि खर्च</v>
      </c>
      <c r="AJ282" s="5" t="str">
        <f ca="1">IFERROR(__xludf.DUMMYFUNCTION("IF(AB282 = """", """", GOOGLETRANSLATE(AB282, ""en"", ""mr""))"),"")</f>
        <v/>
      </c>
      <c r="AK282" s="5" t="str">
        <f ca="1">IFERROR(__xludf.DUMMYFUNCTION("IF(Y282 = """", """", GOOGLETRANSLATE(Y282, ""en"", ""gu""))"),"ભૂતકાળનું કામ પૂરું કરો")</f>
        <v>ભૂતકાળનું કામ પૂરું કરો</v>
      </c>
      <c r="AL282" s="5" t="str">
        <f ca="1">IFERROR(__xludf.DUMMYFUNCTION("IF(Z282 = """", """", GOOGLETRANSLATE(Z282, ""en"", ""gu""))"),"વિદેશી બાબતો અનુકૂળ છે")</f>
        <v>વિદેશી બાબતો અનુકૂળ છે</v>
      </c>
      <c r="AM282" s="5" t="str">
        <f ca="1">IFERROR(__xludf.DUMMYFUNCTION("IF(AA282 = """", """", GOOGLETRANSLATE(AA282, ""en"", ""gu""))"),"સામાજિક ઇવેન્ટની તૈયારી અને ખર્ચ")</f>
        <v>સામાજિક ઇવેન્ટની તૈયારી અને ખર્ચ</v>
      </c>
      <c r="AN282" s="5" t="str">
        <f ca="1">IFERROR(__xludf.DUMMYFUNCTION("IF(AB282 = """", """", GOOGLETRANSLATE(AB282, ""en"", ""gu""))"),"")</f>
        <v/>
      </c>
      <c r="AO282" s="5" t="str">
        <f ca="1">IFERROR(__xludf.DUMMYFUNCTION("IF(Y282 = """", """", GOOGLETRANSLATE(Y282, ""en"", ""bn""))"),"অতীতের কাজ শেষ করুন")</f>
        <v>অতীতের কাজ শেষ করুন</v>
      </c>
      <c r="AP282" s="5" t="str">
        <f ca="1">IFERROR(__xludf.DUMMYFUNCTION("IF(Z282 = """", """", GOOGLETRANSLATE(Z282, ""en"", ""bn""))"),"বিদেশী বিষয় অনুকূল")</f>
        <v>বিদেশী বিষয় অনুকূল</v>
      </c>
      <c r="AQ282" s="5" t="str">
        <f ca="1">IFERROR(__xludf.DUMMYFUNCTION("IF(AA282 = """", """", GOOGLETRANSLATE(AA282, ""en"", ""bn""))"),"সামাজিক অনুষ্ঠানের প্রস্তুতি এবং খরচ")</f>
        <v>সামাজিক অনুষ্ঠানের প্রস্তুতি এবং খরচ</v>
      </c>
      <c r="AR282" s="5" t="str">
        <f ca="1">IFERROR(__xludf.DUMMYFUNCTION("IF(AB282 = """", """", GOOGLETRANSLATE(AB282, ""en"", ""bn""))"),"")</f>
        <v/>
      </c>
      <c r="AU282" s="5" t="str">
        <f ca="1">IFERROR(__xludf.DUMMYFUNCTION("IF(Y282 = """", """", GOOGLETRANSLATE(Y282, ""en"", ""te""))"),"గత పనిని పూర్తి చేయండి")</f>
        <v>గత పనిని పూర్తి చేయండి</v>
      </c>
      <c r="AV282" s="5" t="str">
        <f ca="1">IFERROR(__xludf.DUMMYFUNCTION("IF(Z282 = """", """", GOOGLETRANSLATE(Z282, ""en"", ""te""))"),"విదేశీ వ్యవహారాలు అనుకూలిస్తాయి")</f>
        <v>విదేశీ వ్యవహారాలు అనుకూలిస్తాయి</v>
      </c>
      <c r="AW282" s="5" t="str">
        <f ca="1">IFERROR(__xludf.DUMMYFUNCTION("IF(AA282 = """", """", GOOGLETRANSLATE(AA282, ""en"", ""te""))"),"సామాజిక ఈవెంట్ ప్రిపరేషన్ మరియు ఖర్చులు")</f>
        <v>సామాజిక ఈవెంట్ ప్రిపరేషన్ మరియు ఖర్చులు</v>
      </c>
      <c r="AX282" s="5" t="str">
        <f ca="1">IFERROR(__xludf.DUMMYFUNCTION("IF(AB282 = """", """", GOOGLETRANSLATE(AB282, ""en"", ""te""))"),"")</f>
        <v/>
      </c>
    </row>
    <row r="283" spans="1:50" x14ac:dyDescent="0.25">
      <c r="A283" s="1">
        <v>298</v>
      </c>
      <c r="B283" s="1" t="s">
        <v>56</v>
      </c>
      <c r="C283" s="2">
        <v>45845</v>
      </c>
      <c r="D283" s="2">
        <v>45845</v>
      </c>
      <c r="E283" s="1">
        <v>6</v>
      </c>
      <c r="F283" s="1">
        <v>1</v>
      </c>
      <c r="G283" s="3" t="s">
        <v>812</v>
      </c>
      <c r="H283" s="4">
        <v>7.4074074074074077E-3</v>
      </c>
      <c r="I283" s="4">
        <v>3.0671296296296297E-3</v>
      </c>
      <c r="J283" s="4">
        <v>3.5185185185185185E-3</v>
      </c>
      <c r="K283" s="1"/>
      <c r="L283" s="1" t="s">
        <v>108</v>
      </c>
      <c r="M283" s="1"/>
      <c r="N283" s="1"/>
      <c r="O283" s="1" t="s">
        <v>61</v>
      </c>
      <c r="P283" s="1" t="s">
        <v>61</v>
      </c>
      <c r="Q283" s="1" t="s">
        <v>61</v>
      </c>
      <c r="R283" s="1" t="s">
        <v>61</v>
      </c>
      <c r="S283" s="1" t="s">
        <v>61</v>
      </c>
      <c r="T283" s="1" t="s">
        <v>91</v>
      </c>
      <c r="U283" s="1" t="s">
        <v>61</v>
      </c>
      <c r="V283" s="1" t="s">
        <v>61</v>
      </c>
      <c r="W283" s="1" t="s">
        <v>91</v>
      </c>
      <c r="X283" s="1" t="s">
        <v>61</v>
      </c>
      <c r="Y283" s="1" t="s">
        <v>661</v>
      </c>
      <c r="Z283" s="1" t="s">
        <v>823</v>
      </c>
      <c r="AA283" s="1" t="s">
        <v>824</v>
      </c>
      <c r="AB283" s="1"/>
      <c r="AC283" s="5" t="str">
        <f ca="1">IFERROR(__xludf.DUMMYFUNCTION("IF(Y283 = """", """", GOOGLETRANSLATE(Y283, ""en"", ""hi""))
"),"बच्चों से संबंधित चिंताएँ कम होती हैं")</f>
        <v>बच्चों से संबंधित चिंताएँ कम होती हैं</v>
      </c>
      <c r="AD283" s="5" t="str">
        <f ca="1">IFERROR(__xludf.DUMMYFUNCTION("IF(Z283 = """", """", GOOGLETRANSLATE(Z283, ""en"", ""hi""))"),"करियर संबंधी सावधानी")</f>
        <v>करियर संबंधी सावधानी</v>
      </c>
      <c r="AE283" s="5" t="str">
        <f ca="1">IFERROR(__xludf.DUMMYFUNCTION("IF(AA283 = """", """", GOOGLETRANSLATE(AA283, ""en"", ""hi""))"),"गलतफहमियों को चतुराई से संभालें")</f>
        <v>गलतफहमियों को चतुराई से संभालें</v>
      </c>
      <c r="AF283" s="5" t="str">
        <f ca="1">IFERROR(__xludf.DUMMYFUNCTION("IF(AB283 = """", """", GOOGLETRANSLATE(AB283, ""en"", ""hi""))"),"")</f>
        <v/>
      </c>
      <c r="AG283" s="5" t="str">
        <f ca="1">IFERROR(__xludf.DUMMYFUNCTION("IF(Y283 = """", """", GOOGLETRANSLATE(Y283, ""en"", ""mr""))"),"मुलांशी संबंधित चिंता कमी होईल")</f>
        <v>मुलांशी संबंधित चिंता कमी होईल</v>
      </c>
      <c r="AH283" s="5" t="str">
        <f ca="1">IFERROR(__xludf.DUMMYFUNCTION("IF(Z283 = """", """", GOOGLETRANSLATE(Z283, ""en"", ""mr""))"),"करिअरमध्ये सावधगिरी बाळगा")</f>
        <v>करिअरमध्ये सावधगिरी बाळगा</v>
      </c>
      <c r="AI283" s="5" t="str">
        <f ca="1">IFERROR(__xludf.DUMMYFUNCTION("IF(AA283 = """", """", GOOGLETRANSLATE(AA283, ""en"", ""mr""))"),"गैरसमज कुशलतेने हाताळा")</f>
        <v>गैरसमज कुशलतेने हाताळा</v>
      </c>
      <c r="AJ283" s="5" t="str">
        <f ca="1">IFERROR(__xludf.DUMMYFUNCTION("IF(AB283 = """", """", GOOGLETRANSLATE(AB283, ""en"", ""mr""))"),"")</f>
        <v/>
      </c>
      <c r="AK283" s="5" t="str">
        <f ca="1">IFERROR(__xludf.DUMMYFUNCTION("IF(Y283 = """", """", GOOGLETRANSLATE(Y283, ""en"", ""gu""))"),"સંતાન સંબંધી ચિંતાઓ હળવી થાય")</f>
        <v>સંતાન સંબંધી ચિંતાઓ હળવી થાય</v>
      </c>
      <c r="AL283" s="5" t="str">
        <f ca="1">IFERROR(__xludf.DUMMYFUNCTION("IF(Z283 = """", """", GOOGLETRANSLATE(Z283, ""en"", ""gu""))"),"કરિયરમાં સાવધાની રાખવી")</f>
        <v>કરિયરમાં સાવધાની રાખવી</v>
      </c>
      <c r="AM283" s="5" t="str">
        <f ca="1">IFERROR(__xludf.DUMMYFUNCTION("IF(AA283 = """", """", GOOGLETRANSLATE(AA283, ""en"", ""gu""))"),"ગેરસમજને કુનેહપૂર્વક સંભાળો")</f>
        <v>ગેરસમજને કુનેહપૂર્વક સંભાળો</v>
      </c>
      <c r="AN283" s="5" t="str">
        <f ca="1">IFERROR(__xludf.DUMMYFUNCTION("IF(AB283 = """", """", GOOGLETRANSLATE(AB283, ""en"", ""gu""))"),"")</f>
        <v/>
      </c>
      <c r="AO283" s="5" t="str">
        <f ca="1">IFERROR(__xludf.DUMMYFUNCTION("IF(Y283 = """", """", GOOGLETRANSLATE(Y283, ""en"", ""bn""))"),"সন্তান-সম্পর্কিত দুশ্চিন্তা লাঘব")</f>
        <v>সন্তান-সম্পর্কিত দুশ্চিন্তা লাঘব</v>
      </c>
      <c r="AP283" s="5" t="str">
        <f ca="1">IFERROR(__xludf.DUMMYFUNCTION("IF(Z283 = """", """", GOOGLETRANSLATE(Z283, ""en"", ""bn""))"),"পেশাগত সতর্কতা")</f>
        <v>পেশাগত সতর্কতা</v>
      </c>
      <c r="AQ283" s="5" t="str">
        <f ca="1">IFERROR(__xludf.DUMMYFUNCTION("IF(AA283 = """", """", GOOGLETRANSLATE(AA283, ""en"", ""bn""))"),"ভুল বোঝাবুঝি কৌশলে মোকাবেলা করুন")</f>
        <v>ভুল বোঝাবুঝি কৌশলে মোকাবেলা করুন</v>
      </c>
      <c r="AR283" s="5" t="str">
        <f ca="1">IFERROR(__xludf.DUMMYFUNCTION("IF(AB283 = """", """", GOOGLETRANSLATE(AB283, ""en"", ""bn""))"),"")</f>
        <v/>
      </c>
      <c r="AU283" s="5" t="str">
        <f ca="1">IFERROR(__xludf.DUMMYFUNCTION("IF(Y283 = """", """", GOOGLETRANSLATE(Y283,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V283" s="5" t="str">
        <f ca="1">IFERROR(__xludf.DUMMYFUNCTION("IF(Z283 = """", """", GOOGLETRANSLATE(Z283, ""en"", ""te""))"),"కెరీర్ జాగ్రత్త")</f>
        <v>కెరీర్ జాగ్రత్త</v>
      </c>
      <c r="AW283" s="5" t="str">
        <f ca="1">IFERROR(__xludf.DUMMYFUNCTION("IF(AA283 = """", """", GOOGLETRANSLATE(AA283, ""en"", ""te""))"),"అపార్థాలను చాకచక్యంగా నిర్వహించండి")</f>
        <v>అపార్థాలను చాకచక్యంగా నిర్వహించండి</v>
      </c>
      <c r="AX283" s="5" t="str">
        <f ca="1">IFERROR(__xludf.DUMMYFUNCTION("IF(AB283 = """", """", GOOGLETRANSLATE(AB283, ""en"", ""te""))"),"")</f>
        <v/>
      </c>
    </row>
    <row r="284" spans="1:50" x14ac:dyDescent="0.25">
      <c r="A284" s="1">
        <v>299</v>
      </c>
      <c r="B284" s="1" t="s">
        <v>56</v>
      </c>
      <c r="C284" s="2">
        <v>45845</v>
      </c>
      <c r="D284" s="2">
        <v>45845</v>
      </c>
      <c r="E284" s="1">
        <v>7</v>
      </c>
      <c r="F284" s="1">
        <v>1</v>
      </c>
      <c r="G284" s="3" t="s">
        <v>812</v>
      </c>
      <c r="H284" s="4">
        <v>7.4074074074074077E-3</v>
      </c>
      <c r="I284" s="4">
        <v>3.5185185185185185E-3</v>
      </c>
      <c r="J284" s="4">
        <v>4.0625000000000001E-3</v>
      </c>
      <c r="K284" s="1"/>
      <c r="L284" s="1" t="s">
        <v>113</v>
      </c>
      <c r="M284" s="1"/>
      <c r="N284" s="1"/>
      <c r="O284" s="1" t="s">
        <v>91</v>
      </c>
      <c r="P284" s="1" t="s">
        <v>61</v>
      </c>
      <c r="Q284" s="1" t="s">
        <v>61</v>
      </c>
      <c r="R284" s="1" t="s">
        <v>61</v>
      </c>
      <c r="S284" s="1" t="s">
        <v>61</v>
      </c>
      <c r="T284" s="1" t="s">
        <v>61</v>
      </c>
      <c r="U284" s="1" t="s">
        <v>61</v>
      </c>
      <c r="V284" s="1" t="s">
        <v>61</v>
      </c>
      <c r="W284" s="1" t="s">
        <v>61</v>
      </c>
      <c r="X284" s="1" t="s">
        <v>91</v>
      </c>
      <c r="Y284" s="1" t="s">
        <v>825</v>
      </c>
      <c r="Z284" s="1" t="s">
        <v>826</v>
      </c>
      <c r="AA284" s="1" t="s">
        <v>287</v>
      </c>
      <c r="AB284" s="1"/>
      <c r="AC284" s="5" t="str">
        <f ca="1">IFERROR(__xludf.DUMMYFUNCTION("IF(Y284 = """", """", GOOGLETRANSLATE(Y284, ""en"", ""hi""))
"),"मानसिक अशांति")</f>
        <v>मानसिक अशांति</v>
      </c>
      <c r="AD284" s="5" t="str">
        <f ca="1">IFERROR(__xludf.DUMMYFUNCTION("IF(Z284 = """", """", GOOGLETRANSLATE(Z284, ""en"", ""hi""))"),"कार्य योजना के अनुसार नहीं हो सकते")</f>
        <v>कार्य योजना के अनुसार नहीं हो सकते</v>
      </c>
      <c r="AE284" s="5" t="str">
        <f ca="1">IFERROR(__xludf.DUMMYFUNCTION("IF(AA284 = """", """", GOOGLETRANSLATE(AA284, ""en"", ""hi""))"),"क्रोध और वाणी पर नियंत्रण रखें")</f>
        <v>क्रोध और वाणी पर नियंत्रण रखें</v>
      </c>
      <c r="AF284" s="5" t="str">
        <f ca="1">IFERROR(__xludf.DUMMYFUNCTION("IF(AB284 = """", """", GOOGLETRANSLATE(AB284, ""en"", ""hi""))"),"")</f>
        <v/>
      </c>
      <c r="AG284" s="5" t="str">
        <f ca="1">IFERROR(__xludf.DUMMYFUNCTION("IF(Y284 = """", """", GOOGLETRANSLATE(Y284, ""en"", ""mr""))"),"मानसिक अस्वस्थता")</f>
        <v>मानसिक अस्वस्थता</v>
      </c>
      <c r="AH284" s="5" t="str">
        <f ca="1">IFERROR(__xludf.DUMMYFUNCTION("IF(Z284 = """", """", GOOGLETRANSLATE(Z284, ""en"", ""mr""))"),"कामे नियोजित प्रमाणे होणार नाहीत")</f>
        <v>कामे नियोजित प्रमाणे होणार नाहीत</v>
      </c>
      <c r="AI284" s="5" t="str">
        <f ca="1">IFERROR(__xludf.DUMMYFUNCTION("IF(AA284 = """", """", GOOGLETRANSLATE(AA284, ""en"", ""mr""))"),"राग आणि वाणीवर नियंत्रण ठेवा")</f>
        <v>राग आणि वाणीवर नियंत्रण ठेवा</v>
      </c>
      <c r="AJ284" s="5" t="str">
        <f ca="1">IFERROR(__xludf.DUMMYFUNCTION("IF(AB284 = """", """", GOOGLETRANSLATE(AB284, ""en"", ""mr""))"),"")</f>
        <v/>
      </c>
      <c r="AK284" s="5" t="str">
        <f ca="1">IFERROR(__xludf.DUMMYFUNCTION("IF(Y284 = """", """", GOOGLETRANSLATE(Y284, ""en"", ""gu""))"),"માનસિક અશાંતિ")</f>
        <v>માનસિક અશાંતિ</v>
      </c>
      <c r="AL284" s="5" t="str">
        <f ca="1">IFERROR(__xludf.DUMMYFUNCTION("IF(Z284 = """", """", GOOGLETRANSLATE(Z284, ""en"", ""gu""))"),"કાર્યો યોજના મુજબ ન થઈ શકે")</f>
        <v>કાર્યો યોજના મુજબ ન થઈ શકે</v>
      </c>
      <c r="AM284" s="5" t="str">
        <f ca="1">IFERROR(__xludf.DUMMYFUNCTION("IF(AA284 = """", """", GOOGLETRANSLATE(AA284, ""en"", ""gu""))"),"ગુસ્સા અને વાણી પર નિયંત્રણ રાખો")</f>
        <v>ગુસ્સા અને વાણી પર નિયંત્રણ રાખો</v>
      </c>
      <c r="AN284" s="5" t="str">
        <f ca="1">IFERROR(__xludf.DUMMYFUNCTION("IF(AB284 = """", """", GOOGLETRANSLATE(AB284, ""en"", ""gu""))"),"")</f>
        <v/>
      </c>
      <c r="AO284" s="5" t="str">
        <f ca="1">IFERROR(__xludf.DUMMYFUNCTION("IF(Y284 = """", """", GOOGLETRANSLATE(Y284, ""en"", ""bn""))"),"মানসিক অশান্তি")</f>
        <v>মানসিক অশান্তি</v>
      </c>
      <c r="AP284" s="5" t="str">
        <f ca="1">IFERROR(__xludf.DUMMYFUNCTION("IF(Z284 = """", """", GOOGLETRANSLATE(Z284, ""en"", ""bn""))"),"পরিকল্পনা অনুযায়ী কাজ নাও হতে পারে")</f>
        <v>পরিকল্পনা অনুযায়ী কাজ নাও হতে পারে</v>
      </c>
      <c r="AQ284" s="5" t="str">
        <f ca="1">IFERROR(__xludf.DUMMYFUNCTION("IF(AA284 = """", """", GOOGLETRANSLATE(AA284, ""en"", ""bn""))"),"রাগ ও কথাবার্তা নিয়ন্ত্রণ করুন")</f>
        <v>রাগ ও কথাবার্তা নিয়ন্ত্রণ করুন</v>
      </c>
      <c r="AR284" s="5" t="str">
        <f ca="1">IFERROR(__xludf.DUMMYFUNCTION("IF(AB284 = """", """", GOOGLETRANSLATE(AB284, ""en"", ""bn""))"),"")</f>
        <v/>
      </c>
      <c r="AU284" s="5" t="str">
        <f ca="1">IFERROR(__xludf.DUMMYFUNCTION("IF(Y284 = """", """", GOOGLETRANSLATE(Y284, ""en"", ""te""))"),"మానసిక అశాంతి")</f>
        <v>మానసిక అశాంతి</v>
      </c>
      <c r="AV284" s="5" t="str">
        <f ca="1">IFERROR(__xludf.DUMMYFUNCTION("IF(Z284 = """", """", GOOGLETRANSLATE(Z284, ""en"", ""te""))"),"పనులు అనుకున్న విధంగా సాగకపోవచ్చు")</f>
        <v>పనులు అనుకున్న విధంగా సాగకపోవచ్చు</v>
      </c>
      <c r="AW284" s="5" t="str">
        <f ca="1">IFERROR(__xludf.DUMMYFUNCTION("IF(AA284 = """", """", GOOGLETRANSLATE(AA284, ""en"", ""te""))"),"కోపం మరియు మాటలను నియంత్రించండి")</f>
        <v>కోపం మరియు మాటలను నియంత్రించండి</v>
      </c>
      <c r="AX284" s="5" t="str">
        <f ca="1">IFERROR(__xludf.DUMMYFUNCTION("IF(AB284 = """", """", GOOGLETRANSLATE(AB284, ""en"", ""te""))"),"")</f>
        <v/>
      </c>
    </row>
    <row r="285" spans="1:50" x14ac:dyDescent="0.25">
      <c r="A285" s="1">
        <v>300</v>
      </c>
      <c r="B285" s="1" t="s">
        <v>56</v>
      </c>
      <c r="C285" s="2">
        <v>45845</v>
      </c>
      <c r="D285" s="2">
        <v>45845</v>
      </c>
      <c r="E285" s="1">
        <v>8</v>
      </c>
      <c r="F285" s="1">
        <v>1</v>
      </c>
      <c r="G285" s="3" t="s">
        <v>812</v>
      </c>
      <c r="H285" s="4">
        <v>7.4074074074074077E-3</v>
      </c>
      <c r="I285" s="4">
        <v>4.0625000000000001E-3</v>
      </c>
      <c r="J285" s="4">
        <v>4.5717592592592589E-3</v>
      </c>
      <c r="K285" s="1"/>
      <c r="L285" s="1" t="s">
        <v>64</v>
      </c>
      <c r="M285" s="1"/>
      <c r="N285" s="1"/>
      <c r="O285" s="1" t="s">
        <v>91</v>
      </c>
      <c r="P285" s="1" t="s">
        <v>61</v>
      </c>
      <c r="Q285" s="1" t="s">
        <v>61</v>
      </c>
      <c r="R285" s="1" t="s">
        <v>61</v>
      </c>
      <c r="S285" s="1" t="s">
        <v>61</v>
      </c>
      <c r="T285" s="1" t="s">
        <v>61</v>
      </c>
      <c r="U285" s="1" t="s">
        <v>61</v>
      </c>
      <c r="V285" s="1" t="s">
        <v>91</v>
      </c>
      <c r="W285" s="1" t="s">
        <v>61</v>
      </c>
      <c r="X285" s="1" t="s">
        <v>61</v>
      </c>
      <c r="Y285" s="1" t="s">
        <v>365</v>
      </c>
      <c r="Z285" s="1" t="s">
        <v>827</v>
      </c>
      <c r="AA285" s="1" t="s">
        <v>828</v>
      </c>
      <c r="AB285" s="1" t="s">
        <v>829</v>
      </c>
      <c r="AC285" s="5" t="str">
        <f ca="1">IFERROR(__xludf.DUMMYFUNCTION("IF(Y285 = """", """", GOOGLETRANSLATE(Y285, ""en"", ""hi""))
"),"भारी कार्यभार")</f>
        <v>भारी कार्यभार</v>
      </c>
      <c r="AD285" s="5" t="str">
        <f ca="1">IFERROR(__xludf.DUMMYFUNCTION("IF(Z285 = """", """", GOOGLETRANSLATE(Z285, ""en"", ""hi""))"),"योजना बनाकर बुद्धिमानी से काम करें")</f>
        <v>योजना बनाकर बुद्धिमानी से काम करें</v>
      </c>
      <c r="AE285" s="5" t="str">
        <f ca="1">IFERROR(__xludf.DUMMYFUNCTION("IF(AA285 = """", """", GOOGLETRANSLATE(AA285, ""en"", ""hi""))"),"अतीत के वाद-विवाद से बचें")</f>
        <v>अतीत के वाद-विवाद से बचें</v>
      </c>
      <c r="AF285" s="5" t="str">
        <f ca="1">IFERROR(__xludf.DUMMYFUNCTION("IF(AB285 = """", """", GOOGLETRANSLATE(AB285, ""en"", ""hi""))"),"दिन के अंत में थकान महसूस हो सकती है")</f>
        <v>दिन के अंत में थकान महसूस हो सकती है</v>
      </c>
      <c r="AG285" s="5" t="str">
        <f ca="1">IFERROR(__xludf.DUMMYFUNCTION("IF(Y285 = """", """", GOOGLETRANSLATE(Y285, ""en"", ""mr""))"),"कामाचा प्रचंड ताण")</f>
        <v>कामाचा प्रचंड ताण</v>
      </c>
      <c r="AH285" s="5" t="str">
        <f ca="1">IFERROR(__xludf.DUMMYFUNCTION("IF(Z285 = """", """", GOOGLETRANSLATE(Z285, ""en"", ""mr""))"),"नियोजनासह हुशारीने हाताळा")</f>
        <v>नियोजनासह हुशारीने हाताळा</v>
      </c>
      <c r="AI285" s="5" t="str">
        <f ca="1">IFERROR(__xludf.DUMMYFUNCTION("IF(AA285 = """", """", GOOGLETRANSLATE(AA285, ""en"", ""mr""))"),"भूतकाळातील वाद टाळा")</f>
        <v>भूतकाळातील वाद टाळा</v>
      </c>
      <c r="AJ285" s="5" t="str">
        <f ca="1">IFERROR(__xludf.DUMMYFUNCTION("IF(AB285 = """", """", GOOGLETRANSLATE(AB285, ""en"", ""mr""))"),"दिवसाच्या शेवटी थकल्यासारखे वाटू शकते")</f>
        <v>दिवसाच्या शेवटी थकल्यासारखे वाटू शकते</v>
      </c>
      <c r="AK285" s="5" t="str">
        <f ca="1">IFERROR(__xludf.DUMMYFUNCTION("IF(Y285 = """", """", GOOGLETRANSLATE(Y285, ""en"", ""gu""))"),"ભારે કામનું ભારણ")</f>
        <v>ભારે કામનું ભારણ</v>
      </c>
      <c r="AL285" s="5" t="str">
        <f ca="1">IFERROR(__xludf.DUMMYFUNCTION("IF(Z285 = """", """", GOOGLETRANSLATE(Z285, ""en"", ""gu""))"),"પ્લાનિંગ સાથે સમજદારીથી કામ લેવું")</f>
        <v>પ્લાનિંગ સાથે સમજદારીથી કામ લેવું</v>
      </c>
      <c r="AM285" s="5" t="str">
        <f ca="1">IFERROR(__xludf.DUMMYFUNCTION("IF(AA285 = """", """", GOOGLETRANSLATE(AA285, ""en"", ""gu""))"),"ભૂતકાળની દલીલો ટાળો")</f>
        <v>ભૂતકાળની દલીલો ટાળો</v>
      </c>
      <c r="AN285" s="5" t="str">
        <f ca="1">IFERROR(__xludf.DUMMYFUNCTION("IF(AB285 = """", """", GOOGLETRANSLATE(AB285, ""en"", ""gu""))"),"દિવસના અંતે થાક અનુભવી શકો છો")</f>
        <v>દિવસના અંતે થાક અનુભવી શકો છો</v>
      </c>
      <c r="AO285" s="5" t="str">
        <f ca="1">IFERROR(__xludf.DUMMYFUNCTION("IF(Y285 = """", """", GOOGLETRANSLATE(Y285, ""en"", ""bn""))"),"ভারী কাজের চাপ")</f>
        <v>ভারী কাজের চাপ</v>
      </c>
      <c r="AP285" s="5" t="str">
        <f ca="1">IFERROR(__xludf.DUMMYFUNCTION("IF(Z285 = """", """", GOOGLETRANSLATE(Z285, ""en"", ""bn""))"),"পরিকল্পনার সাথে বুদ্ধিমানের সাথে পরিচালনা করুন")</f>
        <v>পরিকল্পনার সাথে বুদ্ধিমানের সাথে পরিচালনা করুন</v>
      </c>
      <c r="AQ285" s="5" t="str">
        <f ca="1">IFERROR(__xludf.DUMMYFUNCTION("IF(AA285 = """", """", GOOGLETRANSLATE(AA285, ""en"", ""bn""))"),"অতীতের তর্ক এড়িয়ে চলুন")</f>
        <v>অতীতের তর্ক এড়িয়ে চলুন</v>
      </c>
      <c r="AR285" s="5" t="str">
        <f ca="1">IFERROR(__xludf.DUMMYFUNCTION("IF(AB285 = """", """", GOOGLETRANSLATE(AB285, ""en"", ""bn""))"),"দিনের শেষে ক্লান্ত বোধ হতে পারে")</f>
        <v>দিনের শেষে ক্লান্ত বোধ হতে পারে</v>
      </c>
      <c r="AU285" s="5" t="str">
        <f ca="1">IFERROR(__xludf.DUMMYFUNCTION("IF(Y285 = """", """", GOOGLETRANSLATE(Y285, ""en"", ""te""))"),"అధిక పనిభారం")</f>
        <v>అధిక పనిభారం</v>
      </c>
      <c r="AV285" s="5" t="str">
        <f ca="1">IFERROR(__xludf.DUMMYFUNCTION("IF(Z285 = """", """", GOOGLETRANSLATE(Z285, ""en"", ""te""))"),"ప్రణాళికతో తెలివిగా వ్యవహరించండి")</f>
        <v>ప్రణాళికతో తెలివిగా వ్యవహరించండి</v>
      </c>
      <c r="AW285" s="5" t="str">
        <f ca="1">IFERROR(__xludf.DUMMYFUNCTION("IF(AA285 = """", """", GOOGLETRANSLATE(AA285, ""en"", ""te""))"),"గత వాదనలు మానుకోండి")</f>
        <v>గత వాదనలు మానుకోండి</v>
      </c>
      <c r="AX285" s="5" t="str">
        <f ca="1">IFERROR(__xludf.DUMMYFUNCTION("IF(AB285 = """", """", GOOGLETRANSLATE(AB285, ""en"", ""te""))"),"రోజు చివరిలో అలసిపోయినట్లు అనిపించవచ్చు")</f>
        <v>రోజు చివరిలో అలసిపోయినట్లు అనిపించవచ్చు</v>
      </c>
    </row>
    <row r="286" spans="1:50" x14ac:dyDescent="0.25">
      <c r="A286" s="1">
        <v>301</v>
      </c>
      <c r="B286" s="1" t="s">
        <v>56</v>
      </c>
      <c r="C286" s="2">
        <v>45845</v>
      </c>
      <c r="D286" s="2">
        <v>45845</v>
      </c>
      <c r="E286" s="1">
        <v>9</v>
      </c>
      <c r="F286" s="1">
        <v>1</v>
      </c>
      <c r="G286" s="3" t="s">
        <v>812</v>
      </c>
      <c r="H286" s="4">
        <v>7.4074074074074077E-3</v>
      </c>
      <c r="I286" s="4">
        <v>4.5717592592592589E-3</v>
      </c>
      <c r="J286" s="4">
        <v>5.1273148148148146E-3</v>
      </c>
      <c r="K286" s="1"/>
      <c r="L286" s="1" t="s">
        <v>68</v>
      </c>
      <c r="M286" s="1"/>
      <c r="N286" s="1"/>
      <c r="O286" s="1" t="s">
        <v>91</v>
      </c>
      <c r="P286" s="1" t="s">
        <v>61</v>
      </c>
      <c r="Q286" s="1" t="s">
        <v>61</v>
      </c>
      <c r="R286" s="1" t="s">
        <v>61</v>
      </c>
      <c r="S286" s="1" t="s">
        <v>61</v>
      </c>
      <c r="T286" s="1" t="s">
        <v>61</v>
      </c>
      <c r="U286" s="1" t="s">
        <v>61</v>
      </c>
      <c r="V286" s="1" t="s">
        <v>91</v>
      </c>
      <c r="W286" s="1" t="s">
        <v>61</v>
      </c>
      <c r="X286" s="1" t="s">
        <v>61</v>
      </c>
      <c r="Y286" s="1" t="s">
        <v>458</v>
      </c>
      <c r="Z286" s="1" t="s">
        <v>830</v>
      </c>
      <c r="AA286" s="1" t="s">
        <v>831</v>
      </c>
      <c r="AB286" s="1"/>
      <c r="AC286" s="5" t="str">
        <f ca="1">IFERROR(__xludf.DUMMYFUNCTION("IF(Y286 = """", """", GOOGLETRANSLATE(Y286, ""en"", ""hi""))
"),"लंबित कार्य पूरा करें")</f>
        <v>लंबित कार्य पूरा करें</v>
      </c>
      <c r="AD286" s="5" t="str">
        <f ca="1">IFERROR(__xludf.DUMMYFUNCTION("IF(Z286 = """", """", GOOGLETRANSLATE(Z286, ""en"", ""hi""))"),"सम्मान प्राप्त करें")</f>
        <v>सम्मान प्राप्त करें</v>
      </c>
      <c r="AE286" s="5" t="str">
        <f ca="1">IFERROR(__xludf.DUMMYFUNCTION("IF(AA286 = """", """", GOOGLETRANSLATE(AA286, ""en"", ""hi""))"),"करियर के अवसर उत्पन्न हो सकते हैं")</f>
        <v>करियर के अवसर उत्पन्न हो सकते हैं</v>
      </c>
      <c r="AF286" s="5" t="str">
        <f ca="1">IFERROR(__xludf.DUMMYFUNCTION("IF(AB286 = """", """", GOOGLETRANSLATE(AB286, ""en"", ""hi""))"),"")</f>
        <v/>
      </c>
      <c r="AG286" s="5" t="str">
        <f ca="1">IFERROR(__xludf.DUMMYFUNCTION("IF(Y286 = """", """", GOOGLETRANSLATE(Y286, ""en"", ""mr""))"),"प्रलंबित कामे पूर्ण करा")</f>
        <v>प्रलंबित कामे पूर्ण करा</v>
      </c>
      <c r="AH286" s="5" t="str">
        <f ca="1">IFERROR(__xludf.DUMMYFUNCTION("IF(Z286 = """", """", GOOGLETRANSLATE(Z286, ""en"", ""mr""))"),"आदर मिळवा")</f>
        <v>आदर मिळवा</v>
      </c>
      <c r="AI286" s="5" t="str">
        <f ca="1">IFERROR(__xludf.DUMMYFUNCTION("IF(AA286 = """", """", GOOGLETRANSLATE(AA286, ""en"", ""mr""))"),"करिअरच्या संधी मिळू शकतात")</f>
        <v>करिअरच्या संधी मिळू शकतात</v>
      </c>
      <c r="AJ286" s="5" t="str">
        <f ca="1">IFERROR(__xludf.DUMMYFUNCTION("IF(AB286 = """", """", GOOGLETRANSLATE(AB286, ""en"", ""mr""))"),"")</f>
        <v/>
      </c>
      <c r="AK286" s="5" t="str">
        <f ca="1">IFERROR(__xludf.DUMMYFUNCTION("IF(Y286 = """", """", GOOGLETRANSLATE(Y286, ""en"", ""gu""))"),"પેન્ડિંગ કામ પૂરું કરો")</f>
        <v>પેન્ડિંગ કામ પૂરું કરો</v>
      </c>
      <c r="AL286" s="5" t="str">
        <f ca="1">IFERROR(__xludf.DUMMYFUNCTION("IF(Z286 = """", """", GOOGLETRANSLATE(Z286, ""en"", ""gu""))"),"આદર મેળવો")</f>
        <v>આદર મેળવો</v>
      </c>
      <c r="AM286" s="5" t="str">
        <f ca="1">IFERROR(__xludf.DUMMYFUNCTION("IF(AA286 = """", """", GOOGLETRANSLATE(AA286, ""en"", ""gu""))"),"કરિયરની તકો ઊભી થઈ શકે છે")</f>
        <v>કરિયરની તકો ઊભી થઈ શકે છે</v>
      </c>
      <c r="AN286" s="5" t="str">
        <f ca="1">IFERROR(__xludf.DUMMYFUNCTION("IF(AB286 = """", """", GOOGLETRANSLATE(AB286, ""en"", ""gu""))"),"")</f>
        <v/>
      </c>
      <c r="AO286" s="5" t="str">
        <f ca="1">IFERROR(__xludf.DUMMYFUNCTION("IF(Y286 = """", """", GOOGLETRANSLATE(Y286, ""en"", ""bn""))"),"অমীমাংসিত কাজ শেষ করুন")</f>
        <v>অমীমাংসিত কাজ শেষ করুন</v>
      </c>
      <c r="AP286" s="5" t="str">
        <f ca="1">IFERROR(__xludf.DUMMYFUNCTION("IF(Z286 = """", """", GOOGLETRANSLATE(Z286, ""en"", ""bn""))"),"সম্মান অর্জন করুন")</f>
        <v>সম্মান অর্জন করুন</v>
      </c>
      <c r="AQ286" s="5" t="str">
        <f ca="1">IFERROR(__xludf.DUMMYFUNCTION("IF(AA286 = """", """", GOOGLETRANSLATE(AA286, ""en"", ""bn""))"),"কর্মজীবনের সুযোগ আসতে পারে")</f>
        <v>কর্মজীবনের সুযোগ আসতে পারে</v>
      </c>
      <c r="AR286" s="5" t="str">
        <f ca="1">IFERROR(__xludf.DUMMYFUNCTION("IF(AB286 = """", """", GOOGLETRANSLATE(AB286, ""en"", ""bn""))"),"")</f>
        <v/>
      </c>
      <c r="AU286" s="5" t="str">
        <f ca="1">IFERROR(__xludf.DUMMYFUNCTION("IF(Y286 = """", """", GOOGLETRANSLATE(Y286, ""en"", ""te""))"),"పెండింగ్‌లో ఉన్న పనిని పూర్తి చేయండి")</f>
        <v>పెండింగ్‌లో ఉన్న పనిని పూర్తి చేయండి</v>
      </c>
      <c r="AV286" s="5" t="str">
        <f ca="1">IFERROR(__xludf.DUMMYFUNCTION("IF(Z286 = """", """", GOOGLETRANSLATE(Z286, ""en"", ""te""))"),"గౌరవం పొందండి")</f>
        <v>గౌరవం పొందండి</v>
      </c>
      <c r="AW286" s="5" t="str">
        <f ca="1">IFERROR(__xludf.DUMMYFUNCTION("IF(AA286 = """", """", GOOGLETRANSLATE(AA286, ""en"", ""te""))"),"కెరీర్ అవకాశాలు రావచ్చు")</f>
        <v>కెరీర్ అవకాశాలు రావచ్చు</v>
      </c>
      <c r="AX286" s="5" t="str">
        <f ca="1">IFERROR(__xludf.DUMMYFUNCTION("IF(AB286 = """", """", GOOGLETRANSLATE(AB286, ""en"", ""te""))"),"")</f>
        <v/>
      </c>
    </row>
    <row r="287" spans="1:50" x14ac:dyDescent="0.25">
      <c r="A287" s="1">
        <v>302</v>
      </c>
      <c r="B287" s="1" t="s">
        <v>56</v>
      </c>
      <c r="C287" s="2">
        <v>45845</v>
      </c>
      <c r="D287" s="2">
        <v>45845</v>
      </c>
      <c r="E287" s="1">
        <v>10</v>
      </c>
      <c r="F287" s="1">
        <v>1</v>
      </c>
      <c r="G287" s="3" t="s">
        <v>812</v>
      </c>
      <c r="H287" s="4">
        <v>7.4074074074074077E-3</v>
      </c>
      <c r="I287" s="4">
        <v>5.1273148148148146E-3</v>
      </c>
      <c r="J287" s="4">
        <v>5.6249999999999998E-3</v>
      </c>
      <c r="K287" s="1"/>
      <c r="L287" s="1" t="s">
        <v>72</v>
      </c>
      <c r="M287" s="1"/>
      <c r="N287" s="1"/>
      <c r="O287" s="1" t="s">
        <v>61</v>
      </c>
      <c r="P287" s="1" t="s">
        <v>61</v>
      </c>
      <c r="Q287" s="1" t="s">
        <v>61</v>
      </c>
      <c r="R287" s="1" t="s">
        <v>61</v>
      </c>
      <c r="S287" s="1" t="s">
        <v>61</v>
      </c>
      <c r="T287" s="1" t="s">
        <v>91</v>
      </c>
      <c r="U287" s="1" t="s">
        <v>61</v>
      </c>
      <c r="V287" s="1" t="s">
        <v>61</v>
      </c>
      <c r="W287" s="1" t="s">
        <v>61</v>
      </c>
      <c r="X287" s="1" t="s">
        <v>91</v>
      </c>
      <c r="Y287" s="1" t="s">
        <v>832</v>
      </c>
      <c r="Z287" s="1" t="s">
        <v>833</v>
      </c>
      <c r="AA287" s="1" t="s">
        <v>834</v>
      </c>
      <c r="AB287" s="1" t="s">
        <v>835</v>
      </c>
      <c r="AC287" s="5" t="str">
        <f ca="1">IFERROR(__xludf.DUMMYFUNCTION("IF(Y287 = """", """", GOOGLETRANSLATE(Y287, ""en"", ""hi""))
"),"पूरा सप्ताह भाग्यशाली")</f>
        <v>पूरा सप्ताह भाग्यशाली</v>
      </c>
      <c r="AD287" s="5" t="str">
        <f ca="1">IFERROR(__xludf.DUMMYFUNCTION("IF(Z287 = """", """", GOOGLETRANSLATE(Z287, ""en"", ""hi""))"),"निर्णय लें")</f>
        <v>निर्णय लें</v>
      </c>
      <c r="AE287" s="5" t="str">
        <f ca="1">IFERROR(__xludf.DUMMYFUNCTION("IF(AA287 = """", """", GOOGLETRANSLATE(AA287, ""en"", ""hi""))"),"काम और परिवार के बीच संतुलन बनाने में अव्यवस्था महसूस हो सकती है")</f>
        <v>काम और परिवार के बीच संतुलन बनाने में अव्यवस्था महसूस हो सकती है</v>
      </c>
      <c r="AF287" s="5" t="str">
        <f ca="1">IFERROR(__xludf.DUMMYFUNCTION("IF(AB287 = """", """", GOOGLETRANSLATE(AB287, ""en"", ""hi""))"),"पारिवारिक जिम्मेदारियों का प्रबंधन करें")</f>
        <v>पारिवारिक जिम्मेदारियों का प्रबंधन करें</v>
      </c>
      <c r="AG287" s="5" t="str">
        <f ca="1">IFERROR(__xludf.DUMMYFUNCTION("IF(Y287 = """", """", GOOGLETRANSLATE(Y287, ""en"", ""mr""))"),"संपूर्ण आठवडा भाग्यवान")</f>
        <v>संपूर्ण आठवडा भाग्यवान</v>
      </c>
      <c r="AH287" s="5" t="str">
        <f ca="1">IFERROR(__xludf.DUMMYFUNCTION("IF(Z287 = """", """", GOOGLETRANSLATE(Z287, ""en"", ""mr""))"),"निर्णय घ्या")</f>
        <v>निर्णय घ्या</v>
      </c>
      <c r="AI287" s="5" t="str">
        <f ca="1">IFERROR(__xludf.DUMMYFUNCTION("IF(AA287 = """", """", GOOGLETRANSLATE(AA287, ""en"", ""mr""))"),"काम आणि कुटुंब यांच्यात समतोल राखण्यात अराजकता जाणवू शकते")</f>
        <v>काम आणि कुटुंब यांच्यात समतोल राखण्यात अराजकता जाणवू शकते</v>
      </c>
      <c r="AJ287" s="5" t="str">
        <f ca="1">IFERROR(__xludf.DUMMYFUNCTION("IF(AB287 = """", """", GOOGLETRANSLATE(AB287, ""en"", ""mr""))"),"कौटुंबिक जबाबदाऱ्या सांभाळा")</f>
        <v>कौटुंबिक जबाबदाऱ्या सांभाळा</v>
      </c>
      <c r="AK287" s="5" t="str">
        <f ca="1">IFERROR(__xludf.DUMMYFUNCTION("IF(Y287 = """", """", GOOGLETRANSLATE(Y287, ""en"", ""gu""))"),"આખું અઠવાડિયું નસીબદાર")</f>
        <v>આખું અઠવાડિયું નસીબદાર</v>
      </c>
      <c r="AL287" s="5" t="str">
        <f ca="1">IFERROR(__xludf.DUMMYFUNCTION("IF(Z287 = """", """", GOOGLETRANSLATE(Z287, ""en"", ""gu""))"),"નિર્ણયો લો")</f>
        <v>નિર્ણયો લો</v>
      </c>
      <c r="AM287" s="5" t="str">
        <f ca="1">IFERROR(__xludf.DUMMYFUNCTION("IF(AA287 = """", """", GOOGLETRANSLATE(AA287, ""en"", ""gu""))"),"કાર્ય અને પરિવાર વચ્ચે સંતુલન કરવામાં અરાજકતા અનુભવી શકો છો")</f>
        <v>કાર્ય અને પરિવાર વચ્ચે સંતુલન કરવામાં અરાજકતા અનુભવી શકો છો</v>
      </c>
      <c r="AN287" s="5" t="str">
        <f ca="1">IFERROR(__xludf.DUMMYFUNCTION("IF(AB287 = """", """", GOOGLETRANSLATE(AB287, ""en"", ""gu""))"),"કૌટુંબિક જવાબદારીઓનું સંચાલન કરો")</f>
        <v>કૌટુંબિક જવાબદારીઓનું સંચાલન કરો</v>
      </c>
      <c r="AO287" s="5" t="str">
        <f ca="1">IFERROR(__xludf.DUMMYFUNCTION("IF(Y287 = """", """", GOOGLETRANSLATE(Y287, ""en"", ""bn""))"),"পুরো সপ্তাহ ভাগ্যবান")</f>
        <v>পুরো সপ্তাহ ভাগ্যবান</v>
      </c>
      <c r="AP287" s="5" t="str">
        <f ca="1">IFERROR(__xludf.DUMMYFUNCTION("IF(Z287 = """", """", GOOGLETRANSLATE(Z287, ""en"", ""bn""))"),"সিদ্ধান্ত নিন")</f>
        <v>সিদ্ধান্ত নিন</v>
      </c>
      <c r="AQ287" s="5" t="str">
        <f ca="1">IFERROR(__xludf.DUMMYFUNCTION("IF(AA287 = """", """", GOOGLETRANSLATE(AA287, ""en"", ""bn""))"),"কাজ এবং পরিবারের মধ্যে ভারসাম্য বজায় রাখার ক্ষেত্রে বিশৃঙ্খলা অনুভব করতে পারে")</f>
        <v>কাজ এবং পরিবারের মধ্যে ভারসাম্য বজায় রাখার ক্ষেত্রে বিশৃঙ্খলা অনুভব করতে পারে</v>
      </c>
      <c r="AR287" s="5" t="str">
        <f ca="1">IFERROR(__xludf.DUMMYFUNCTION("IF(AB287 = """", """", GOOGLETRANSLATE(AB287, ""en"", ""bn""))"),"পারিবারিক দায়িত্ব সামলান")</f>
        <v>পারিবারিক দায়িত্ব সামলান</v>
      </c>
      <c r="AU287" s="5" t="str">
        <f ca="1">IFERROR(__xludf.DUMMYFUNCTION("IF(Y287 = """", """", GOOGLETRANSLATE(Y287, ""en"", ""te""))"),"వారం మొత్తం అదృష్టం")</f>
        <v>వారం మొత్తం అదృష్టం</v>
      </c>
      <c r="AV287" s="5" t="str">
        <f ca="1">IFERROR(__xludf.DUMMYFUNCTION("IF(Z287 = """", """", GOOGLETRANSLATE(Z287, ""en"", ""te""))"),"నిర్ణయాలు తీసుకోండి")</f>
        <v>నిర్ణయాలు తీసుకోండి</v>
      </c>
      <c r="AW287" s="5" t="str">
        <f ca="1">IFERROR(__xludf.DUMMYFUNCTION("IF(AA287 = """", """", GOOGLETRANSLATE(AA287, ""en"", ""te""))"),"పని మరియు కుటుంబం మధ్య బ్యాలెన్స్ చేయడంలో గందరగోళం అనిపించవచ్చు")</f>
        <v>పని మరియు కుటుంబం మధ్య బ్యాలెన్స్ చేయడంలో గందరగోళం అనిపించవచ్చు</v>
      </c>
      <c r="AX287" s="5" t="str">
        <f ca="1">IFERROR(__xludf.DUMMYFUNCTION("IF(AB287 = """", """", GOOGLETRANSLATE(AB287, ""en"", ""te""))"),"కుటుంబ బాధ్యతలను నిర్వహించండి")</f>
        <v>కుటుంబ బాధ్యతలను నిర్వహించండి</v>
      </c>
    </row>
    <row r="288" spans="1:50" x14ac:dyDescent="0.25">
      <c r="A288" s="1">
        <v>303</v>
      </c>
      <c r="B288" s="1" t="s">
        <v>56</v>
      </c>
      <c r="C288" s="2">
        <v>45845</v>
      </c>
      <c r="D288" s="2">
        <v>45845</v>
      </c>
      <c r="E288" s="1">
        <v>11</v>
      </c>
      <c r="F288" s="1">
        <v>1</v>
      </c>
      <c r="G288" s="3" t="s">
        <v>812</v>
      </c>
      <c r="H288" s="4">
        <v>7.4074074074074077E-3</v>
      </c>
      <c r="I288" s="4">
        <v>5.6249999999999998E-3</v>
      </c>
      <c r="J288" s="4">
        <v>6.2268518518518515E-3</v>
      </c>
      <c r="K288" s="1"/>
      <c r="L288" s="1" t="s">
        <v>76</v>
      </c>
      <c r="M288" s="1"/>
      <c r="N288" s="1"/>
      <c r="O288" s="1" t="s">
        <v>91</v>
      </c>
      <c r="P288" s="1" t="s">
        <v>61</v>
      </c>
      <c r="Q288" s="1" t="s">
        <v>61</v>
      </c>
      <c r="R288" s="1" t="s">
        <v>61</v>
      </c>
      <c r="S288" s="1" t="s">
        <v>61</v>
      </c>
      <c r="T288" s="1" t="s">
        <v>61</v>
      </c>
      <c r="U288" s="1" t="s">
        <v>61</v>
      </c>
      <c r="V288" s="1" t="s">
        <v>61</v>
      </c>
      <c r="W288" s="1" t="s">
        <v>61</v>
      </c>
      <c r="X288" s="1" t="s">
        <v>91</v>
      </c>
      <c r="Y288" s="1" t="s">
        <v>836</v>
      </c>
      <c r="Z288" s="1" t="s">
        <v>837</v>
      </c>
      <c r="AA288" s="1" t="s">
        <v>838</v>
      </c>
      <c r="AB288" s="1"/>
      <c r="AC288" s="5" t="str">
        <f ca="1">IFERROR(__xludf.DUMMYFUNCTION("IF(Y288 = """", """", GOOGLETRANSLATE(Y288, ""en"", ""hi""))
"),"अप्रत्याशित कार्यभार")</f>
        <v>अप्रत्याशित कार्यभार</v>
      </c>
      <c r="AD288" s="5" t="str">
        <f ca="1">IFERROR(__xludf.DUMMYFUNCTION("IF(Z288 = """", """", GOOGLETRANSLATE(Z288, ""en"", ""hi""))"),"दिन योजना के अनुसार नहीं चलेगा")</f>
        <v>दिन योजना के अनुसार नहीं चलेगा</v>
      </c>
      <c r="AE288" s="5" t="str">
        <f ca="1">IFERROR(__xludf.DUMMYFUNCTION("IF(AA288 = """", """", GOOGLETRANSLATE(AA288, ""en"", ""hi""))"),"कार्यों को लंबित न छोड़ें")</f>
        <v>कार्यों को लंबित न छोड़ें</v>
      </c>
      <c r="AF288" s="5" t="str">
        <f ca="1">IFERROR(__xludf.DUMMYFUNCTION("IF(AB288 = """", """", GOOGLETRANSLATE(AB288, ""en"", ""hi""))"),"")</f>
        <v/>
      </c>
      <c r="AG288" s="5" t="str">
        <f ca="1">IFERROR(__xludf.DUMMYFUNCTION("IF(Y288 = """", """", GOOGLETRANSLATE(Y288, ""en"", ""mr""))"),"अनपेक्षित कामाचा ताण")</f>
        <v>अनपेक्षित कामाचा ताण</v>
      </c>
      <c r="AH288" s="5" t="str">
        <f ca="1">IFERROR(__xludf.DUMMYFUNCTION("IF(Z288 = """", """", GOOGLETRANSLATE(Z288, ""en"", ""mr""))"),"दिवस ठरल्याप्रमाणे जाणार नाही")</f>
        <v>दिवस ठरल्याप्रमाणे जाणार नाही</v>
      </c>
      <c r="AI288" s="5" t="str">
        <f ca="1">IFERROR(__xludf.DUMMYFUNCTION("IF(AA288 = """", """", GOOGLETRANSLATE(AA288, ""en"", ""mr""))"),"कामे प्रलंबित ठेवू नका")</f>
        <v>कामे प्रलंबित ठेवू नका</v>
      </c>
      <c r="AJ288" s="5" t="str">
        <f ca="1">IFERROR(__xludf.DUMMYFUNCTION("IF(AB288 = """", """", GOOGLETRANSLATE(AB288, ""en"", ""mr""))"),"")</f>
        <v/>
      </c>
      <c r="AK288" s="5" t="str">
        <f ca="1">IFERROR(__xludf.DUMMYFUNCTION("IF(Y288 = """", """", GOOGLETRANSLATE(Y288, ""en"", ""gu""))"),"અણધાર્યો વર્કલોડ")</f>
        <v>અણધાર્યો વર્કલોડ</v>
      </c>
      <c r="AL288" s="5" t="str">
        <f ca="1">IFERROR(__xludf.DUMMYFUNCTION("IF(Z288 = """", """", GOOGLETRANSLATE(Z288, ""en"", ""gu""))"),"દિવસ યોજના મુજબ જશે નહીં")</f>
        <v>દિવસ યોજના મુજબ જશે નહીં</v>
      </c>
      <c r="AM288" s="5" t="str">
        <f ca="1">IFERROR(__xludf.DUMMYFUNCTION("IF(AA288 = """", """", GOOGLETRANSLATE(AA288, ""en"", ""gu""))"),"કામ પેન્ડિંગ ન છોડો")</f>
        <v>કામ પેન્ડિંગ ન છોડો</v>
      </c>
      <c r="AN288" s="5" t="str">
        <f ca="1">IFERROR(__xludf.DUMMYFUNCTION("IF(AB288 = """", """", GOOGLETRANSLATE(AB288, ""en"", ""gu""))"),"")</f>
        <v/>
      </c>
      <c r="AO288" s="5" t="str">
        <f ca="1">IFERROR(__xludf.DUMMYFUNCTION("IF(Y288 = """", """", GOOGLETRANSLATE(Y288, ""en"", ""bn""))"),"অপ্রত্যাশিত কাজের চাপ")</f>
        <v>অপ্রত্যাশিত কাজের চাপ</v>
      </c>
      <c r="AP288" s="5" t="str">
        <f ca="1">IFERROR(__xludf.DUMMYFUNCTION("IF(Z288 = """", """", GOOGLETRANSLATE(Z288, ""en"", ""bn""))"),"পরিকল্পনা অনুযায়ী দিন যাবে না")</f>
        <v>পরিকল্পনা অনুযায়ী দিন যাবে না</v>
      </c>
      <c r="AQ288" s="5" t="str">
        <f ca="1">IFERROR(__xludf.DUMMYFUNCTION("IF(AA288 = """", """", GOOGLETRANSLATE(AA288, ""en"", ""bn""))"),"কাজগুলি পেন্ডিং রাখবেন না")</f>
        <v>কাজগুলি পেন্ডিং রাখবেন না</v>
      </c>
      <c r="AR288" s="5" t="str">
        <f ca="1">IFERROR(__xludf.DUMMYFUNCTION("IF(AB288 = """", """", GOOGLETRANSLATE(AB288, ""en"", ""bn""))"),"")</f>
        <v/>
      </c>
      <c r="AU288" s="5" t="str">
        <f ca="1">IFERROR(__xludf.DUMMYFUNCTION("IF(Y288 = """", """", GOOGLETRANSLATE(Y288, ""en"", ""te""))"),"ఊహించని పనిభారం")</f>
        <v>ఊహించని పనిభారం</v>
      </c>
      <c r="AV288" s="5" t="str">
        <f ca="1">IFERROR(__xludf.DUMMYFUNCTION("IF(Z288 = """", """", GOOGLETRANSLATE(Z288, ""en"", ""te""))"),"రోజు అనుకున్నట్లుగా సాగదు")</f>
        <v>రోజు అనుకున్నట్లుగా సాగదు</v>
      </c>
      <c r="AW288" s="5" t="str">
        <f ca="1">IFERROR(__xludf.DUMMYFUNCTION("IF(AA288 = """", """", GOOGLETRANSLATE(AA288, ""en"", ""te""))"),"పనులను పెండింగ్‌లో ఉంచవద్దు")</f>
        <v>పనులను పెండింగ్‌లో ఉంచవద్దు</v>
      </c>
      <c r="AX288" s="5" t="str">
        <f ca="1">IFERROR(__xludf.DUMMYFUNCTION("IF(AB288 = """", """", GOOGLETRANSLATE(AB288, ""en"", ""te""))"),"")</f>
        <v/>
      </c>
    </row>
    <row r="289" spans="1:50" x14ac:dyDescent="0.25">
      <c r="A289" s="1">
        <v>304</v>
      </c>
      <c r="B289" s="1" t="s">
        <v>56</v>
      </c>
      <c r="C289" s="2">
        <v>45845</v>
      </c>
      <c r="D289" s="2">
        <v>45845</v>
      </c>
      <c r="E289" s="1">
        <v>12</v>
      </c>
      <c r="F289" s="1">
        <v>1</v>
      </c>
      <c r="G289" s="3" t="s">
        <v>812</v>
      </c>
      <c r="H289" s="4">
        <v>7.4074074074074077E-3</v>
      </c>
      <c r="I289" s="4">
        <v>6.2268518518518515E-3</v>
      </c>
      <c r="J289" s="4">
        <v>6.6435185185185182E-3</v>
      </c>
      <c r="K289" s="1"/>
      <c r="L289" s="1" t="s">
        <v>79</v>
      </c>
      <c r="M289" s="1"/>
      <c r="N289" s="1"/>
      <c r="O289" s="1" t="s">
        <v>61</v>
      </c>
      <c r="P289" s="1" t="s">
        <v>61</v>
      </c>
      <c r="Q289" s="1" t="s">
        <v>61</v>
      </c>
      <c r="R289" s="1" t="s">
        <v>91</v>
      </c>
      <c r="S289" s="1" t="s">
        <v>61</v>
      </c>
      <c r="T289" s="1" t="s">
        <v>61</v>
      </c>
      <c r="U289" s="1" t="s">
        <v>61</v>
      </c>
      <c r="V289" s="1" t="s">
        <v>91</v>
      </c>
      <c r="W289" s="1" t="s">
        <v>61</v>
      </c>
      <c r="X289" s="1" t="s">
        <v>61</v>
      </c>
      <c r="Y289" s="1" t="s">
        <v>839</v>
      </c>
      <c r="Z289" s="1" t="s">
        <v>751</v>
      </c>
      <c r="AA289" s="1" t="s">
        <v>840</v>
      </c>
      <c r="AB289" s="1"/>
      <c r="AC289" s="5" t="str">
        <f ca="1">IFERROR(__xludf.DUMMYFUNCTION("IF(Y289 = """", """", GOOGLETRANSLATE(Y289, ""en"", ""hi""))
"),"बच्चों की चिंताएँ कम होती हैं")</f>
        <v>बच्चों की चिंताएँ कम होती हैं</v>
      </c>
      <c r="AD289" s="5" t="str">
        <f ca="1">IFERROR(__xludf.DUMMYFUNCTION("IF(Z289 = """", """", GOOGLETRANSLATE(Z289, ""en"", ""hi""))"),"अप्रत्याशित व्यय")</f>
        <v>अप्रत्याशित व्यय</v>
      </c>
      <c r="AE289" s="5" t="str">
        <f ca="1">IFERROR(__xludf.DUMMYFUNCTION("IF(AA289 = """", """", GOOGLETRANSLATE(AA289, ""en"", ""hi""))"),"ग़लतफ़हमी से बचें")</f>
        <v>ग़लतफ़हमी से बचें</v>
      </c>
      <c r="AF289" s="5" t="str">
        <f ca="1">IFERROR(__xludf.DUMMYFUNCTION("IF(AB289 = """", """", GOOGLETRANSLATE(AB289, ""en"", ""hi""))"),"")</f>
        <v/>
      </c>
      <c r="AG289" s="5" t="str">
        <f ca="1">IFERROR(__xludf.DUMMYFUNCTION("IF(Y289 = """", """", GOOGLETRANSLATE(Y289, ""en"", ""mr""))"),"मुलांची चिंता कमी होईल")</f>
        <v>मुलांची चिंता कमी होईल</v>
      </c>
      <c r="AH289" s="5" t="str">
        <f ca="1">IFERROR(__xludf.DUMMYFUNCTION("IF(Z289 = """", """", GOOGLETRANSLATE(Z289, ""en"", ""mr""))"),"अनपेक्षित खर्च")</f>
        <v>अनपेक्षित खर्च</v>
      </c>
      <c r="AI289" s="5" t="str">
        <f ca="1">IFERROR(__xludf.DUMMYFUNCTION("IF(AA289 = """", """", GOOGLETRANSLATE(AA289, ""en"", ""mr""))"),"गैरसमज टाळा")</f>
        <v>गैरसमज टाळा</v>
      </c>
      <c r="AJ289" s="5" t="str">
        <f ca="1">IFERROR(__xludf.DUMMYFUNCTION("IF(AB289 = """", """", GOOGLETRANSLATE(AB289, ""en"", ""mr""))"),"")</f>
        <v/>
      </c>
      <c r="AK289" s="5" t="str">
        <f ca="1">IFERROR(__xludf.DUMMYFUNCTION("IF(Y289 = """", """", GOOGLETRANSLATE(Y289, ""en"", ""gu""))"),"સંતાનની ચિંતા હળવી થાય")</f>
        <v>સંતાનની ચિંતા હળવી થાય</v>
      </c>
      <c r="AL289" s="5" t="str">
        <f ca="1">IFERROR(__xludf.DUMMYFUNCTION("IF(Z289 = """", """", GOOGLETRANSLATE(Z289, ""en"", ""gu""))"),"અણધાર્યા ખર્ચ")</f>
        <v>અણધાર્યા ખર્ચ</v>
      </c>
      <c r="AM289" s="5" t="str">
        <f ca="1">IFERROR(__xludf.DUMMYFUNCTION("IF(AA289 = """", """", GOOGLETRANSLATE(AA289, ""en"", ""gu""))"),"ગેરસમજ ટાળો")</f>
        <v>ગેરસમજ ટાળો</v>
      </c>
      <c r="AN289" s="5" t="str">
        <f ca="1">IFERROR(__xludf.DUMMYFUNCTION("IF(AB289 = """", """", GOOGLETRANSLATE(AB289, ""en"", ""gu""))"),"")</f>
        <v/>
      </c>
      <c r="AO289" s="5" t="str">
        <f ca="1">IFERROR(__xludf.DUMMYFUNCTION("IF(Y289 = """", """", GOOGLETRANSLATE(Y289, ""en"", ""bn""))"),"সন্তানের দুশ্চিন্তা কম হয়")</f>
        <v>সন্তানের দুশ্চিন্তা কম হয়</v>
      </c>
      <c r="AP289" s="5" t="str">
        <f ca="1">IFERROR(__xludf.DUMMYFUNCTION("IF(Z289 = """", """", GOOGLETRANSLATE(Z289, ""en"", ""bn""))"),"অপ্রত্যাশিত খরচ")</f>
        <v>অপ্রত্যাশিত খরচ</v>
      </c>
      <c r="AQ289" s="5" t="str">
        <f ca="1">IFERROR(__xludf.DUMMYFUNCTION("IF(AA289 = """", """", GOOGLETRANSLATE(AA289, ""en"", ""bn""))"),"ভুল বোঝাবুঝি এড়িয়ে চলুন")</f>
        <v>ভুল বোঝাবুঝি এড়িয়ে চলুন</v>
      </c>
      <c r="AR289" s="5" t="str">
        <f ca="1">IFERROR(__xludf.DUMMYFUNCTION("IF(AB289 = """", """", GOOGLETRANSLATE(AB289, ""en"", ""bn""))"),"")</f>
        <v/>
      </c>
      <c r="AU289" s="5" t="str">
        <f ca="1">IFERROR(__xludf.DUMMYFUNCTION("IF(Y289 = """", """", GOOGLETRANSLATE(Y289, ""en"", ""te""))"),"పిల్లల ఆందోళనలు తేలికవుతాయి")</f>
        <v>పిల్లల ఆందోళనలు తేలికవుతాయి</v>
      </c>
      <c r="AV289" s="5" t="str">
        <f ca="1">IFERROR(__xludf.DUMMYFUNCTION("IF(Z289 = """", """", GOOGLETRANSLATE(Z289, ""en"", ""te""))"),"ఊహించని ఖర్చులు")</f>
        <v>ఊహించని ఖర్చులు</v>
      </c>
      <c r="AW289" s="5" t="str">
        <f ca="1">IFERROR(__xludf.DUMMYFUNCTION("IF(AA289 = """", """", GOOGLETRANSLATE(AA289, ""en"", ""te""))"),"అపార్థాలు మానుకోండి")</f>
        <v>అపార్థాలు మానుకోండి</v>
      </c>
      <c r="AX289" s="5" t="str">
        <f ca="1">IFERROR(__xludf.DUMMYFUNCTION("IF(AB289 = """", """", GOOGLETRANSLATE(AB289, ""en"", ""te""))"),"")</f>
        <v/>
      </c>
    </row>
    <row r="290" spans="1:50" x14ac:dyDescent="0.25">
      <c r="A290" s="1">
        <v>305</v>
      </c>
      <c r="B290" s="1" t="s">
        <v>56</v>
      </c>
      <c r="C290" s="2">
        <v>45845</v>
      </c>
      <c r="D290" s="2">
        <v>45845</v>
      </c>
      <c r="E290" s="1">
        <v>13</v>
      </c>
      <c r="F290" s="1">
        <v>1</v>
      </c>
      <c r="G290" s="3" t="s">
        <v>812</v>
      </c>
      <c r="H290" s="4">
        <v>7.4074074074074077E-3</v>
      </c>
      <c r="I290" s="4">
        <v>6.6435185185185182E-3</v>
      </c>
      <c r="J290" s="4">
        <v>1.5046296296296297E-4</v>
      </c>
      <c r="K290" s="1"/>
      <c r="L290" s="1" t="s">
        <v>81</v>
      </c>
      <c r="M290" s="1"/>
      <c r="N290" s="1"/>
      <c r="O290" s="1" t="s">
        <v>91</v>
      </c>
      <c r="P290" s="1" t="s">
        <v>61</v>
      </c>
      <c r="Q290" s="1" t="s">
        <v>61</v>
      </c>
      <c r="R290" s="1" t="s">
        <v>61</v>
      </c>
      <c r="S290" s="1" t="s">
        <v>61</v>
      </c>
      <c r="T290" s="1" t="s">
        <v>61</v>
      </c>
      <c r="U290" s="1" t="s">
        <v>61</v>
      </c>
      <c r="V290" s="1" t="s">
        <v>61</v>
      </c>
      <c r="W290" s="1" t="s">
        <v>61</v>
      </c>
      <c r="X290" s="1" t="s">
        <v>91</v>
      </c>
      <c r="Y290" s="1" t="s">
        <v>841</v>
      </c>
      <c r="Z290" s="1" t="s">
        <v>842</v>
      </c>
      <c r="AA290" s="1" t="s">
        <v>843</v>
      </c>
      <c r="AB290" s="1" t="s">
        <v>511</v>
      </c>
      <c r="AC290" s="5" t="str">
        <f ca="1">IFERROR(__xludf.DUMMYFUNCTION("IF(Y290 = """", """", GOOGLETRANSLATE(Y290, ""en"", ""hi""))
"),"बच्चों की चिंता कम होती है")</f>
        <v>बच्चों की चिंता कम होती है</v>
      </c>
      <c r="AD290" s="5" t="str">
        <f ca="1">IFERROR(__xludf.DUMMYFUNCTION("IF(Z290 = """", """", GOOGLETRANSLATE(Z290, ""en"", ""hi""))"),"पिछले कार्यों को साफ़ करें")</f>
        <v>पिछले कार्यों को साफ़ करें</v>
      </c>
      <c r="AE290" s="5" t="str">
        <f ca="1">IFERROR(__xludf.DUMMYFUNCTION("IF(AA290 = """", """", GOOGLETRANSLATE(AA290, ""en"", ""hi""))"),"करियर और परिवार में सुधार")</f>
        <v>करियर और परिवार में सुधार</v>
      </c>
      <c r="AF290" s="5" t="str">
        <f ca="1">IFERROR(__xludf.DUMMYFUNCTION("IF(AB290 = """", """", GOOGLETRANSLATE(AB290, ""en"", ""hi""))"),"आवेगपूर्ण कार्यों से बचें")</f>
        <v>आवेगपूर्ण कार्यों से बचें</v>
      </c>
      <c r="AG290" s="5" t="str">
        <f ca="1">IFERROR(__xludf.DUMMYFUNCTION("IF(Y290 = """", """", GOOGLETRANSLATE(Y290, ""en"", ""mr""))"),"मुलाची चिंता सुलभ होते")</f>
        <v>मुलाची चिंता सुलभ होते</v>
      </c>
      <c r="AH290" s="5" t="str">
        <f ca="1">IFERROR(__xludf.DUMMYFUNCTION("IF(Z290 = """", """", GOOGLETRANSLATE(Z290, ""en"", ""mr""))"),"मागील कार्ये साफ करा")</f>
        <v>मागील कार्ये साफ करा</v>
      </c>
      <c r="AI290" s="5" t="str">
        <f ca="1">IFERROR(__xludf.DUMMYFUNCTION("IF(AA290 = """", """", GOOGLETRANSLATE(AA290, ""en"", ""mr""))"),"करिअर आणि कौटुंबिक सुधारणा")</f>
        <v>करिअर आणि कौटुंबिक सुधारणा</v>
      </c>
      <c r="AJ290" s="5" t="str">
        <f ca="1">IFERROR(__xludf.DUMMYFUNCTION("IF(AB290 = """", """", GOOGLETRANSLATE(AB290, ""en"", ""mr""))"),"आवेगपूर्ण कृती टाळा")</f>
        <v>आवेगपूर्ण कृती टाळा</v>
      </c>
      <c r="AK290" s="5" t="str">
        <f ca="1">IFERROR(__xludf.DUMMYFUNCTION("IF(Y290 = """", """", GOOGLETRANSLATE(Y290, ""en"", ""gu""))"),"બાળકની ચિંતામાં સરળતા")</f>
        <v>બાળકની ચિંતામાં સરળતા</v>
      </c>
      <c r="AL290" s="5" t="str">
        <f ca="1">IFERROR(__xludf.DUMMYFUNCTION("IF(Z290 = """", """", GOOGLETRANSLATE(Z290, ""en"", ""gu""))"),"ભૂતકાળના કાર્યો સાફ કરો")</f>
        <v>ભૂતકાળના કાર્યો સાફ કરો</v>
      </c>
      <c r="AM290" s="5" t="str">
        <f ca="1">IFERROR(__xludf.DUMMYFUNCTION("IF(AA290 = """", """", GOOGLETRANSLATE(AA290, ""en"", ""gu""))"),"કરિયર અને પરિવારમાં સુધારો થાય")</f>
        <v>કરિયર અને પરિવારમાં સુધારો થાય</v>
      </c>
      <c r="AN290" s="5" t="str">
        <f ca="1">IFERROR(__xludf.DUMMYFUNCTION("IF(AB290 = """", """", GOOGLETRANSLATE(AB290, ""en"", ""gu""))"),"આવેગજન્ય ક્રિયાઓ ટાળો")</f>
        <v>આવેગજન્ય ક્રિયાઓ ટાળો</v>
      </c>
      <c r="AO290" s="5" t="str">
        <f ca="1">IFERROR(__xludf.DUMMYFUNCTION("IF(Y290 = """", """", GOOGLETRANSLATE(Y290, ""en"", ""bn""))"),"শিশু উদ্বেগ আরাম")</f>
        <v>শিশু উদ্বেগ আরাম</v>
      </c>
      <c r="AP290" s="5" t="str">
        <f ca="1">IFERROR(__xludf.DUMMYFUNCTION("IF(Z290 = """", """", GOOGLETRANSLATE(Z290, ""en"", ""bn""))"),"অতীতের কাজগুলি পরিষ্কার করুন")</f>
        <v>অতীতের কাজগুলি পরিষ্কার করুন</v>
      </c>
      <c r="AQ290" s="5" t="str">
        <f ca="1">IFERROR(__xludf.DUMMYFUNCTION("IF(AA290 = """", """", GOOGLETRANSLATE(AA290, ""en"", ""bn""))"),"কর্মজীবন এবং পরিবারের উন্নতি")</f>
        <v>কর্মজীবন এবং পরিবারের উন্নতি</v>
      </c>
      <c r="AR290" s="5" t="str">
        <f ca="1">IFERROR(__xludf.DUMMYFUNCTION("IF(AB290 = """", """", GOOGLETRANSLATE(AB290, ""en"", ""bn""))"),"আবেগপ্রবণ কাজ এড়িয়ে চলুন")</f>
        <v>আবেগপ্রবণ কাজ এড়িয়ে চলুন</v>
      </c>
      <c r="AU290" s="5" t="str">
        <f ca="1">IFERROR(__xludf.DUMMYFUNCTION("IF(Y290 = """", """", GOOGLETRANSLATE(Y290, ""en"", ""te""))"),"పిల్లల ఆందోళనలు తేలిక")</f>
        <v>పిల్లల ఆందోళనలు తేలిక</v>
      </c>
      <c r="AV290" s="5" t="str">
        <f ca="1">IFERROR(__xludf.DUMMYFUNCTION("IF(Z290 = """", """", GOOGLETRANSLATE(Z290, ""en"", ""te""))"),"గత పనులను క్లియర్ చేయండి")</f>
        <v>గత పనులను క్లియర్ చేయండి</v>
      </c>
      <c r="AW290" s="5" t="str">
        <f ca="1">IFERROR(__xludf.DUMMYFUNCTION("IF(AA290 = """", """", GOOGLETRANSLATE(AA290, ""en"", ""te""))"),"వృత్తి మరియు కుటుంబం మెరుగుపడుతుంది")</f>
        <v>వృత్తి మరియు కుటుంబం మెరుగుపడుతుంది</v>
      </c>
      <c r="AX290" s="5" t="str">
        <f ca="1">IFERROR(__xludf.DUMMYFUNCTION("IF(AB290 = """", """", GOOGLETRANSLATE(AB290, ""en"", ""te""))"),"ఆకస్మిక చర్యలను నివారించండి")</f>
        <v>ఆకస్మిక చర్యలను నివారించండి</v>
      </c>
    </row>
    <row r="291" spans="1:50" x14ac:dyDescent="0.25">
      <c r="A291" s="1">
        <v>306</v>
      </c>
      <c r="B291" s="1" t="s">
        <v>56</v>
      </c>
      <c r="C291" s="2">
        <v>45845</v>
      </c>
      <c r="D291" s="2">
        <v>45845</v>
      </c>
      <c r="E291" s="1">
        <v>14</v>
      </c>
      <c r="F291" s="1">
        <v>1</v>
      </c>
      <c r="G291" s="3" t="s">
        <v>812</v>
      </c>
      <c r="H291" s="4">
        <v>7.4074074074074077E-3</v>
      </c>
      <c r="I291" s="4">
        <v>1.5046296296296297E-4</v>
      </c>
      <c r="J291" s="4">
        <v>7.4074074074074077E-3</v>
      </c>
      <c r="K291" s="1"/>
      <c r="L291" s="1" t="s">
        <v>137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844</v>
      </c>
      <c r="Z291" s="1" t="s">
        <v>845</v>
      </c>
      <c r="AA291" s="1" t="s">
        <v>846</v>
      </c>
      <c r="AB291" s="1" t="s">
        <v>847</v>
      </c>
      <c r="AC291" s="5" t="str">
        <f ca="1">IFERROR(__xludf.DUMMYFUNCTION("IF(Y291 = """", """", GOOGLETRANSLATE(Y291, ""en"", ""hi""))
"),"नए अवसर")</f>
        <v>नए अवसर</v>
      </c>
      <c r="AD291" s="5" t="str">
        <f ca="1">IFERROR(__xludf.DUMMYFUNCTION("IF(Z291 = """", """", GOOGLETRANSLATE(Z291, ""en"", ""hi""))"),"विदेशी कार्यों के लिए दबाव")</f>
        <v>विदेशी कार्यों के लिए दबाव</v>
      </c>
      <c r="AE291" s="5" t="str">
        <f ca="1">IFERROR(__xludf.DUMMYFUNCTION("IF(AA291 = """", """", GOOGLETRANSLATE(AA291, ""en"", ""hi""))"),"सामाजिक कर्तव्यों को शांति से निभाएँ")</f>
        <v>सामाजिक कर्तव्यों को शांति से निभाएँ</v>
      </c>
      <c r="AF291" s="5" t="str">
        <f ca="1">IFERROR(__xludf.DUMMYFUNCTION("IF(AB291 = """", """", GOOGLETRANSLATE(AB291, ""en"", ""hi""))"),"कुछ खर्च")</f>
        <v>कुछ खर्च</v>
      </c>
      <c r="AG291" s="5" t="str">
        <f ca="1">IFERROR(__xludf.DUMMYFUNCTION("IF(Y291 = """", """", GOOGLETRANSLATE(Y291, ""en"", ""mr""))"),"नवीन संधी")</f>
        <v>नवीन संधी</v>
      </c>
      <c r="AH291" s="5" t="str">
        <f ca="1">IFERROR(__xludf.DUMMYFUNCTION("IF(Z291 = """", """", GOOGLETRANSLATE(Z291, ""en"", ""mr""))"),"परदेशी कामांसाठी जोर द्या")</f>
        <v>परदेशी कामांसाठी जोर द्या</v>
      </c>
      <c r="AI291" s="5" t="str">
        <f ca="1">IFERROR(__xludf.DUMMYFUNCTION("IF(AA291 = """", """", GOOGLETRANSLATE(AA291, ""en"", ""mr""))"),"सामाजिक कर्तव्ये शांतपणे पार पाडा")</f>
        <v>सामाजिक कर्तव्ये शांतपणे पार पाडा</v>
      </c>
      <c r="AJ291" s="5" t="str">
        <f ca="1">IFERROR(__xludf.DUMMYFUNCTION("IF(AB291 = """", """", GOOGLETRANSLATE(AB291, ""en"", ""mr""))"),"काही खर्च")</f>
        <v>काही खर्च</v>
      </c>
      <c r="AK291" s="5" t="str">
        <f ca="1">IFERROR(__xludf.DUMMYFUNCTION("IF(Y291 = """", """", GOOGLETRANSLATE(Y291, ""en"", ""gu""))"),"નવી તકો")</f>
        <v>નવી તકો</v>
      </c>
      <c r="AL291" s="5" t="str">
        <f ca="1">IFERROR(__xludf.DUMMYFUNCTION("IF(Z291 = """", """", GOOGLETRANSLATE(Z291, ""en"", ""gu""))"),"વિદેશી કાર્યો માટે દબાણ કરો")</f>
        <v>વિદેશી કાર્યો માટે દબાણ કરો</v>
      </c>
      <c r="AM291" s="5" t="str">
        <f ca="1">IFERROR(__xludf.DUMMYFUNCTION("IF(AA291 = """", """", GOOGLETRANSLATE(AA291, ""en"", ""gu""))"),"સામાજિક ફરજો શાંતિથી નિભાવો")</f>
        <v>સામાજિક ફરજો શાંતિથી નિભાવો</v>
      </c>
      <c r="AN291" s="5" t="str">
        <f ca="1">IFERROR(__xludf.DUMMYFUNCTION("IF(AB291 = """", """", GOOGLETRANSLATE(AB291, ""en"", ""gu""))"),"કેટલાક ખર્ચ")</f>
        <v>કેટલાક ખર્ચ</v>
      </c>
      <c r="AO291" s="5" t="str">
        <f ca="1">IFERROR(__xludf.DUMMYFUNCTION("IF(Y291 = """", """", GOOGLETRANSLATE(Y291, ""en"", ""bn""))"),"নতুন সুযোগ")</f>
        <v>নতুন সুযোগ</v>
      </c>
      <c r="AP291" s="5" t="str">
        <f ca="1">IFERROR(__xludf.DUMMYFUNCTION("IF(Z291 = """", """", GOOGLETRANSLATE(Z291, ""en"", ""bn""))"),"বিদেশী কাজের জন্য চাপ দিন")</f>
        <v>বিদেশী কাজের জন্য চাপ দিন</v>
      </c>
      <c r="AQ291" s="5" t="str">
        <f ca="1">IFERROR(__xludf.DUMMYFUNCTION("IF(AA291 = """", """", GOOGLETRANSLATE(AA291, ""en"", ""bn""))"),"সামাজিক দায়িত্ব শান্তভাবে পরিচালনা করুন")</f>
        <v>সামাজিক দায়িত্ব শান্তভাবে পরিচালনা করুন</v>
      </c>
      <c r="AR291" s="5" t="str">
        <f ca="1">IFERROR(__xludf.DUMMYFUNCTION("IF(AB291 = """", """", GOOGLETRANSLATE(AB291, ""en"", ""bn""))"),"কিছু খরচ")</f>
        <v>কিছু খরচ</v>
      </c>
      <c r="AU291" s="5" t="str">
        <f ca="1">IFERROR(__xludf.DUMMYFUNCTION("IF(Y291 = """", """", GOOGLETRANSLATE(Y291, ""en"", ""te""))"),"కొత్త అవకాశాలు")</f>
        <v>కొత్త అవకాశాలు</v>
      </c>
      <c r="AV291" s="5" t="str">
        <f ca="1">IFERROR(__xludf.DUMMYFUNCTION("IF(Z291 = """", """", GOOGLETRANSLATE(Z291, ""en"", ""te""))"),"విదేశీ పనులకు ఒత్తిడి")</f>
        <v>విదేశీ పనులకు ఒత్తిడి</v>
      </c>
      <c r="AW291" s="5" t="str">
        <f ca="1">IFERROR(__xludf.DUMMYFUNCTION("IF(AA291 = """", """", GOOGLETRANSLATE(AA291, ""en"", ""te""))"),"సామాజిక విధులను ప్రశాంతంగా నిర్వహించండి")</f>
        <v>సామాజిక విధులను ప్రశాంతంగా నిర్వహించండి</v>
      </c>
      <c r="AX291" s="5" t="str">
        <f ca="1">IFERROR(__xludf.DUMMYFUNCTION("IF(AB291 = """", """", GOOGLETRANSLATE(AB291, ""en"", ""te""))"),"కొన్ని ఖర్చులు")</f>
        <v>కొన్ని ఖర్చులు</v>
      </c>
    </row>
    <row r="292" spans="1:50" x14ac:dyDescent="0.25">
      <c r="A292" s="1">
        <v>307</v>
      </c>
      <c r="B292" s="1" t="s">
        <v>56</v>
      </c>
      <c r="C292" s="2">
        <v>45846</v>
      </c>
      <c r="D292" s="2">
        <v>45846</v>
      </c>
      <c r="E292" s="1">
        <v>1</v>
      </c>
      <c r="F292" s="1">
        <v>1</v>
      </c>
      <c r="G292" s="3" t="s">
        <v>848</v>
      </c>
      <c r="H292" s="4">
        <v>1.0532407407407407E-2</v>
      </c>
      <c r="I292" s="4">
        <v>0</v>
      </c>
      <c r="J292" s="4">
        <v>7.6388888888888893E-4</v>
      </c>
      <c r="K292" s="1"/>
      <c r="L292" s="1" t="s">
        <v>59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 t="str">
        <f ca="1">IFERROR(__xludf.DUMMYFUNCTION("IF(Y292 = """", """", GOOGLETRANSLATE(Y292, ""en"", ""hi""))
"),"")</f>
        <v/>
      </c>
      <c r="AD292" s="5" t="str">
        <f ca="1">IFERROR(__xludf.DUMMYFUNCTION("IF(Z292 = """", """", GOOGLETRANSLATE(Z292, ""en"", ""hi""))"),"")</f>
        <v/>
      </c>
      <c r="AE292" s="5" t="str">
        <f ca="1">IFERROR(__xludf.DUMMYFUNCTION("IF(AA292 = """", """", GOOGLETRANSLATE(AA292, ""en"", ""hi""))"),"")</f>
        <v/>
      </c>
      <c r="AF292" s="5" t="str">
        <f ca="1">IFERROR(__xludf.DUMMYFUNCTION("IF(AB292 = """", """", GOOGLETRANSLATE(AB292, ""en"", ""hi""))"),"")</f>
        <v/>
      </c>
      <c r="AG292" s="5" t="str">
        <f ca="1">IFERROR(__xludf.DUMMYFUNCTION("IF(Y292 = """", """", GOOGLETRANSLATE(Y292, ""en"", ""mr""))"),"")</f>
        <v/>
      </c>
      <c r="AH292" s="5" t="str">
        <f ca="1">IFERROR(__xludf.DUMMYFUNCTION("IF(Z292 = """", """", GOOGLETRANSLATE(Z292, ""en"", ""mr""))"),"")</f>
        <v/>
      </c>
      <c r="AI292" s="5" t="str">
        <f ca="1">IFERROR(__xludf.DUMMYFUNCTION("IF(AA292 = """", """", GOOGLETRANSLATE(AA292, ""en"", ""mr""))"),"")</f>
        <v/>
      </c>
      <c r="AJ292" s="5" t="str">
        <f ca="1">IFERROR(__xludf.DUMMYFUNCTION("IF(AB292 = """", """", GOOGLETRANSLATE(AB292, ""en"", ""mr""))"),"")</f>
        <v/>
      </c>
      <c r="AK292" s="5" t="str">
        <f ca="1">IFERROR(__xludf.DUMMYFUNCTION("IF(Y292 = """", """", GOOGLETRANSLATE(Y292, ""en"", ""gu""))"),"")</f>
        <v/>
      </c>
      <c r="AL292" s="5" t="str">
        <f ca="1">IFERROR(__xludf.DUMMYFUNCTION("IF(Z292 = """", """", GOOGLETRANSLATE(Z292, ""en"", ""gu""))"),"")</f>
        <v/>
      </c>
      <c r="AM292" s="5" t="str">
        <f ca="1">IFERROR(__xludf.DUMMYFUNCTION("IF(AA292 = """", """", GOOGLETRANSLATE(AA292, ""en"", ""gu""))"),"")</f>
        <v/>
      </c>
      <c r="AN292" s="5" t="str">
        <f ca="1">IFERROR(__xludf.DUMMYFUNCTION("IF(AB292 = """", """", GOOGLETRANSLATE(AB292, ""en"", ""gu""))"),"")</f>
        <v/>
      </c>
      <c r="AO292" s="5" t="str">
        <f ca="1">IFERROR(__xludf.DUMMYFUNCTION("IF(Y292 = """", """", GOOGLETRANSLATE(Y292, ""en"", ""bn""))"),"")</f>
        <v/>
      </c>
      <c r="AP292" s="5" t="str">
        <f ca="1">IFERROR(__xludf.DUMMYFUNCTION("IF(Z292 = """", """", GOOGLETRANSLATE(Z292, ""en"", ""bn""))"),"")</f>
        <v/>
      </c>
      <c r="AQ292" s="5" t="str">
        <f ca="1">IFERROR(__xludf.DUMMYFUNCTION("IF(AA292 = """", """", GOOGLETRANSLATE(AA292, ""en"", ""bn""))"),"")</f>
        <v/>
      </c>
      <c r="AR292" s="5" t="str">
        <f ca="1">IFERROR(__xludf.DUMMYFUNCTION("IF(AB292 = """", """", GOOGLETRANSLATE(AB292, ""en"", ""bn""))"),"")</f>
        <v/>
      </c>
      <c r="AU292" s="5" t="str">
        <f ca="1">IFERROR(__xludf.DUMMYFUNCTION("IF(Y292 = """", """", GOOGLETRANSLATE(Y292, ""en"", ""te""))"),"")</f>
        <v/>
      </c>
      <c r="AV292" s="5" t="str">
        <f ca="1">IFERROR(__xludf.DUMMYFUNCTION("IF(Z292 = """", """", GOOGLETRANSLATE(Z292, ""en"", ""te""))"),"")</f>
        <v/>
      </c>
      <c r="AW292" s="5" t="str">
        <f ca="1">IFERROR(__xludf.DUMMYFUNCTION("IF(AA292 = """", """", GOOGLETRANSLATE(AA292, ""en"", ""te""))"),"")</f>
        <v/>
      </c>
      <c r="AX292" s="5" t="str">
        <f ca="1">IFERROR(__xludf.DUMMYFUNCTION("IF(AB292 = """", """", GOOGLETRANSLATE(AB292, ""en"", ""te""))"),"")</f>
        <v/>
      </c>
    </row>
    <row r="293" spans="1:50" x14ac:dyDescent="0.25">
      <c r="A293" s="1">
        <v>308</v>
      </c>
      <c r="B293" s="1" t="s">
        <v>56</v>
      </c>
      <c r="C293" s="2">
        <v>45846</v>
      </c>
      <c r="D293" s="2">
        <v>45846</v>
      </c>
      <c r="E293" s="1">
        <v>2</v>
      </c>
      <c r="F293" s="1">
        <v>1</v>
      </c>
      <c r="G293" s="3" t="s">
        <v>848</v>
      </c>
      <c r="H293" s="4">
        <v>1.0532407407407407E-2</v>
      </c>
      <c r="I293" s="4">
        <v>7.6388888888888893E-4</v>
      </c>
      <c r="J293" s="4">
        <v>1.4004629629629629E-3</v>
      </c>
      <c r="K293" s="1"/>
      <c r="L293" s="1" t="s">
        <v>142</v>
      </c>
      <c r="M293" s="1"/>
      <c r="N293" s="1"/>
      <c r="O293" s="1" t="s">
        <v>61</v>
      </c>
      <c r="P293" s="1" t="s">
        <v>61</v>
      </c>
      <c r="Q293" s="1" t="s">
        <v>61</v>
      </c>
      <c r="R293" s="1" t="s">
        <v>61</v>
      </c>
      <c r="S293" s="1" t="s">
        <v>61</v>
      </c>
      <c r="T293" s="1" t="s">
        <v>91</v>
      </c>
      <c r="U293" s="1" t="s">
        <v>61</v>
      </c>
      <c r="V293" s="1" t="s">
        <v>61</v>
      </c>
      <c r="W293" s="1" t="s">
        <v>91</v>
      </c>
      <c r="X293" s="1" t="s">
        <v>61</v>
      </c>
      <c r="Y293" s="1" t="s">
        <v>849</v>
      </c>
      <c r="Z293" s="1" t="s">
        <v>850</v>
      </c>
      <c r="AA293" s="1" t="s">
        <v>851</v>
      </c>
      <c r="AB293" s="1" t="s">
        <v>411</v>
      </c>
      <c r="AC293" s="5" t="str">
        <f ca="1">IFERROR(__xludf.DUMMYFUNCTION("IF(Y293 = """", """", GOOGLETRANSLATE(Y293, ""en"", ""hi""))
"),"तनाव लेने से बचें")</f>
        <v>तनाव लेने से बचें</v>
      </c>
      <c r="AD293" s="5" t="str">
        <f ca="1">IFERROR(__xludf.DUMMYFUNCTION("IF(Z293 = """", """", GOOGLETRANSLATE(Z293, ""en"", ""hi""))"),"स्वास्थ्य प्रभावित हो सकता है")</f>
        <v>स्वास्थ्य प्रभावित हो सकता है</v>
      </c>
      <c r="AE293" s="5" t="str">
        <f ca="1">IFERROR(__xludf.DUMMYFUNCTION("IF(AA293 = """", """", GOOGLETRANSLATE(AA293, ""en"", ""hi""))"),"दिन को नियमित रूप से व्यतीत करें")</f>
        <v>दिन को नियमित रूप से व्यतीत करें</v>
      </c>
      <c r="AF293" s="5" t="str">
        <f ca="1">IFERROR(__xludf.DUMMYFUNCTION("IF(AB293 = """", """", GOOGLETRANSLATE(AB293, ""en"", ""hi""))"),"वाहन चलाते समय सावधान रहें")</f>
        <v>वाहन चलाते समय सावधान रहें</v>
      </c>
      <c r="AG293" s="5" t="str">
        <f ca="1">IFERROR(__xludf.DUMMYFUNCTION("IF(Y293 = """", """", GOOGLETRANSLATE(Y293, ""en"", ""mr""))"),"तणाव घेणे टाळा")</f>
        <v>तणाव घेणे टाळा</v>
      </c>
      <c r="AH293" s="5" t="str">
        <f ca="1">IFERROR(__xludf.DUMMYFUNCTION("IF(Z293 = """", """", GOOGLETRANSLATE(Z293, ""en"", ""mr""))"),"आरोग्यावर परिणाम होऊ शकतो")</f>
        <v>आरोग्यावर परिणाम होऊ शकतो</v>
      </c>
      <c r="AI293" s="5" t="str">
        <f ca="1">IFERROR(__xludf.DUMMYFUNCTION("IF(AA293 = """", """", GOOGLETRANSLATE(AA293, ""en"", ""mr""))"),"नित्यक्रमानुसार दिवस घालवा")</f>
        <v>नित्यक्रमानुसार दिवस घालवा</v>
      </c>
      <c r="AJ293" s="5" t="str">
        <f ca="1">IFERROR(__xludf.DUMMYFUNCTION("IF(AB293 = """", """", GOOGLETRANSLATE(AB293, ""en"", ""mr""))"),"वाहन चालवताना सावधगिरी बाळगा")</f>
        <v>वाहन चालवताना सावधगिरी बाळगा</v>
      </c>
      <c r="AK293" s="5" t="str">
        <f ca="1">IFERROR(__xludf.DUMMYFUNCTION("IF(Y293 = """", """", GOOGLETRANSLATE(Y293, ""en"", ""gu""))"),"તણાવ લેવાનું ટાળો")</f>
        <v>તણાવ લેવાનું ટાળો</v>
      </c>
      <c r="AL293" s="5" t="str">
        <f ca="1">IFERROR(__xludf.DUMMYFUNCTION("IF(Z293 = """", """", GOOGLETRANSLATE(Z293, ""en"", ""gu""))"),"સ્વાસ્થ્ય પ્રભાવિત થઈ શકે છે")</f>
        <v>સ્વાસ્થ્ય પ્રભાવિત થઈ શકે છે</v>
      </c>
      <c r="AM293" s="5" t="str">
        <f ca="1">IFERROR(__xludf.DUMMYFUNCTION("IF(AA293 = """", """", GOOGLETRANSLATE(AA293, ""en"", ""gu""))"),"નિયમિત રીતે દિવસ પસાર કરો")</f>
        <v>નિયમિત રીતે દિવસ પસાર કરો</v>
      </c>
      <c r="AN293" s="5" t="str">
        <f ca="1">IFERROR(__xludf.DUMMYFUNCTION("IF(AB293 = """", """", GOOGLETRANSLATE(AB293, ""en"", ""gu""))"),"વાહન ચલાવતી વખતે સાવધાની રાખો")</f>
        <v>વાહન ચલાવતી વખતે સાવધાની રાખો</v>
      </c>
      <c r="AO293" s="5" t="str">
        <f ca="1">IFERROR(__xludf.DUMMYFUNCTION("IF(Y293 = """", """", GOOGLETRANSLATE(Y293, ""en"", ""bn""))"),"মানসিক চাপ গ্রহণ এড়িয়ে চলুন")</f>
        <v>মানসিক চাপ গ্রহণ এড়িয়ে চলুন</v>
      </c>
      <c r="AP293" s="5" t="str">
        <f ca="1">IFERROR(__xludf.DUMMYFUNCTION("IF(Z293 = """", """", GOOGLETRANSLATE(Z293, ""en"", ""bn""))"),"স্বাস্থ্য প্রভাবিত হতে পারে")</f>
        <v>স্বাস্থ্য প্রভাবিত হতে পারে</v>
      </c>
      <c r="AQ293" s="5" t="str">
        <f ca="1">IFERROR(__xludf.DUMMYFUNCTION("IF(AA293 = """", """", GOOGLETRANSLATE(AA293, ""en"", ""bn""))"),"রুটিন অনুযায়ী দিন কাটান")</f>
        <v>রুটিন অনুযায়ী দিন কাটান</v>
      </c>
      <c r="AR293" s="5" t="str">
        <f ca="1">IFERROR(__xludf.DUMMYFUNCTION("IF(AB293 = """", """", GOOGLETRANSLATE(AB293, ""en"", ""bn""))"),"গাড়ি চালানোর সময় সতর্ক থাকুন")</f>
        <v>গাড়ি চালানোর সময় সতর্ক থাকুন</v>
      </c>
      <c r="AU293" s="5" t="str">
        <f ca="1">IFERROR(__xludf.DUMMYFUNCTION("IF(Y293 = """", """", GOOGLETRANSLATE(Y293, ""en"", ""te""))"),"ఒత్తిడి తీసుకోకుండా ఉండండి")</f>
        <v>ఒత్తిడి తీసుకోకుండా ఉండండి</v>
      </c>
      <c r="AV293" s="5" t="str">
        <f ca="1">IFERROR(__xludf.DUMMYFUNCTION("IF(Z293 = """", """", GOOGLETRANSLATE(Z293, ""en"", ""te""))"),"ఆరోగ్యం దెబ్బతినవచ్చు")</f>
        <v>ఆరోగ్యం దెబ్బతినవచ్చు</v>
      </c>
      <c r="AW293" s="5" t="str">
        <f ca="1">IFERROR(__xludf.DUMMYFUNCTION("IF(AA293 = """", """", GOOGLETRANSLATE(AA293, ""en"", ""te""))"),"దినచర్యతో గడుపుతారు")</f>
        <v>దినచర్యతో గడుపుతారు</v>
      </c>
      <c r="AX293" s="5" t="str">
        <f ca="1">IFERROR(__xludf.DUMMYFUNCTION("IF(AB293 = """", """", GOOGLETRANSLATE(AB293,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</row>
    <row r="294" spans="1:50" x14ac:dyDescent="0.25">
      <c r="A294" s="1">
        <v>309</v>
      </c>
      <c r="B294" s="1" t="s">
        <v>56</v>
      </c>
      <c r="C294" s="2">
        <v>45846</v>
      </c>
      <c r="D294" s="2">
        <v>45846</v>
      </c>
      <c r="E294" s="1">
        <v>3</v>
      </c>
      <c r="F294" s="1">
        <v>1</v>
      </c>
      <c r="G294" s="3" t="s">
        <v>848</v>
      </c>
      <c r="H294" s="4">
        <v>1.0532407407407407E-2</v>
      </c>
      <c r="I294" s="4">
        <v>1.4004629629629629E-3</v>
      </c>
      <c r="J294" s="4">
        <v>1.8518518518518519E-3</v>
      </c>
      <c r="K294" s="1"/>
      <c r="L294" s="1" t="s">
        <v>90</v>
      </c>
      <c r="M294" s="1"/>
      <c r="N294" s="1"/>
      <c r="O294" s="1" t="s">
        <v>91</v>
      </c>
      <c r="P294" s="1" t="s">
        <v>61</v>
      </c>
      <c r="Q294" s="1" t="s">
        <v>61</v>
      </c>
      <c r="R294" s="1" t="s">
        <v>61</v>
      </c>
      <c r="S294" s="1" t="s">
        <v>61</v>
      </c>
      <c r="T294" s="1" t="s">
        <v>61</v>
      </c>
      <c r="U294" s="1" t="s">
        <v>61</v>
      </c>
      <c r="V294" s="1" t="s">
        <v>91</v>
      </c>
      <c r="W294" s="1" t="s">
        <v>61</v>
      </c>
      <c r="X294" s="1" t="s">
        <v>61</v>
      </c>
      <c r="Y294" s="1" t="s">
        <v>852</v>
      </c>
      <c r="Z294" s="1" t="s">
        <v>411</v>
      </c>
      <c r="AA294" s="1" t="s">
        <v>410</v>
      </c>
      <c r="AB294" s="1" t="s">
        <v>853</v>
      </c>
      <c r="AC294" s="5" t="str">
        <f ca="1">IFERROR(__xludf.DUMMYFUNCTION("IF(Y294 = """", """", GOOGLETRANSLATE(Y294, ""en"", ""hi""))
"),"कार्यों को पूरा करने के लिए अच्छा")</f>
        <v>कार्यों को पूरा करने के लिए अच्छा</v>
      </c>
      <c r="AD294" s="5" t="str">
        <f ca="1">IFERROR(__xludf.DUMMYFUNCTION("IF(Z294 = """", """", GOOGLETRANSLATE(Z294, ""en"", ""hi""))"),"वाहन चलाते समय सावधान रहें")</f>
        <v>वाहन चलाते समय सावधान रहें</v>
      </c>
      <c r="AE294" s="5" t="str">
        <f ca="1">IFERROR(__xludf.DUMMYFUNCTION("IF(AA294 = """", """", GOOGLETRANSLATE(AA294, ""en"", ""hi""))"),"स्वास्थ्य संबंधी सावधानियां बरतें")</f>
        <v>स्वास्थ्य संबंधी सावधानियां बरतें</v>
      </c>
      <c r="AF294" s="5" t="str">
        <f ca="1">IFERROR(__xludf.DUMMYFUNCTION("IF(AB294 = """", """", GOOGLETRANSLATE(AB294, ""en"", ""hi""))"),"थोड़ा भाग्य मौजूद है")</f>
        <v>थोड़ा भाग्य मौजूद है</v>
      </c>
      <c r="AG294" s="5" t="str">
        <f ca="1">IFERROR(__xludf.DUMMYFUNCTION("IF(Y294 = """", """", GOOGLETRANSLATE(Y294, ""en"", ""mr""))"),"कामे पूर्ण करण्यासाठी चांगले")</f>
        <v>कामे पूर्ण करण्यासाठी चांगले</v>
      </c>
      <c r="AH294" s="5" t="str">
        <f ca="1">IFERROR(__xludf.DUMMYFUNCTION("IF(Z294 = """", """", GOOGLETRANSLATE(Z294, ""en"", ""mr""))"),"वाहन चालवताना सावधगिरी बाळगा")</f>
        <v>वाहन चालवताना सावधगिरी बाळगा</v>
      </c>
      <c r="AI294" s="5" t="str">
        <f ca="1">IFERROR(__xludf.DUMMYFUNCTION("IF(AA294 = """", """", GOOGLETRANSLATE(AA294, ""en"", ""mr""))"),"आरोग्याची काळजी घ्या")</f>
        <v>आरोग्याची काळजी घ्या</v>
      </c>
      <c r="AJ294" s="5" t="str">
        <f ca="1">IFERROR(__xludf.DUMMYFUNCTION("IF(AB294 = """", """", GOOGLETRANSLATE(AB294, ""en"", ""mr""))"),"थोडे भाग्य उपस्थित")</f>
        <v>थोडे भाग्य उपस्थित</v>
      </c>
      <c r="AK294" s="5" t="str">
        <f ca="1">IFERROR(__xludf.DUMMYFUNCTION("IF(Y294 = """", """", GOOGLETRANSLATE(Y294, ""en"", ""gu""))"),"કાર્યો પૂર્ણ કરવા માટે સારું")</f>
        <v>કાર્યો પૂર્ણ કરવા માટે સારું</v>
      </c>
      <c r="AL294" s="5" t="str">
        <f ca="1">IFERROR(__xludf.DUMMYFUNCTION("IF(Z294 = """", """", GOOGLETRANSLATE(Z294, ""en"", ""gu""))"),"વાહન ચલાવતી વખતે સાવધાની રાખો")</f>
        <v>વાહન ચલાવતી વખતે સાવધાની રાખો</v>
      </c>
      <c r="AM294" s="5" t="str">
        <f ca="1">IFERROR(__xludf.DUMMYFUNCTION("IF(AA294 = """", """", GOOGLETRANSLATE(AA294, ""en"", ""gu""))"),"સ્વાસ્થ્ય અંગે સાવચેતી રાખો")</f>
        <v>સ્વાસ્થ્ય અંગે સાવચેતી રાખો</v>
      </c>
      <c r="AN294" s="5" t="str">
        <f ca="1">IFERROR(__xludf.DUMMYFUNCTION("IF(AB294 = """", """", GOOGLETRANSLATE(AB294, ""en"", ""gu""))"),"થોડું નસીબ હાજર")</f>
        <v>થોડું નસીબ હાજર</v>
      </c>
      <c r="AO294" s="5" t="str">
        <f ca="1">IFERROR(__xludf.DUMMYFUNCTION("IF(Y294 = """", """", GOOGLETRANSLATE(Y294, ""en"", ""bn""))"),"কাজগুলি সম্পূর্ণ করার জন্য ভাল")</f>
        <v>কাজগুলি সম্পূর্ণ করার জন্য ভাল</v>
      </c>
      <c r="AP294" s="5" t="str">
        <f ca="1">IFERROR(__xludf.DUMMYFUNCTION("IF(Z294 = """", """", GOOGLETRANSLATE(Z294, ""en"", ""bn""))"),"গাড়ি চালানোর সময় সতর্ক থাকুন")</f>
        <v>গাড়ি চালানোর সময় সতর্ক থাকুন</v>
      </c>
      <c r="AQ294" s="5" t="str">
        <f ca="1">IFERROR(__xludf.DUMMYFUNCTION("IF(AA294 = """", """", GOOGLETRANSLATE(AA294, ""en"", ""bn""))"),"স্বাস্থ্য সতর্কতা অবলম্বন করুন")</f>
        <v>স্বাস্থ্য সতর্কতা অবলম্বন করুন</v>
      </c>
      <c r="AR294" s="5" t="str">
        <f ca="1">IFERROR(__xludf.DUMMYFUNCTION("IF(AB294 = """", """", GOOGLETRANSLATE(AB294, ""en"", ""bn""))"),"সামান্য ভাগ্য বর্তমান")</f>
        <v>সামান্য ভাগ্য বর্তমান</v>
      </c>
      <c r="AU294" s="5" t="str">
        <f ca="1">IFERROR(__xludf.DUMMYFUNCTION("IF(Y294 = """", """", GOOGLETRANSLATE(Y294, ""en"", ""te""))"),"పనులు పూర్తి చేయడం మంచిది")</f>
        <v>పనులు పూర్తి చేయడం మంచిది</v>
      </c>
      <c r="AV294" s="5" t="str">
        <f ca="1">IFERROR(__xludf.DUMMYFUNCTION("IF(Z294 = """", """", GOOGLETRANSLATE(Z294,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  <c r="AW294" s="5" t="str">
        <f ca="1">IFERROR(__xludf.DUMMYFUNCTION("IF(AA294 = """", """", GOOGLETRANSLATE(AA294, ""en"", ""te""))"),"ఆరోగ్య జాగ్రత్తలు తీసుకోండి")</f>
        <v>ఆరోగ్య జాగ్రత్తలు తీసుకోండి</v>
      </c>
      <c r="AX294" s="5" t="str">
        <f ca="1">IFERROR(__xludf.DUMMYFUNCTION("IF(AB294 = """", """", GOOGLETRANSLATE(AB294, ""en"", ""te""))"),"స్వల్ప అదృష్టం ఉంది")</f>
        <v>స్వల్ప అదృష్టం ఉంది</v>
      </c>
    </row>
    <row r="295" spans="1:50" x14ac:dyDescent="0.25">
      <c r="A295" s="1">
        <v>310</v>
      </c>
      <c r="B295" s="1" t="s">
        <v>56</v>
      </c>
      <c r="C295" s="2">
        <v>45846</v>
      </c>
      <c r="D295" s="2">
        <v>45846</v>
      </c>
      <c r="E295" s="1">
        <v>4</v>
      </c>
      <c r="F295" s="1">
        <v>1</v>
      </c>
      <c r="G295" s="3" t="s">
        <v>848</v>
      </c>
      <c r="H295" s="4">
        <v>1.0532407407407407E-2</v>
      </c>
      <c r="I295" s="4">
        <v>1.8518518518518519E-3</v>
      </c>
      <c r="J295" s="4">
        <v>2.1759259259259258E-3</v>
      </c>
      <c r="K295" s="1"/>
      <c r="L295" s="1" t="s">
        <v>97</v>
      </c>
      <c r="M295" s="1"/>
      <c r="N295" s="1"/>
      <c r="O295" s="1" t="s">
        <v>61</v>
      </c>
      <c r="P295" s="1" t="s">
        <v>61</v>
      </c>
      <c r="Q295" s="1" t="s">
        <v>61</v>
      </c>
      <c r="R295" s="1" t="s">
        <v>61</v>
      </c>
      <c r="S295" s="1" t="s">
        <v>61</v>
      </c>
      <c r="T295" s="1" t="s">
        <v>91</v>
      </c>
      <c r="U295" s="1" t="s">
        <v>61</v>
      </c>
      <c r="V295" s="1" t="s">
        <v>61</v>
      </c>
      <c r="W295" s="1" t="s">
        <v>91</v>
      </c>
      <c r="X295" s="1" t="s">
        <v>61</v>
      </c>
      <c r="Y295" s="1" t="s">
        <v>361</v>
      </c>
      <c r="Z295" s="1" t="s">
        <v>854</v>
      </c>
      <c r="AA295" s="1" t="s">
        <v>855</v>
      </c>
      <c r="AB295" s="1"/>
      <c r="AC295" s="5" t="str">
        <f ca="1">IFERROR(__xludf.DUMMYFUNCTION("IF(Y295 = """", """", GOOGLETRANSLATE(Y295, ""en"", ""hi""))
"),"शांत और धैर्यवान रहें")</f>
        <v>शांत और धैर्यवान रहें</v>
      </c>
      <c r="AD295" s="5" t="str">
        <f ca="1">IFERROR(__xludf.DUMMYFUNCTION("IF(Z295 = """", """", GOOGLETRANSLATE(Z295, ""en"", ""hi""))"),"पारिवारिक झगड़ों से बचें")</f>
        <v>पारिवारिक झगड़ों से बचें</v>
      </c>
      <c r="AE295" s="5" t="str">
        <f ca="1">IFERROR(__xludf.DUMMYFUNCTION("IF(AA295 = """", """", GOOGLETRANSLATE(AA295, ""en"", ""hi""))"),"ज़िम्मेदारियों से न बचें")</f>
        <v>ज़िम्मेदारियों से न बचें</v>
      </c>
      <c r="AF295" s="5" t="str">
        <f ca="1">IFERROR(__xludf.DUMMYFUNCTION("IF(AB295 = """", """", GOOGLETRANSLATE(AB295, ""en"", ""hi""))"),"")</f>
        <v/>
      </c>
      <c r="AG295" s="5" t="str">
        <f ca="1">IFERROR(__xludf.DUMMYFUNCTION("IF(Y295 = """", """", GOOGLETRANSLATE(Y295, ""en"", ""mr""))"),"शांत आणि धीर धरा")</f>
        <v>शांत आणि धीर धरा</v>
      </c>
      <c r="AH295" s="5" t="str">
        <f ca="1">IFERROR(__xludf.DUMMYFUNCTION("IF(Z295 = """", """", GOOGLETRANSLATE(Z295, ""en"", ""mr""))"),"कौटुंबिक कलह टाळा")</f>
        <v>कौटुंबिक कलह टाळा</v>
      </c>
      <c r="AI295" s="5" t="str">
        <f ca="1">IFERROR(__xludf.DUMMYFUNCTION("IF(AA295 = """", """", GOOGLETRANSLATE(AA295, ""en"", ""mr""))"),"जबाबदाऱ्यांपासून दूर जाऊ नका")</f>
        <v>जबाबदाऱ्यांपासून दूर जाऊ नका</v>
      </c>
      <c r="AJ295" s="5" t="str">
        <f ca="1">IFERROR(__xludf.DUMMYFUNCTION("IF(AB295 = """", """", GOOGLETRANSLATE(AB295, ""en"", ""mr""))"),"")</f>
        <v/>
      </c>
      <c r="AK295" s="5" t="str">
        <f ca="1">IFERROR(__xludf.DUMMYFUNCTION("IF(Y295 = """", """", GOOGLETRANSLATE(Y295, ""en"", ""gu""))"),"શાંત અને ધીરજ રાખો")</f>
        <v>શાંત અને ધીરજ રાખો</v>
      </c>
      <c r="AL295" s="5" t="str">
        <f ca="1">IFERROR(__xludf.DUMMYFUNCTION("IF(Z295 = """", """", GOOGLETRANSLATE(Z295, ""en"", ""gu""))"),"કૌટુંબિક તકરાર ટાળો")</f>
        <v>કૌટુંબિક તકરાર ટાળો</v>
      </c>
      <c r="AM295" s="5" t="str">
        <f ca="1">IFERROR(__xludf.DUMMYFUNCTION("IF(AA295 = """", """", GOOGLETRANSLATE(AA295, ""en"", ""gu""))"),"જવાબદારીઓથી ભાગશો નહીં")</f>
        <v>જવાબદારીઓથી ભાગશો નહીં</v>
      </c>
      <c r="AN295" s="5" t="str">
        <f ca="1">IFERROR(__xludf.DUMMYFUNCTION("IF(AB295 = """", """", GOOGLETRANSLATE(AB295, ""en"", ""gu""))"),"")</f>
        <v/>
      </c>
      <c r="AO295" s="5" t="str">
        <f ca="1">IFERROR(__xludf.DUMMYFUNCTION("IF(Y295 = """", """", GOOGLETRANSLATE(Y295, ""en"", ""bn""))"),"শান্ত এবং ধৈর্যশীল থাকুন")</f>
        <v>শান্ত এবং ধৈর্যশীল থাকুন</v>
      </c>
      <c r="AP295" s="5" t="str">
        <f ca="1">IFERROR(__xludf.DUMMYFUNCTION("IF(Z295 = """", """", GOOGLETRANSLATE(Z295, ""en"", ""bn""))"),"পারিবারিক কলহ এড়িয়ে চলুন")</f>
        <v>পারিবারিক কলহ এড়িয়ে চলুন</v>
      </c>
      <c r="AQ295" s="5" t="str">
        <f ca="1">IFERROR(__xludf.DUMMYFUNCTION("IF(AA295 = """", """", GOOGLETRANSLATE(AA295, ""en"", ""bn""))"),"দায়িত্ব এড়াবেন না")</f>
        <v>দায়িত্ব এড়াবেন না</v>
      </c>
      <c r="AR295" s="5" t="str">
        <f ca="1">IFERROR(__xludf.DUMMYFUNCTION("IF(AB295 = """", """", GOOGLETRANSLATE(AB295, ""en"", ""bn""))"),"")</f>
        <v/>
      </c>
      <c r="AU295" s="5" t="str">
        <f ca="1">IFERROR(__xludf.DUMMYFUNCTION("IF(Y295 = """", """", GOOGLETRANSLATE(Y295, ""en"", ""te""))"),"ప్రశాంతంగా మరియు ఓపికగా ఉండండి")</f>
        <v>ప్రశాంతంగా మరియు ఓపికగా ఉండండి</v>
      </c>
      <c r="AV295" s="5" t="str">
        <f ca="1">IFERROR(__xludf.DUMMYFUNCTION("IF(Z295 = """", """", GOOGLETRANSLATE(Z295, ""en"", ""te""))"),"కుటుంబ కలహాలకు దూరంగా ఉండండి")</f>
        <v>కుటుంబ కలహాలకు దూరంగా ఉండండి</v>
      </c>
      <c r="AW295" s="5" t="str">
        <f ca="1">IFERROR(__xludf.DUMMYFUNCTION("IF(AA295 = """", """", GOOGLETRANSLATE(AA295, ""en"", ""te""))"),"బాధ్యతల నుంచి తప్పించుకోవద్దు")</f>
        <v>బాధ్యతల నుంచి తప్పించుకోవద్దు</v>
      </c>
      <c r="AX295" s="5" t="str">
        <f ca="1">IFERROR(__xludf.DUMMYFUNCTION("IF(AB295 = """", """", GOOGLETRANSLATE(AB295, ""en"", ""te""))"),"")</f>
        <v/>
      </c>
    </row>
    <row r="296" spans="1:50" x14ac:dyDescent="0.25">
      <c r="A296" s="1">
        <v>311</v>
      </c>
      <c r="B296" s="1" t="s">
        <v>56</v>
      </c>
      <c r="C296" s="2">
        <v>45846</v>
      </c>
      <c r="D296" s="2">
        <v>45846</v>
      </c>
      <c r="E296" s="1">
        <v>5</v>
      </c>
      <c r="F296" s="1">
        <v>1</v>
      </c>
      <c r="G296" s="3" t="s">
        <v>848</v>
      </c>
      <c r="H296" s="4">
        <v>1.0532407407407407E-2</v>
      </c>
      <c r="I296" s="4">
        <v>2.1759259259259258E-3</v>
      </c>
      <c r="J296" s="4">
        <v>2.6041666666666665E-3</v>
      </c>
      <c r="K296" s="1"/>
      <c r="L296" s="1" t="s">
        <v>102</v>
      </c>
      <c r="M296" s="1"/>
      <c r="N296" s="1"/>
      <c r="O296" s="1" t="s">
        <v>91</v>
      </c>
      <c r="P296" s="1" t="s">
        <v>61</v>
      </c>
      <c r="Q296" s="1" t="s">
        <v>61</v>
      </c>
      <c r="R296" s="1" t="s">
        <v>61</v>
      </c>
      <c r="S296" s="1" t="s">
        <v>61</v>
      </c>
      <c r="T296" s="1" t="s">
        <v>61</v>
      </c>
      <c r="U296" s="1" t="s">
        <v>61</v>
      </c>
      <c r="V296" s="1" t="s">
        <v>61</v>
      </c>
      <c r="W296" s="1" t="s">
        <v>61</v>
      </c>
      <c r="X296" s="1" t="s">
        <v>91</v>
      </c>
      <c r="Y296" s="1" t="s">
        <v>856</v>
      </c>
      <c r="Z296" s="1" t="s">
        <v>857</v>
      </c>
      <c r="AA296" s="1" t="s">
        <v>858</v>
      </c>
      <c r="AB296" s="1"/>
      <c r="AC296" s="5" t="str">
        <f ca="1">IFERROR(__xludf.DUMMYFUNCTION("IF(Y296 = """", """", GOOGLETRANSLATE(Y296, ""en"", ""hi""))
"),"विदेश में काम करने के लिए प्रेरित करना")</f>
        <v>विदेश में काम करने के लिए प्रेरित करना</v>
      </c>
      <c r="AD296" s="5" t="str">
        <f ca="1">IFERROR(__xludf.DUMMYFUNCTION("IF(Z296 = """", """", GOOGLETRANSLATE(Z296, ""en"", ""hi""))"),"छिपे हुए दुश्मन उजागर हो सकते हैं")</f>
        <v>छिपे हुए दुश्मन उजागर हो सकते हैं</v>
      </c>
      <c r="AE296" s="5" t="str">
        <f ca="1">IFERROR(__xludf.DUMMYFUNCTION("IF(AA296 = """", """", GOOGLETRANSLATE(AA296, ""en"", ""hi""))"),"ऊर्जावान बने रहें")</f>
        <v>ऊर्जावान बने रहें</v>
      </c>
      <c r="AF296" s="5" t="str">
        <f ca="1">IFERROR(__xludf.DUMMYFUNCTION("IF(AB296 = """", """", GOOGLETRANSLATE(AB296, ""en"", ""hi""))"),"")</f>
        <v/>
      </c>
      <c r="AG296" s="5" t="str">
        <f ca="1">IFERROR(__xludf.DUMMYFUNCTION("IF(Y296 = """", """", GOOGLETRANSLATE(Y296, ""en"", ""mr""))"),"परदेशातील कामासाठी जोर द्या")</f>
        <v>परदेशातील कामासाठी जोर द्या</v>
      </c>
      <c r="AH296" s="5" t="str">
        <f ca="1">IFERROR(__xludf.DUMMYFUNCTION("IF(Z296 = """", """", GOOGLETRANSLATE(Z296, ""en"", ""mr""))"),"लपलेले शत्रू उघड होऊ शकतात")</f>
        <v>लपलेले शत्रू उघड होऊ शकतात</v>
      </c>
      <c r="AI296" s="5" t="str">
        <f ca="1">IFERROR(__xludf.DUMMYFUNCTION("IF(AA296 = """", """", GOOGLETRANSLATE(AA296, ""en"", ""mr""))"),"उत्साही राहा")</f>
        <v>उत्साही राहा</v>
      </c>
      <c r="AJ296" s="5" t="str">
        <f ca="1">IFERROR(__xludf.DUMMYFUNCTION("IF(AB296 = """", """", GOOGLETRANSLATE(AB296, ""en"", ""mr""))"),"")</f>
        <v/>
      </c>
      <c r="AK296" s="5" t="str">
        <f ca="1">IFERROR(__xludf.DUMMYFUNCTION("IF(Y296 = """", """", GOOGLETRANSLATE(Y296, ""en"", ""gu""))"),"વિદેશી કામ માટે દબાણ કરો")</f>
        <v>વિદેશી કામ માટે દબાણ કરો</v>
      </c>
      <c r="AL296" s="5" t="str">
        <f ca="1">IFERROR(__xludf.DUMMYFUNCTION("IF(Z296 = """", """", GOOGLETRANSLATE(Z296, ""en"", ""gu""))"),"છુપાયેલા દુશ્મનો સામે આવી શકે છે")</f>
        <v>છુપાયેલા દુશ્મનો સામે આવી શકે છે</v>
      </c>
      <c r="AM296" s="5" t="str">
        <f ca="1">IFERROR(__xludf.DUMMYFUNCTION("IF(AA296 = """", """", GOOGLETRANSLATE(AA296, ""en"", ""gu""))"),"ઉર્જાવાન રહો")</f>
        <v>ઉર્જાવાન રહો</v>
      </c>
      <c r="AN296" s="5" t="str">
        <f ca="1">IFERROR(__xludf.DUMMYFUNCTION("IF(AB296 = """", """", GOOGLETRANSLATE(AB296, ""en"", ""gu""))"),"")</f>
        <v/>
      </c>
      <c r="AO296" s="5" t="str">
        <f ca="1">IFERROR(__xludf.DUMMYFUNCTION("IF(Y296 = """", """", GOOGLETRANSLATE(Y296, ""en"", ""bn""))"),"বিদেশী কাজের জন্য চাপ দিন")</f>
        <v>বিদেশী কাজের জন্য চাপ দিন</v>
      </c>
      <c r="AP296" s="5" t="str">
        <f ca="1">IFERROR(__xludf.DUMMYFUNCTION("IF(Z296 = """", """", GOOGLETRANSLATE(Z296, ""en"", ""bn""))"),"লুকানো শত্রুরা প্রকাশ পেতে পারে")</f>
        <v>লুকানো শত্রুরা প্রকাশ পেতে পারে</v>
      </c>
      <c r="AQ296" s="5" t="str">
        <f ca="1">IFERROR(__xludf.DUMMYFUNCTION("IF(AA296 = """", """", GOOGLETRANSLATE(AA296, ""en"", ""bn""))"),"এনার্জেটিক থাকুন")</f>
        <v>এনার্জেটিক থাকুন</v>
      </c>
      <c r="AR296" s="5" t="str">
        <f ca="1">IFERROR(__xludf.DUMMYFUNCTION("IF(AB296 = """", """", GOOGLETRANSLATE(AB296, ""en"", ""bn""))"),"")</f>
        <v/>
      </c>
      <c r="AU296" s="5" t="str">
        <f ca="1">IFERROR(__xludf.DUMMYFUNCTION("IF(Y296 = """", """", GOOGLETRANSLATE(Y296, ""en"", ""te""))"),"విదేశీ పనులకు ఒత్తిడి")</f>
        <v>విదేశీ పనులకు ఒత్తిడి</v>
      </c>
      <c r="AV296" s="5" t="str">
        <f ca="1">IFERROR(__xludf.DUMMYFUNCTION("IF(Z296 = """", """", GOOGLETRANSLATE(Z296, ""en"", ""te""))"),"దాచిన శత్రువులు బహిర్గతం కావచ్చు")</f>
        <v>దాచిన శత్రువులు బహిర్గతం కావచ్చు</v>
      </c>
      <c r="AW296" s="5" t="str">
        <f ca="1">IFERROR(__xludf.DUMMYFUNCTION("IF(AA296 = """", """", GOOGLETRANSLATE(AA296, ""en"", ""te""))"),"ఎనర్జిటిక్ గా ఉండండి")</f>
        <v>ఎనర్జిటిక్ గా ఉండండి</v>
      </c>
      <c r="AX296" s="5" t="str">
        <f ca="1">IFERROR(__xludf.DUMMYFUNCTION("IF(AB296 = """", """", GOOGLETRANSLATE(AB296, ""en"", ""te""))"),"")</f>
        <v/>
      </c>
    </row>
    <row r="297" spans="1:50" x14ac:dyDescent="0.25">
      <c r="A297" s="1">
        <v>312</v>
      </c>
      <c r="B297" s="1" t="s">
        <v>56</v>
      </c>
      <c r="C297" s="2">
        <v>45846</v>
      </c>
      <c r="D297" s="2">
        <v>45846</v>
      </c>
      <c r="E297" s="1">
        <v>6</v>
      </c>
      <c r="F297" s="1">
        <v>1</v>
      </c>
      <c r="G297" s="3" t="s">
        <v>848</v>
      </c>
      <c r="H297" s="4">
        <v>1.0532407407407407E-2</v>
      </c>
      <c r="I297" s="4">
        <v>2.6041666666666665E-3</v>
      </c>
      <c r="J297" s="4">
        <v>2.9513888888888888E-3</v>
      </c>
      <c r="K297" s="1"/>
      <c r="L297" s="1" t="s">
        <v>108</v>
      </c>
      <c r="M297" s="1"/>
      <c r="N297" s="1"/>
      <c r="O297" s="1" t="s">
        <v>61</v>
      </c>
      <c r="P297" s="1" t="s">
        <v>61</v>
      </c>
      <c r="Q297" s="1" t="s">
        <v>61</v>
      </c>
      <c r="R297" s="1" t="s">
        <v>61</v>
      </c>
      <c r="S297" s="1" t="s">
        <v>61</v>
      </c>
      <c r="T297" s="1" t="s">
        <v>61</v>
      </c>
      <c r="U297" s="1" t="s">
        <v>91</v>
      </c>
      <c r="V297" s="1" t="s">
        <v>61</v>
      </c>
      <c r="W297" s="1" t="s">
        <v>91</v>
      </c>
      <c r="X297" s="1" t="s">
        <v>61</v>
      </c>
      <c r="Y297" s="1" t="s">
        <v>859</v>
      </c>
      <c r="Z297" s="1" t="s">
        <v>860</v>
      </c>
      <c r="AA297" s="1" t="s">
        <v>361</v>
      </c>
      <c r="AB297" s="1"/>
      <c r="AC297" s="5" t="str">
        <f ca="1">IFERROR(__xludf.DUMMYFUNCTION("IF(Y297 = """", """", GOOGLETRANSLATE(Y297, ""en"", ""hi""))
"),"जोखिम से बचें")</f>
        <v>जोखिम से बचें</v>
      </c>
      <c r="AD297" s="5" t="str">
        <f ca="1">IFERROR(__xludf.DUMMYFUNCTION("IF(Z297 = """", """", GOOGLETRANSLATE(Z297, ""en"", ""hi""))"),"आवेगपूर्ण प्रतिक्रिया न करें")</f>
        <v>आवेगपूर्ण प्रतिक्रिया न करें</v>
      </c>
      <c r="AE297" s="5" t="str">
        <f ca="1">IFERROR(__xludf.DUMMYFUNCTION("IF(AA297 = """", """", GOOGLETRANSLATE(AA297, ""en"", ""hi""))"),"शांत और धैर्यवान रहें")</f>
        <v>शांत और धैर्यवान रहें</v>
      </c>
      <c r="AF297" s="5" t="str">
        <f ca="1">IFERROR(__xludf.DUMMYFUNCTION("IF(AB297 = """", """", GOOGLETRANSLATE(AB297, ""en"", ""hi""))"),"")</f>
        <v/>
      </c>
      <c r="AG297" s="5" t="str">
        <f ca="1">IFERROR(__xludf.DUMMYFUNCTION("IF(Y297 = """", """", GOOGLETRANSLATE(Y297, ""en"", ""mr""))"),"धोके टाळा")</f>
        <v>धोके टाळा</v>
      </c>
      <c r="AH297" s="5" t="str">
        <f ca="1">IFERROR(__xludf.DUMMYFUNCTION("IF(Z297 = """", """", GOOGLETRANSLATE(Z297, ""en"", ""mr""))"),"आवेगाने प्रतिक्रिया देऊ नका")</f>
        <v>आवेगाने प्रतिक्रिया देऊ नका</v>
      </c>
      <c r="AI297" s="5" t="str">
        <f ca="1">IFERROR(__xludf.DUMMYFUNCTION("IF(AA297 = """", """", GOOGLETRANSLATE(AA297, ""en"", ""mr""))"),"शांत आणि धीर धरा")</f>
        <v>शांत आणि धीर धरा</v>
      </c>
      <c r="AJ297" s="5" t="str">
        <f ca="1">IFERROR(__xludf.DUMMYFUNCTION("IF(AB297 = """", """", GOOGLETRANSLATE(AB297, ""en"", ""mr""))"),"")</f>
        <v/>
      </c>
      <c r="AK297" s="5" t="str">
        <f ca="1">IFERROR(__xludf.DUMMYFUNCTION("IF(Y297 = """", """", GOOGLETRANSLATE(Y297, ""en"", ""gu""))"),"જોખમો ટાળો")</f>
        <v>જોખમો ટાળો</v>
      </c>
      <c r="AL297" s="5" t="str">
        <f ca="1">IFERROR(__xludf.DUMMYFUNCTION("IF(Z297 = """", """", GOOGLETRANSLATE(Z297, ""en"", ""gu""))"),"આવેગજન્ય પ્રતિક્રિયા આપશો નહીં")</f>
        <v>આવેગજન્ય પ્રતિક્રિયા આપશો નહીં</v>
      </c>
      <c r="AM297" s="5" t="str">
        <f ca="1">IFERROR(__xludf.DUMMYFUNCTION("IF(AA297 = """", """", GOOGLETRANSLATE(AA297, ""en"", ""gu""))"),"શાંત અને ધીરજ રાખો")</f>
        <v>શાંત અને ધીરજ રાખો</v>
      </c>
      <c r="AN297" s="5" t="str">
        <f ca="1">IFERROR(__xludf.DUMMYFUNCTION("IF(AB297 = """", """", GOOGLETRANSLATE(AB297, ""en"", ""gu""))"),"")</f>
        <v/>
      </c>
      <c r="AO297" s="5" t="str">
        <f ca="1">IFERROR(__xludf.DUMMYFUNCTION("IF(Y297 = """", """", GOOGLETRANSLATE(Y297, ""en"", ""bn""))"),"ঝুঁকি এড়িয়ে চলুন")</f>
        <v>ঝুঁকি এড়িয়ে চলুন</v>
      </c>
      <c r="AP297" s="5" t="str">
        <f ca="1">IFERROR(__xludf.DUMMYFUNCTION("IF(Z297 = """", """", GOOGLETRANSLATE(Z297, ""en"", ""bn""))"),"আবেগপ্রবণভাবে প্রতিক্রিয়া করবেন না")</f>
        <v>আবেগপ্রবণভাবে প্রতিক্রিয়া করবেন না</v>
      </c>
      <c r="AQ297" s="5" t="str">
        <f ca="1">IFERROR(__xludf.DUMMYFUNCTION("IF(AA297 = """", """", GOOGLETRANSLATE(AA297, ""en"", ""bn""))"),"শান্ত এবং ধৈর্যশীল থাকুন")</f>
        <v>শান্ত এবং ধৈর্যশীল থাকুন</v>
      </c>
      <c r="AR297" s="5" t="str">
        <f ca="1">IFERROR(__xludf.DUMMYFUNCTION("IF(AB297 = """", """", GOOGLETRANSLATE(AB297, ""en"", ""bn""))"),"")</f>
        <v/>
      </c>
      <c r="AU297" s="5" t="str">
        <f ca="1">IFERROR(__xludf.DUMMYFUNCTION("IF(Y297 = """", """", GOOGLETRANSLATE(Y297, ""en"", ""te""))"),"ప్రమాదాలను నివారించండి")</f>
        <v>ప్రమాదాలను నివారించండి</v>
      </c>
      <c r="AV297" s="5" t="str">
        <f ca="1">IFERROR(__xludf.DUMMYFUNCTION("IF(Z297 = """", """", GOOGLETRANSLATE(Z297, ""en"", ""te""))"),"హఠాత్తుగా స్పందించవద్దు")</f>
        <v>హఠాత్తుగా స్పందించవద్దు</v>
      </c>
      <c r="AW297" s="5" t="str">
        <f ca="1">IFERROR(__xludf.DUMMYFUNCTION("IF(AA297 = """", """", GOOGLETRANSLATE(AA297, ""en"", ""te""))"),"ప్రశాంతంగా మరియు ఓపికగా ఉండండి")</f>
        <v>ప్రశాంతంగా మరియు ఓపికగా ఉండండి</v>
      </c>
      <c r="AX297" s="5" t="str">
        <f ca="1">IFERROR(__xludf.DUMMYFUNCTION("IF(AB297 = """", """", GOOGLETRANSLATE(AB297, ""en"", ""te""))"),"")</f>
        <v/>
      </c>
    </row>
    <row r="298" spans="1:50" x14ac:dyDescent="0.25">
      <c r="A298" s="1">
        <v>313</v>
      </c>
      <c r="B298" s="1" t="s">
        <v>56</v>
      </c>
      <c r="C298" s="2">
        <v>45846</v>
      </c>
      <c r="D298" s="2">
        <v>45846</v>
      </c>
      <c r="E298" s="1">
        <v>7</v>
      </c>
      <c r="F298" s="1">
        <v>1</v>
      </c>
      <c r="G298" s="3" t="s">
        <v>848</v>
      </c>
      <c r="H298" s="4">
        <v>1.0532407407407407E-2</v>
      </c>
      <c r="I298" s="4">
        <v>2.9513888888888888E-3</v>
      </c>
      <c r="J298" s="4">
        <v>3.4375E-3</v>
      </c>
      <c r="K298" s="1"/>
      <c r="L298" s="1" t="s">
        <v>113</v>
      </c>
      <c r="M298" s="1"/>
      <c r="N298" s="1"/>
      <c r="O298" s="1" t="s">
        <v>91</v>
      </c>
      <c r="P298" s="1" t="s">
        <v>61</v>
      </c>
      <c r="Q298" s="1" t="s">
        <v>61</v>
      </c>
      <c r="R298" s="1" t="s">
        <v>61</v>
      </c>
      <c r="S298" s="1" t="s">
        <v>61</v>
      </c>
      <c r="T298" s="1" t="s">
        <v>61</v>
      </c>
      <c r="U298" s="1" t="s">
        <v>61</v>
      </c>
      <c r="V298" s="1" t="s">
        <v>91</v>
      </c>
      <c r="W298" s="1" t="s">
        <v>61</v>
      </c>
      <c r="X298" s="1" t="s">
        <v>61</v>
      </c>
      <c r="Y298" s="1" t="s">
        <v>861</v>
      </c>
      <c r="Z298" s="1" t="s">
        <v>833</v>
      </c>
      <c r="AA298" s="1" t="s">
        <v>817</v>
      </c>
      <c r="AB298" s="1"/>
      <c r="AC298" s="5" t="str">
        <f ca="1">IFERROR(__xludf.DUMMYFUNCTION("IF(Y298 = """", """", GOOGLETRANSLATE(Y298, ""en"", ""hi""))
"),"सकारात्मक समय का लाभ उठाएँ")</f>
        <v>सकारात्मक समय का लाभ उठाएँ</v>
      </c>
      <c r="AD298" s="5" t="str">
        <f ca="1">IFERROR(__xludf.DUMMYFUNCTION("IF(Z298 = """", """", GOOGLETRANSLATE(Z298, ""en"", ""hi""))"),"निर्णय लें")</f>
        <v>निर्णय लें</v>
      </c>
      <c r="AE298" s="5" t="str">
        <f ca="1">IFERROR(__xludf.DUMMYFUNCTION("IF(AA298 = """", """", GOOGLETRANSLATE(AA298, ""en"", ""hi""))"),"महत्वपूर्ण कार्य करें")</f>
        <v>महत्वपूर्ण कार्य करें</v>
      </c>
      <c r="AF298" s="5" t="str">
        <f ca="1">IFERROR(__xludf.DUMMYFUNCTION("IF(AB298 = """", """", GOOGLETRANSLATE(AB298, ""en"", ""hi""))"),"")</f>
        <v/>
      </c>
      <c r="AG298" s="5" t="str">
        <f ca="1">IFERROR(__xludf.DUMMYFUNCTION("IF(Y298 = """", """", GOOGLETRANSLATE(Y298, ""en"", ""mr""))"),"सकारात्मक वेळेचा फायदा घ्या")</f>
        <v>सकारात्मक वेळेचा फायदा घ्या</v>
      </c>
      <c r="AH298" s="5" t="str">
        <f ca="1">IFERROR(__xludf.DUMMYFUNCTION("IF(Z298 = """", """", GOOGLETRANSLATE(Z298, ""en"", ""mr""))"),"निर्णय घ्या")</f>
        <v>निर्णय घ्या</v>
      </c>
      <c r="AI298" s="5" t="str">
        <f ca="1">IFERROR(__xludf.DUMMYFUNCTION("IF(AA298 = """", """", GOOGLETRANSLATE(AA298, ""en"", ""mr""))"),"महत्त्वाची कामे करा")</f>
        <v>महत्त्वाची कामे करा</v>
      </c>
      <c r="AJ298" s="5" t="str">
        <f ca="1">IFERROR(__xludf.DUMMYFUNCTION("IF(AB298 = """", """", GOOGLETRANSLATE(AB298, ""en"", ""mr""))"),"")</f>
        <v/>
      </c>
      <c r="AK298" s="5" t="str">
        <f ca="1">IFERROR(__xludf.DUMMYFUNCTION("IF(Y298 = """", """", GOOGLETRANSLATE(Y298, ""en"", ""gu""))"),"સકારાત્મક સમયનો લાભ લો")</f>
        <v>સકારાત્મક સમયનો લાભ લો</v>
      </c>
      <c r="AL298" s="5" t="str">
        <f ca="1">IFERROR(__xludf.DUMMYFUNCTION("IF(Z298 = """", """", GOOGLETRANSLATE(Z298, ""en"", ""gu""))"),"નિર્ણયો લો")</f>
        <v>નિર્ણયો લો</v>
      </c>
      <c r="AM298" s="5" t="str">
        <f ca="1">IFERROR(__xludf.DUMMYFUNCTION("IF(AA298 = """", """", GOOGLETRANSLATE(AA298, ""en"", ""gu""))"),"મહત્વપૂર્ણ કાર્યો કરો")</f>
        <v>મહત્વપૂર્ણ કાર્યો કરો</v>
      </c>
      <c r="AN298" s="5" t="str">
        <f ca="1">IFERROR(__xludf.DUMMYFUNCTION("IF(AB298 = """", """", GOOGLETRANSLATE(AB298, ""en"", ""gu""))"),"")</f>
        <v/>
      </c>
      <c r="AO298" s="5" t="str">
        <f ca="1">IFERROR(__xludf.DUMMYFUNCTION("IF(Y298 = """", """", GOOGLETRANSLATE(Y298, ""en"", ""bn""))"),"ইতিবাচক সময়ের সদ্ব্যবহার করুন")</f>
        <v>ইতিবাচক সময়ের সদ্ব্যবহার করুন</v>
      </c>
      <c r="AP298" s="5" t="str">
        <f ca="1">IFERROR(__xludf.DUMMYFUNCTION("IF(Z298 = """", """", GOOGLETRANSLATE(Z298, ""en"", ""bn""))"),"সিদ্ধান্ত নিন")</f>
        <v>সিদ্ধান্ত নিন</v>
      </c>
      <c r="AQ298" s="5" t="str">
        <f ca="1">IFERROR(__xludf.DUMMYFUNCTION("IF(AA298 = """", """", GOOGLETRANSLATE(AA298, ""en"", ""bn""))"),"গুরুত্বপূর্ণ কাজগুলো করুন")</f>
        <v>গুরুত্বপূর্ণ কাজগুলো করুন</v>
      </c>
      <c r="AR298" s="5" t="str">
        <f ca="1">IFERROR(__xludf.DUMMYFUNCTION("IF(AB298 = """", """", GOOGLETRANSLATE(AB298, ""en"", ""bn""))"),"")</f>
        <v/>
      </c>
      <c r="AU298" s="5" t="str">
        <f ca="1">IFERROR(__xludf.DUMMYFUNCTION("IF(Y298 = """", """", GOOGLETRANSLATE(Y298, ""en"", ""te""))"),"సానుకూల సమయాన్ని సద్వినియోగం చేసుకోండి")</f>
        <v>సానుకూల సమయాన్ని సద్వినియోగం చేసుకోండి</v>
      </c>
      <c r="AV298" s="5" t="str">
        <f ca="1">IFERROR(__xludf.DUMMYFUNCTION("IF(Z298 = """", """", GOOGLETRANSLATE(Z298, ""en"", ""te""))"),"నిర్ణయాలు తీసుకోండి")</f>
        <v>నిర్ణయాలు తీసుకోండి</v>
      </c>
      <c r="AW298" s="5" t="str">
        <f ca="1">IFERROR(__xludf.DUMMYFUNCTION("IF(AA298 = """", """", GOOGLETRANSLATE(AA298, ""en"", ""te""))"),"ముఖ్యమైన పనులు చేయండి")</f>
        <v>ముఖ్యమైన పనులు చేయండి</v>
      </c>
      <c r="AX298" s="5" t="str">
        <f ca="1">IFERROR(__xludf.DUMMYFUNCTION("IF(AB298 = """", """", GOOGLETRANSLATE(AB298, ""en"", ""te""))"),"")</f>
        <v/>
      </c>
    </row>
    <row r="299" spans="1:50" x14ac:dyDescent="0.25">
      <c r="A299" s="1">
        <v>314</v>
      </c>
      <c r="B299" s="1" t="s">
        <v>56</v>
      </c>
      <c r="C299" s="2">
        <v>45846</v>
      </c>
      <c r="D299" s="2">
        <v>45846</v>
      </c>
      <c r="E299" s="1">
        <v>8</v>
      </c>
      <c r="F299" s="1">
        <v>1</v>
      </c>
      <c r="G299" s="3" t="s">
        <v>848</v>
      </c>
      <c r="H299" s="4">
        <v>1.0532407407407407E-2</v>
      </c>
      <c r="I299" s="4">
        <v>3.4375E-3</v>
      </c>
      <c r="J299" s="4">
        <v>3.8541666666666668E-3</v>
      </c>
      <c r="K299" s="1"/>
      <c r="L299" s="1" t="s">
        <v>64</v>
      </c>
      <c r="M299" s="1"/>
      <c r="N299" s="1"/>
      <c r="O299" s="1" t="s">
        <v>91</v>
      </c>
      <c r="P299" s="1" t="s">
        <v>61</v>
      </c>
      <c r="Q299" s="1" t="s">
        <v>61</v>
      </c>
      <c r="R299" s="1" t="s">
        <v>61</v>
      </c>
      <c r="S299" s="1" t="s">
        <v>61</v>
      </c>
      <c r="T299" s="1" t="s">
        <v>61</v>
      </c>
      <c r="U299" s="1" t="s">
        <v>61</v>
      </c>
      <c r="V299" s="1" t="s">
        <v>91</v>
      </c>
      <c r="W299" s="1" t="s">
        <v>61</v>
      </c>
      <c r="X299" s="1" t="s">
        <v>61</v>
      </c>
      <c r="Y299" s="1" t="s">
        <v>862</v>
      </c>
      <c r="Z299" s="1" t="s">
        <v>863</v>
      </c>
      <c r="AA299" s="1" t="s">
        <v>864</v>
      </c>
      <c r="AB299" s="1"/>
      <c r="AC299" s="5" t="str">
        <f ca="1">IFERROR(__xludf.DUMMYFUNCTION("IF(Y299 = """", """", GOOGLETRANSLATE(Y299, ""en"", ""hi""))
"),"कैरियर बनाने के मौके")</f>
        <v>कैरियर बनाने के मौके</v>
      </c>
      <c r="AD299" s="5" t="str">
        <f ca="1">IFERROR(__xludf.DUMMYFUNCTION("IF(Z299 = """", """", GOOGLETRANSLATE(Z299, ""en"", ""hi""))"),"पुराने कार्यों को पूरा करें")</f>
        <v>पुराने कार्यों को पूरा करें</v>
      </c>
      <c r="AE299" s="5" t="str">
        <f ca="1">IFERROR(__xludf.DUMMYFUNCTION("IF(AA299 = """", """", GOOGLETRANSLATE(AA299, ""en"", ""hi""))"),"विदेशी मामलों के लिए अच्छा")</f>
        <v>विदेशी मामलों के लिए अच्छा</v>
      </c>
      <c r="AF299" s="5" t="str">
        <f ca="1">IFERROR(__xludf.DUMMYFUNCTION("IF(AB299 = """", """", GOOGLETRANSLATE(AB299, ""en"", ""hi""))"),"")</f>
        <v/>
      </c>
      <c r="AG299" s="5" t="str">
        <f ca="1">IFERROR(__xludf.DUMMYFUNCTION("IF(Y299 = """", """", GOOGLETRANSLATE(Y299, ""en"", ""mr""))"),"करिअरची संधी")</f>
        <v>करिअरची संधी</v>
      </c>
      <c r="AH299" s="5" t="str">
        <f ca="1">IFERROR(__xludf.DUMMYFUNCTION("IF(Z299 = """", """", GOOGLETRANSLATE(Z299, ""en"", ""mr""))"),"जुनी कामे पूर्ण करा")</f>
        <v>जुनी कामे पूर्ण करा</v>
      </c>
      <c r="AI299" s="5" t="str">
        <f ca="1">IFERROR(__xludf.DUMMYFUNCTION("IF(AA299 = """", """", GOOGLETRANSLATE(AA299, ""en"", ""mr""))"),"परदेशी बाबींसाठी चांगले")</f>
        <v>परदेशी बाबींसाठी चांगले</v>
      </c>
      <c r="AJ299" s="5" t="str">
        <f ca="1">IFERROR(__xludf.DUMMYFUNCTION("IF(AB299 = """", """", GOOGLETRANSLATE(AB299, ""en"", ""mr""))"),"")</f>
        <v/>
      </c>
      <c r="AK299" s="5" t="str">
        <f ca="1">IFERROR(__xludf.DUMMYFUNCTION("IF(Y299 = """", """", GOOGLETRANSLATE(Y299, ""en"", ""gu""))"),"કરિયરની તક")</f>
        <v>કરિયરની તક</v>
      </c>
      <c r="AL299" s="5" t="str">
        <f ca="1">IFERROR(__xludf.DUMMYFUNCTION("IF(Z299 = """", """", GOOGLETRANSLATE(Z299, ""en"", ""gu""))"),"જૂના કાર્યો પૂરા કરો")</f>
        <v>જૂના કાર્યો પૂરા કરો</v>
      </c>
      <c r="AM299" s="5" t="str">
        <f ca="1">IFERROR(__xludf.DUMMYFUNCTION("IF(AA299 = """", """", GOOGLETRANSLATE(AA299, ""en"", ""gu""))"),"વિદેશી બાબતો માટે સારું")</f>
        <v>વિદેશી બાબતો માટે સારું</v>
      </c>
      <c r="AN299" s="5" t="str">
        <f ca="1">IFERROR(__xludf.DUMMYFUNCTION("IF(AB299 = """", """", GOOGLETRANSLATE(AB299, ""en"", ""gu""))"),"")</f>
        <v/>
      </c>
      <c r="AO299" s="5" t="str">
        <f ca="1">IFERROR(__xludf.DUMMYFUNCTION("IF(Y299 = """", """", GOOGLETRANSLATE(Y299, ""en"", ""bn""))"),"ক্যারিয়ারের সুযোগ")</f>
        <v>ক্যারিয়ারের সুযোগ</v>
      </c>
      <c r="AP299" s="5" t="str">
        <f ca="1">IFERROR(__xludf.DUMMYFUNCTION("IF(Z299 = """", """", GOOGLETRANSLATE(Z299, ""en"", ""bn""))"),"পুরনো কাজগুলো শেষ করুন")</f>
        <v>পুরনো কাজগুলো শেষ করুন</v>
      </c>
      <c r="AQ299" s="5" t="str">
        <f ca="1">IFERROR(__xludf.DUMMYFUNCTION("IF(AA299 = """", """", GOOGLETRANSLATE(AA299, ""en"", ""bn""))"),"বিদেশী বিষয়ের জন্য ভাল")</f>
        <v>বিদেশী বিষয়ের জন্য ভাল</v>
      </c>
      <c r="AR299" s="5" t="str">
        <f ca="1">IFERROR(__xludf.DUMMYFUNCTION("IF(AB299 = """", """", GOOGLETRANSLATE(AB299, ""en"", ""bn""))"),"")</f>
        <v/>
      </c>
      <c r="AU299" s="5" t="str">
        <f ca="1">IFERROR(__xludf.DUMMYFUNCTION("IF(Y299 = """", """", GOOGLETRANSLATE(Y299, ""en"", ""te""))"),"కెరీర్ అవకాశం")</f>
        <v>కెరీర్ అవకాశం</v>
      </c>
      <c r="AV299" s="5" t="str">
        <f ca="1">IFERROR(__xludf.DUMMYFUNCTION("IF(Z299 = """", """", GOOGLETRANSLATE(Z299, ""en"", ""te""))"),"పాత పనులు పూర్తి చేయండి")</f>
        <v>పాత పనులు పూర్తి చేయండి</v>
      </c>
      <c r="AW299" s="5" t="str">
        <f ca="1">IFERROR(__xludf.DUMMYFUNCTION("IF(AA299 = """", """", GOOGLETRANSLATE(AA299, ""en"", ""te""))"),"విదేశీ వ్యవహారాలకు అనుకూలం")</f>
        <v>విదేశీ వ్యవహారాలకు అనుకూలం</v>
      </c>
      <c r="AX299" s="5" t="str">
        <f ca="1">IFERROR(__xludf.DUMMYFUNCTION("IF(AB299 = """", """", GOOGLETRANSLATE(AB299, ""en"", ""te""))"),"")</f>
        <v/>
      </c>
    </row>
    <row r="300" spans="1:50" x14ac:dyDescent="0.25">
      <c r="A300" s="1">
        <v>315</v>
      </c>
      <c r="B300" s="1" t="s">
        <v>56</v>
      </c>
      <c r="C300" s="2">
        <v>45846</v>
      </c>
      <c r="D300" s="2">
        <v>45846</v>
      </c>
      <c r="E300" s="1">
        <v>9</v>
      </c>
      <c r="F300" s="1">
        <v>1</v>
      </c>
      <c r="G300" s="3" t="s">
        <v>848</v>
      </c>
      <c r="H300" s="4">
        <v>1.0532407407407407E-2</v>
      </c>
      <c r="I300" s="4">
        <v>3.8541666666666668E-3</v>
      </c>
      <c r="J300" s="4">
        <v>4.1550925925925922E-3</v>
      </c>
      <c r="K300" s="1"/>
      <c r="L300" s="1" t="s">
        <v>68</v>
      </c>
      <c r="M300" s="1"/>
      <c r="N300" s="1"/>
      <c r="O300" s="1" t="s">
        <v>61</v>
      </c>
      <c r="P300" s="1" t="s">
        <v>61</v>
      </c>
      <c r="Q300" s="1" t="s">
        <v>61</v>
      </c>
      <c r="R300" s="1" t="s">
        <v>91</v>
      </c>
      <c r="S300" s="1" t="s">
        <v>61</v>
      </c>
      <c r="T300" s="1" t="s">
        <v>61</v>
      </c>
      <c r="U300" s="1" t="s">
        <v>61</v>
      </c>
      <c r="V300" s="1" t="s">
        <v>61</v>
      </c>
      <c r="W300" s="1" t="s">
        <v>61</v>
      </c>
      <c r="X300" s="1" t="s">
        <v>91</v>
      </c>
      <c r="Y300" s="1" t="s">
        <v>865</v>
      </c>
      <c r="Z300" s="1" t="s">
        <v>866</v>
      </c>
      <c r="AA300" s="1" t="s">
        <v>867</v>
      </c>
      <c r="AB300" s="1"/>
      <c r="AC300" s="5" t="str">
        <f ca="1">IFERROR(__xludf.DUMMYFUNCTION("IF(Y300 = """", """", GOOGLETRANSLATE(Y300, ""en"", ""hi""))
"),"व्यस्त दिन")</f>
        <v>व्यस्त दिन</v>
      </c>
      <c r="AD300" s="5" t="str">
        <f ca="1">IFERROR(__xludf.DUMMYFUNCTION("IF(Z300 = """", """", GOOGLETRANSLATE(Z300, ""en"", ""hi""))"),"परिवार और कार्य असंतुलन")</f>
        <v>परिवार और कार्य असंतुलन</v>
      </c>
      <c r="AE300" s="5" t="str">
        <f ca="1">IFERROR(__xludf.DUMMYFUNCTION("IF(AA300 = """", """", GOOGLETRANSLATE(AA300, ""en"", ""hi""))"),"उधार दिए गए पैसे मांगें")</f>
        <v>उधार दिए गए पैसे मांगें</v>
      </c>
      <c r="AF300" s="5" t="str">
        <f ca="1">IFERROR(__xludf.DUMMYFUNCTION("IF(AB300 = """", """", GOOGLETRANSLATE(AB300, ""en"", ""hi""))"),"")</f>
        <v/>
      </c>
      <c r="AG300" s="5" t="str">
        <f ca="1">IFERROR(__xludf.DUMMYFUNCTION("IF(Y300 = """", """", GOOGLETRANSLATE(Y300, ""en"", ""mr""))"),"व्यस्त दिवस")</f>
        <v>व्यस्त दिवस</v>
      </c>
      <c r="AH300" s="5" t="str">
        <f ca="1">IFERROR(__xludf.DUMMYFUNCTION("IF(Z300 = """", """", GOOGLETRANSLATE(Z300, ""en"", ""mr""))"),"कुटुंब आणि कामाचे असंतुलन")</f>
        <v>कुटुंब आणि कामाचे असंतुलन</v>
      </c>
      <c r="AI300" s="5" t="str">
        <f ca="1">IFERROR(__xludf.DUMMYFUNCTION("IF(AA300 = """", """", GOOGLETRANSLATE(AA300, ""en"", ""mr""))"),"उधार पैसे मागा")</f>
        <v>उधार पैसे मागा</v>
      </c>
      <c r="AJ300" s="5" t="str">
        <f ca="1">IFERROR(__xludf.DUMMYFUNCTION("IF(AB300 = """", """", GOOGLETRANSLATE(AB300, ""en"", ""mr""))"),"")</f>
        <v/>
      </c>
      <c r="AK300" s="5" t="str">
        <f ca="1">IFERROR(__xludf.DUMMYFUNCTION("IF(Y300 = """", """", GOOGLETRANSLATE(Y300, ""en"", ""gu""))"),"વ્યસ્ત દિવસ")</f>
        <v>વ્યસ્ત દિવસ</v>
      </c>
      <c r="AL300" s="5" t="str">
        <f ca="1">IFERROR(__xludf.DUMMYFUNCTION("IF(Z300 = """", """", GOOGLETRANSLATE(Z300, ""en"", ""gu""))"),"કુટુંબ અને કામમાં અસંતુલન")</f>
        <v>કુટુંબ અને કામમાં અસંતુલન</v>
      </c>
      <c r="AM300" s="5" t="str">
        <f ca="1">IFERROR(__xludf.DUMMYFUNCTION("IF(AA300 = """", """", GOOGLETRANSLATE(AA300, ""en"", ""gu""))"),"ઉછીના પૈસા માટે પૂછો")</f>
        <v>ઉછીના પૈસા માટે પૂછો</v>
      </c>
      <c r="AN300" s="5" t="str">
        <f ca="1">IFERROR(__xludf.DUMMYFUNCTION("IF(AB300 = """", """", GOOGLETRANSLATE(AB300, ""en"", ""gu""))"),"")</f>
        <v/>
      </c>
      <c r="AO300" s="5" t="str">
        <f ca="1">IFERROR(__xludf.DUMMYFUNCTION("IF(Y300 = """", """", GOOGLETRANSLATE(Y300, ""en"", ""bn""))"),"ব্যস্ত দিন")</f>
        <v>ব্যস্ত দিন</v>
      </c>
      <c r="AP300" s="5" t="str">
        <f ca="1">IFERROR(__xludf.DUMMYFUNCTION("IF(Z300 = """", """", GOOGLETRANSLATE(Z300, ""en"", ""bn""))"),"পরিবার এবং কাজের ভারসাম্যহীনতা")</f>
        <v>পরিবার এবং কাজের ভারসাম্যহীনতা</v>
      </c>
      <c r="AQ300" s="5" t="str">
        <f ca="1">IFERROR(__xludf.DUMMYFUNCTION("IF(AA300 = """", """", GOOGLETRANSLATE(AA300, ""en"", ""bn""))"),"ধার দেওয়া টাকা চাও")</f>
        <v>ধার দেওয়া টাকা চাও</v>
      </c>
      <c r="AR300" s="5" t="str">
        <f ca="1">IFERROR(__xludf.DUMMYFUNCTION("IF(AB300 = """", """", GOOGLETRANSLATE(AB300, ""en"", ""bn""))"),"")</f>
        <v/>
      </c>
      <c r="AU300" s="5" t="str">
        <f ca="1">IFERROR(__xludf.DUMMYFUNCTION("IF(Y300 = """", """", GOOGLETRANSLATE(Y300, ""en"", ""te""))"),"బిజీ రోజు")</f>
        <v>బిజీ రోజు</v>
      </c>
      <c r="AV300" s="5" t="str">
        <f ca="1">IFERROR(__xludf.DUMMYFUNCTION("IF(Z300 = """", """", GOOGLETRANSLATE(Z300, ""en"", ""te""))"),"కుటుంబం మరియు పని అసమతుల్యత")</f>
        <v>కుటుంబం మరియు పని అసమతుల్యత</v>
      </c>
      <c r="AW300" s="5" t="str">
        <f ca="1">IFERROR(__xludf.DUMMYFUNCTION("IF(AA300 = """", """", GOOGLETRANSLATE(AA300, ""en"", ""te""))"),"అప్పుగా ఇచ్చిన డబ్బు కోసం అడగండి")</f>
        <v>అప్పుగా ఇచ్చిన డబ్బు కోసం అడగండి</v>
      </c>
      <c r="AX300" s="5" t="str">
        <f ca="1">IFERROR(__xludf.DUMMYFUNCTION("IF(AB300 = """", """", GOOGLETRANSLATE(AB300, ""en"", ""te""))"),"")</f>
        <v/>
      </c>
    </row>
    <row r="301" spans="1:50" x14ac:dyDescent="0.25">
      <c r="A301" s="1">
        <v>316</v>
      </c>
      <c r="B301" s="1" t="s">
        <v>56</v>
      </c>
      <c r="C301" s="2">
        <v>45846</v>
      </c>
      <c r="D301" s="2">
        <v>45846</v>
      </c>
      <c r="E301" s="1">
        <v>10</v>
      </c>
      <c r="F301" s="1">
        <v>1</v>
      </c>
      <c r="G301" s="3" t="s">
        <v>848</v>
      </c>
      <c r="H301" s="4">
        <v>1.0532407407407407E-2</v>
      </c>
      <c r="I301" s="4">
        <v>4.1550925925925922E-3</v>
      </c>
      <c r="J301" s="4">
        <v>4.5486111111111109E-3</v>
      </c>
      <c r="K301" s="1"/>
      <c r="L301" s="1" t="s">
        <v>72</v>
      </c>
      <c r="M301" s="1"/>
      <c r="N301" s="1"/>
      <c r="O301" s="1" t="s">
        <v>61</v>
      </c>
      <c r="P301" s="1" t="s">
        <v>61</v>
      </c>
      <c r="Q301" s="1" t="s">
        <v>61</v>
      </c>
      <c r="R301" s="1" t="s">
        <v>61</v>
      </c>
      <c r="S301" s="1" t="s">
        <v>61</v>
      </c>
      <c r="T301" s="1" t="s">
        <v>91</v>
      </c>
      <c r="U301" s="1" t="s">
        <v>61</v>
      </c>
      <c r="V301" s="1" t="s">
        <v>61</v>
      </c>
      <c r="W301" s="1" t="s">
        <v>91</v>
      </c>
      <c r="X301" s="1" t="s">
        <v>61</v>
      </c>
      <c r="Y301" s="1" t="s">
        <v>868</v>
      </c>
      <c r="Z301" s="1" t="s">
        <v>869</v>
      </c>
      <c r="AA301" s="1" t="s">
        <v>870</v>
      </c>
      <c r="AB301" s="1"/>
      <c r="AC301" s="5" t="str">
        <f ca="1">IFERROR(__xludf.DUMMYFUNCTION("IF(Y301 = """", """", GOOGLETRANSLATE(Y301, ""en"", ""hi""))
"),"अधिक काम संभव")</f>
        <v>अधिक काम संभव</v>
      </c>
      <c r="AD301" s="5" t="str">
        <f ca="1">IFERROR(__xludf.DUMMYFUNCTION("IF(Z301 = """", """", GOOGLETRANSLATE(Z301, ""en"", ""hi""))"),"काम अपेक्षा के अनुरूप नहीं")</f>
        <v>काम अपेक्षा के अनुरूप नहीं</v>
      </c>
      <c r="AE301" s="5" t="str">
        <f ca="1">IFERROR(__xludf.DUMMYFUNCTION("IF(AA301 = """", """", GOOGLETRANSLATE(AA301, ""en"", ""hi""))"),"सटीकता पर ध्यान दें")</f>
        <v>सटीकता पर ध्यान दें</v>
      </c>
      <c r="AF301" s="5" t="str">
        <f ca="1">IFERROR(__xludf.DUMMYFUNCTION("IF(AB301 = """", """", GOOGLETRANSLATE(AB301, ""en"", ""hi""))"),"")</f>
        <v/>
      </c>
      <c r="AG301" s="5" t="str">
        <f ca="1">IFERROR(__xludf.DUMMYFUNCTION("IF(Y301 = """", """", GOOGLETRANSLATE(Y301, ""en"", ""mr""))"),"ओव्हरवर्क शक्य")</f>
        <v>ओव्हरवर्क शक्य</v>
      </c>
      <c r="AH301" s="5" t="str">
        <f ca="1">IFERROR(__xludf.DUMMYFUNCTION("IF(Z301 = """", """", GOOGLETRANSLATE(Z301, ""en"", ""mr""))"),"अपेक्षेप्रमाणे काम होत नाही")</f>
        <v>अपेक्षेप्रमाणे काम होत नाही</v>
      </c>
      <c r="AI301" s="5" t="str">
        <f ca="1">IFERROR(__xludf.DUMMYFUNCTION("IF(AA301 = """", """", GOOGLETRANSLATE(AA301, ""en"", ""mr""))"),"अचूकतेवर लक्ष केंद्रित करा")</f>
        <v>अचूकतेवर लक्ष केंद्रित करा</v>
      </c>
      <c r="AJ301" s="5" t="str">
        <f ca="1">IFERROR(__xludf.DUMMYFUNCTION("IF(AB301 = """", """", GOOGLETRANSLATE(AB301, ""en"", ""mr""))"),"")</f>
        <v/>
      </c>
      <c r="AK301" s="5" t="str">
        <f ca="1">IFERROR(__xludf.DUMMYFUNCTION("IF(Y301 = """", """", GOOGLETRANSLATE(Y301, ""en"", ""gu""))"),"ઓવરવર્ક શક્ય છે")</f>
        <v>ઓવરવર્ક શક્ય છે</v>
      </c>
      <c r="AL301" s="5" t="str">
        <f ca="1">IFERROR(__xludf.DUMMYFUNCTION("IF(Z301 = """", """", GOOGLETRANSLATE(Z301, ""en"", ""gu""))"),"ધાર્યા પ્રમાણે કામ ન થાય")</f>
        <v>ધાર્યા પ્રમાણે કામ ન થાય</v>
      </c>
      <c r="AM301" s="5" t="str">
        <f ca="1">IFERROR(__xludf.DUMMYFUNCTION("IF(AA301 = """", """", GOOGLETRANSLATE(AA301, ""en"", ""gu""))"),"ચોકસાઈ પર ધ્યાન આપો")</f>
        <v>ચોકસાઈ પર ધ્યાન આપો</v>
      </c>
      <c r="AN301" s="5" t="str">
        <f ca="1">IFERROR(__xludf.DUMMYFUNCTION("IF(AB301 = """", """", GOOGLETRANSLATE(AB301, ""en"", ""gu""))"),"")</f>
        <v/>
      </c>
      <c r="AO301" s="5" t="str">
        <f ca="1">IFERROR(__xludf.DUMMYFUNCTION("IF(Y301 = """", """", GOOGLETRANSLATE(Y301, ""en"", ""bn""))"),"অতিরিক্ত কাজ সম্ভব")</f>
        <v>অতিরিক্ত কাজ সম্ভব</v>
      </c>
      <c r="AP301" s="5" t="str">
        <f ca="1">IFERROR(__xludf.DUMMYFUNCTION("IF(Z301 = """", """", GOOGLETRANSLATE(Z301, ""en"", ""bn""))"),"আশানুরূপ কাজ হয় না")</f>
        <v>আশানুরূপ কাজ হয় না</v>
      </c>
      <c r="AQ301" s="5" t="str">
        <f ca="1">IFERROR(__xludf.DUMMYFUNCTION("IF(AA301 = """", """", GOOGLETRANSLATE(AA301, ""en"", ""bn""))"),"নির্ভুলতার উপর ফোকাস করুন")</f>
        <v>নির্ভুলতার উপর ফোকাস করুন</v>
      </c>
      <c r="AR301" s="5" t="str">
        <f ca="1">IFERROR(__xludf.DUMMYFUNCTION("IF(AB301 = """", """", GOOGLETRANSLATE(AB301, ""en"", ""bn""))"),"")</f>
        <v/>
      </c>
      <c r="AU301" s="5" t="str">
        <f ca="1">IFERROR(__xludf.DUMMYFUNCTION("IF(Y301 = """", """", GOOGLETRANSLATE(Y301, ""en"", ""te""))"),"అధిక పని సాధ్యమే")</f>
        <v>అధిక పని సాధ్యమే</v>
      </c>
      <c r="AV301" s="5" t="str">
        <f ca="1">IFERROR(__xludf.DUMMYFUNCTION("IF(Z301 = """", """", GOOGLETRANSLATE(Z301, ""en"", ""te""))"),"ఆశించిన స్థాయిలో పని లేదు")</f>
        <v>ఆశించిన స్థాయిలో పని లేదు</v>
      </c>
      <c r="AW301" s="5" t="str">
        <f ca="1">IFERROR(__xludf.DUMMYFUNCTION("IF(AA301 = """", """", GOOGLETRANSLATE(AA301, ""en"", ""te""))"),"ఖచ్చితత్వంపై దృష్టి పెట్టండి")</f>
        <v>ఖచ్చితత్వంపై దృష్టి పెట్టండి</v>
      </c>
      <c r="AX301" s="5" t="str">
        <f ca="1">IFERROR(__xludf.DUMMYFUNCTION("IF(AB301 = """", """", GOOGLETRANSLATE(AB301, ""en"", ""te""))"),"")</f>
        <v/>
      </c>
    </row>
    <row r="302" spans="1:50" x14ac:dyDescent="0.25">
      <c r="A302" s="1">
        <v>317</v>
      </c>
      <c r="B302" s="1" t="s">
        <v>56</v>
      </c>
      <c r="C302" s="2">
        <v>45846</v>
      </c>
      <c r="D302" s="2">
        <v>45846</v>
      </c>
      <c r="E302" s="1">
        <v>11</v>
      </c>
      <c r="F302" s="1">
        <v>1</v>
      </c>
      <c r="G302" s="3" t="s">
        <v>848</v>
      </c>
      <c r="H302" s="4">
        <v>1.0532407407407407E-2</v>
      </c>
      <c r="I302" s="4">
        <v>4.5486111111111109E-3</v>
      </c>
      <c r="J302" s="4">
        <v>5.162037037037037E-3</v>
      </c>
      <c r="K302" s="1"/>
      <c r="L302" s="1" t="s">
        <v>76</v>
      </c>
      <c r="M302" s="1"/>
      <c r="N302" s="1"/>
      <c r="O302" s="1" t="s">
        <v>91</v>
      </c>
      <c r="P302" s="1" t="s">
        <v>61</v>
      </c>
      <c r="Q302" s="1" t="s">
        <v>61</v>
      </c>
      <c r="R302" s="1" t="s">
        <v>61</v>
      </c>
      <c r="S302" s="1" t="s">
        <v>61</v>
      </c>
      <c r="T302" s="1" t="s">
        <v>61</v>
      </c>
      <c r="U302" s="1" t="s">
        <v>61</v>
      </c>
      <c r="V302" s="1" t="s">
        <v>61</v>
      </c>
      <c r="W302" s="1" t="s">
        <v>61</v>
      </c>
      <c r="X302" s="1" t="s">
        <v>91</v>
      </c>
      <c r="Y302" s="1" t="s">
        <v>871</v>
      </c>
      <c r="Z302" s="1" t="s">
        <v>186</v>
      </c>
      <c r="AA302" s="1" t="s">
        <v>401</v>
      </c>
      <c r="AB302" s="1"/>
      <c r="AC302" s="5" t="str">
        <f ca="1">IFERROR(__xludf.DUMMYFUNCTION("IF(Y302 = """", """", GOOGLETRANSLATE(Y302, ""en"", ""hi""))
"),"खुश मिजाज")</f>
        <v>खुश मिजाज</v>
      </c>
      <c r="AD302" s="5" t="str">
        <f ca="1">IFERROR(__xludf.DUMMYFUNCTION("IF(Z302 = """", """", GOOGLETRANSLATE(Z302, ""en"", ""hi""))"),"बहस से बचें")</f>
        <v>बहस से बचें</v>
      </c>
      <c r="AE302" s="5" t="str">
        <f ca="1">IFERROR(__xludf.DUMMYFUNCTION("IF(AA302 = """", """", GOOGLETRANSLATE(AA302, ""en"", ""hi""))"),"अचानक खर्च की संभावना")</f>
        <v>अचानक खर्च की संभावना</v>
      </c>
      <c r="AF302" s="5" t="str">
        <f ca="1">IFERROR(__xludf.DUMMYFUNCTION("IF(AB302 = """", """", GOOGLETRANSLATE(AB302, ""en"", ""hi""))"),"")</f>
        <v/>
      </c>
      <c r="AG302" s="5" t="str">
        <f ca="1">IFERROR(__xludf.DUMMYFUNCTION("IF(Y302 = """", """", GOOGLETRANSLATE(Y302, ""en"", ""mr""))"),"आनंदी मूड")</f>
        <v>आनंदी मूड</v>
      </c>
      <c r="AH302" s="5" t="str">
        <f ca="1">IFERROR(__xludf.DUMMYFUNCTION("IF(Z302 = """", """", GOOGLETRANSLATE(Z302, ""en"", ""mr""))"),"वाद टाळा")</f>
        <v>वाद टाळा</v>
      </c>
      <c r="AI302" s="5" t="str">
        <f ca="1">IFERROR(__xludf.DUMMYFUNCTION("IF(AA302 = """", """", GOOGLETRANSLATE(AA302, ""en"", ""mr""))"),"अचानक खर्च होण्याची शक्यता")</f>
        <v>अचानक खर्च होण्याची शक्यता</v>
      </c>
      <c r="AJ302" s="5" t="str">
        <f ca="1">IFERROR(__xludf.DUMMYFUNCTION("IF(AB302 = """", """", GOOGLETRANSLATE(AB302, ""en"", ""mr""))"),"")</f>
        <v/>
      </c>
      <c r="AK302" s="5" t="str">
        <f ca="1">IFERROR(__xludf.DUMMYFUNCTION("IF(Y302 = """", """", GOOGLETRANSLATE(Y302, ""en"", ""gu""))"),"ખુશમિજાજ")</f>
        <v>ખુશમિજાજ</v>
      </c>
      <c r="AL302" s="5" t="str">
        <f ca="1">IFERROR(__xludf.DUMMYFUNCTION("IF(Z302 = """", """", GOOGLETRANSLATE(Z302, ""en"", ""gu""))"),"દલીલો ટાળો")</f>
        <v>દલીલો ટાળો</v>
      </c>
      <c r="AM302" s="5" t="str">
        <f ca="1">IFERROR(__xludf.DUMMYFUNCTION("IF(AA302 = """", """", GOOGLETRANSLATE(AA302, ""en"", ""gu""))"),"અચાનક ખર્ચ થવાની સંભાવના છે")</f>
        <v>અચાનક ખર્ચ થવાની સંભાવના છે</v>
      </c>
      <c r="AN302" s="5" t="str">
        <f ca="1">IFERROR(__xludf.DUMMYFUNCTION("IF(AB302 = """", """", GOOGLETRANSLATE(AB302, ""en"", ""gu""))"),"")</f>
        <v/>
      </c>
      <c r="AO302" s="5" t="str">
        <f ca="1">IFERROR(__xludf.DUMMYFUNCTION("IF(Y302 = """", """", GOOGLETRANSLATE(Y302, ""en"", ""bn""))"),"খুশি মেজাজ")</f>
        <v>খুশি মেজাজ</v>
      </c>
      <c r="AP302" s="5" t="str">
        <f ca="1">IFERROR(__xludf.DUMMYFUNCTION("IF(Z302 = """", """", GOOGLETRANSLATE(Z302, ""en"", ""bn""))"),"তর্ক এড়িয়ে চলুন")</f>
        <v>তর্ক এড়িয়ে চলুন</v>
      </c>
      <c r="AQ302" s="5" t="str">
        <f ca="1">IFERROR(__xludf.DUMMYFUNCTION("IF(AA302 = """", """", GOOGLETRANSLATE(AA302, ""en"", ""bn""))"),"আকস্মিক খরচের সম্ভাবনা")</f>
        <v>আকস্মিক খরচের সম্ভাবনা</v>
      </c>
      <c r="AR302" s="5" t="str">
        <f ca="1">IFERROR(__xludf.DUMMYFUNCTION("IF(AB302 = """", """", GOOGLETRANSLATE(AB302, ""en"", ""bn""))"),"")</f>
        <v/>
      </c>
      <c r="AU302" s="5" t="str">
        <f ca="1">IFERROR(__xludf.DUMMYFUNCTION("IF(Y302 = """", """", GOOGLETRANSLATE(Y302, ""en"", ""te""))"),"హ్యాపీ మూడ్")</f>
        <v>హ్యాపీ మూడ్</v>
      </c>
      <c r="AV302" s="5" t="str">
        <f ca="1">IFERROR(__xludf.DUMMYFUNCTION("IF(Z302 = """", """", GOOGLETRANSLATE(Z302, ""en"", ""te""))"),"వాదనలు మానుకోండి")</f>
        <v>వాదనలు మానుకోండి</v>
      </c>
      <c r="AW302" s="5" t="str">
        <f ca="1">IFERROR(__xludf.DUMMYFUNCTION("IF(AA302 = """", """", GOOGLETRANSLATE(AA302, ""en"", ""te""))"),"ఆకస్మిక ఖర్చులకు అవకాశం")</f>
        <v>ఆకస్మిక ఖర్చులకు అవకాశం</v>
      </c>
      <c r="AX302" s="5" t="str">
        <f ca="1">IFERROR(__xludf.DUMMYFUNCTION("IF(AB302 = """", """", GOOGLETRANSLATE(AB302, ""en"", ""te""))"),"")</f>
        <v/>
      </c>
    </row>
    <row r="303" spans="1:50" x14ac:dyDescent="0.25">
      <c r="A303" s="1">
        <v>318</v>
      </c>
      <c r="B303" s="1" t="s">
        <v>56</v>
      </c>
      <c r="C303" s="2">
        <v>45846</v>
      </c>
      <c r="D303" s="2">
        <v>45846</v>
      </c>
      <c r="E303" s="1">
        <v>12</v>
      </c>
      <c r="F303" s="1">
        <v>1</v>
      </c>
      <c r="G303" s="3" t="s">
        <v>848</v>
      </c>
      <c r="H303" s="4">
        <v>1.0532407407407407E-2</v>
      </c>
      <c r="I303" s="4">
        <v>5.162037037037037E-3</v>
      </c>
      <c r="J303" s="4">
        <v>5.4745370370370373E-3</v>
      </c>
      <c r="K303" s="1"/>
      <c r="L303" s="1" t="s">
        <v>79</v>
      </c>
      <c r="M303" s="1"/>
      <c r="N303" s="1"/>
      <c r="O303" s="1" t="s">
        <v>91</v>
      </c>
      <c r="P303" s="1" t="s">
        <v>61</v>
      </c>
      <c r="Q303" s="1" t="s">
        <v>61</v>
      </c>
      <c r="R303" s="1" t="s">
        <v>61</v>
      </c>
      <c r="S303" s="1" t="s">
        <v>61</v>
      </c>
      <c r="T303" s="1" t="s">
        <v>61</v>
      </c>
      <c r="U303" s="1" t="s">
        <v>61</v>
      </c>
      <c r="V303" s="1" t="s">
        <v>61</v>
      </c>
      <c r="W303" s="1" t="s">
        <v>61</v>
      </c>
      <c r="X303" s="1" t="s">
        <v>91</v>
      </c>
      <c r="Y303" s="1" t="s">
        <v>494</v>
      </c>
      <c r="Z303" s="1" t="s">
        <v>872</v>
      </c>
      <c r="AA303" s="1" t="s">
        <v>873</v>
      </c>
      <c r="AB303" s="1"/>
      <c r="AC303" s="5" t="str">
        <f ca="1">IFERROR(__xludf.DUMMYFUNCTION("IF(Y303 = """", """", GOOGLETRANSLATE(Y303, ""en"", ""hi""))
"),"परिवार का समर्थन")</f>
        <v>परिवार का समर्थन</v>
      </c>
      <c r="AD303" s="5" t="str">
        <f ca="1">IFERROR(__xludf.DUMMYFUNCTION("IF(Z303 = """", """", GOOGLETRANSLATE(Z303, ""en"", ""hi""))"),"बच्चों की चिंताएँ कम होती हैं")</f>
        <v>बच्चों की चिंताएँ कम होती हैं</v>
      </c>
      <c r="AE303" s="5" t="str">
        <f ca="1">IFERROR(__xludf.DUMMYFUNCTION("IF(AA303 = """", """", GOOGLETRANSLATE(AA303, ""en"", ""hi""))"),"सामाजिक कार्यक्रम की तैयारी आगे")</f>
        <v>सामाजिक कार्यक्रम की तैयारी आगे</v>
      </c>
      <c r="AF303" s="5" t="str">
        <f ca="1">IFERROR(__xludf.DUMMYFUNCTION("IF(AB303 = """", """", GOOGLETRANSLATE(AB303, ""en"", ""hi""))"),"")</f>
        <v/>
      </c>
      <c r="AG303" s="5" t="str">
        <f ca="1">IFERROR(__xludf.DUMMYFUNCTION("IF(Y303 = """", """", GOOGLETRANSLATE(Y303, ""en"", ""mr""))"),"कुटुंबाचा आधार मिळेल")</f>
        <v>कुटुंबाचा आधार मिळेल</v>
      </c>
      <c r="AH303" s="5" t="str">
        <f ca="1">IFERROR(__xludf.DUMMYFUNCTION("IF(Z303 = """", """", GOOGLETRANSLATE(Z303, ""en"", ""mr""))"),"मुलांची चिंता कमी होते")</f>
        <v>मुलांची चिंता कमी होते</v>
      </c>
      <c r="AI303" s="5" t="str">
        <f ca="1">IFERROR(__xludf.DUMMYFUNCTION("IF(AA303 = """", """", GOOGLETRANSLATE(AA303, ""en"", ""mr""))"),"सामाजिक कार्यक्रमाची पूर्व तयारी")</f>
        <v>सामाजिक कार्यक्रमाची पूर्व तयारी</v>
      </c>
      <c r="AJ303" s="5" t="str">
        <f ca="1">IFERROR(__xludf.DUMMYFUNCTION("IF(AB303 = """", """", GOOGLETRANSLATE(AB303, ""en"", ""mr""))"),"")</f>
        <v/>
      </c>
      <c r="AK303" s="5" t="str">
        <f ca="1">IFERROR(__xludf.DUMMYFUNCTION("IF(Y303 = """", """", GOOGLETRANSLATE(Y303, ""en"", ""gu""))"),"પરિવારનો સહયોગ મળે")</f>
        <v>પરિવારનો સહયોગ મળે</v>
      </c>
      <c r="AL303" s="5" t="str">
        <f ca="1">IFERROR(__xludf.DUMMYFUNCTION("IF(Z303 = """", """", GOOGLETRANSLATE(Z303, ""en"", ""gu""))"),"સંતાનની ચિંતા ઓછી થાય")</f>
        <v>સંતાનની ચિંતા ઓછી થાય</v>
      </c>
      <c r="AM303" s="5" t="str">
        <f ca="1">IFERROR(__xludf.DUMMYFUNCTION("IF(AA303 = """", """", GOOGLETRANSLATE(AA303, ""en"", ""gu""))"),"સામાજિક પ્રસંગની તૈયારી આગળ")</f>
        <v>સામાજિક પ્રસંગની તૈયારી આગળ</v>
      </c>
      <c r="AN303" s="5" t="str">
        <f ca="1">IFERROR(__xludf.DUMMYFUNCTION("IF(AB303 = """", """", GOOGLETRANSLATE(AB303, ""en"", ""gu""))"),"")</f>
        <v/>
      </c>
      <c r="AO303" s="5" t="str">
        <f ca="1">IFERROR(__xludf.DUMMYFUNCTION("IF(Y303 = """", """", GOOGLETRANSLATE(Y303, ""en"", ""bn""))"),"পরিবারের সমর্থন")</f>
        <v>পরিবারের সমর্থন</v>
      </c>
      <c r="AP303" s="5" t="str">
        <f ca="1">IFERROR(__xludf.DUMMYFUNCTION("IF(Z303 = """", """", GOOGLETRANSLATE(Z303, ""en"", ""bn""))"),"সন্তানের উদ্বেগ কমে যায়")</f>
        <v>সন্তানের উদ্বেগ কমে যায়</v>
      </c>
      <c r="AQ303" s="5" t="str">
        <f ca="1">IFERROR(__xludf.DUMMYFUNCTION("IF(AA303 = """", """", GOOGLETRANSLATE(AA303, ""en"", ""bn""))"),"সামনে সামাজিক অনুষ্ঠানের প্রস্তুতি")</f>
        <v>সামনে সামাজিক অনুষ্ঠানের প্রস্তুতি</v>
      </c>
      <c r="AR303" s="5" t="str">
        <f ca="1">IFERROR(__xludf.DUMMYFUNCTION("IF(AB303 = """", """", GOOGLETRANSLATE(AB303, ""en"", ""bn""))"),"")</f>
        <v/>
      </c>
      <c r="AU303" s="5" t="str">
        <f ca="1">IFERROR(__xludf.DUMMYFUNCTION("IF(Y303 = """", """", GOOGLETRANSLATE(Y303, ""en"", ""te""))"),"కుటుంబ మద్దతు")</f>
        <v>కుటుంబ మద్దతు</v>
      </c>
      <c r="AV303" s="5" t="str">
        <f ca="1">IFERROR(__xludf.DUMMYFUNCTION("IF(Z303 = """", """", GOOGLETRANSLATE(Z303, ""en"", ""te""))"),"పిల్లల ఆందోళనలు తగ్గుతాయి")</f>
        <v>పిల్లల ఆందోళనలు తగ్గుతాయి</v>
      </c>
      <c r="AW303" s="5" t="str">
        <f ca="1">IFERROR(__xludf.DUMMYFUNCTION("IF(AA303 = """", """", GOOGLETRANSLATE(AA303, ""en"", ""te""))"),"సామాజిక ఈవెంట్ ప్రిపరేషన్ ముందుంది")</f>
        <v>సామాజిక ఈవెంట్ ప్రిపరేషన్ ముందుంది</v>
      </c>
      <c r="AX303" s="5" t="str">
        <f ca="1">IFERROR(__xludf.DUMMYFUNCTION("IF(AB303 = """", """", GOOGLETRANSLATE(AB303, ""en"", ""te""))"),"")</f>
        <v/>
      </c>
    </row>
    <row r="304" spans="1:50" x14ac:dyDescent="0.25">
      <c r="A304" s="1">
        <v>319</v>
      </c>
      <c r="B304" s="1" t="s">
        <v>56</v>
      </c>
      <c r="C304" s="2">
        <v>45846</v>
      </c>
      <c r="D304" s="2">
        <v>45846</v>
      </c>
      <c r="E304" s="1">
        <v>13</v>
      </c>
      <c r="F304" s="1">
        <v>1</v>
      </c>
      <c r="G304" s="3" t="s">
        <v>848</v>
      </c>
      <c r="H304" s="4">
        <v>1.0532407407407407E-2</v>
      </c>
      <c r="I304" s="4">
        <v>5.4745370370370373E-3</v>
      </c>
      <c r="J304" s="4">
        <v>5.9027777777777776E-3</v>
      </c>
      <c r="K304" s="1"/>
      <c r="L304" s="1" t="s">
        <v>81</v>
      </c>
      <c r="M304" s="1"/>
      <c r="N304" s="1"/>
      <c r="O304" s="1" t="s">
        <v>91</v>
      </c>
      <c r="P304" s="1" t="s">
        <v>61</v>
      </c>
      <c r="Q304" s="1" t="s">
        <v>61</v>
      </c>
      <c r="R304" s="1" t="s">
        <v>61</v>
      </c>
      <c r="S304" s="1" t="s">
        <v>61</v>
      </c>
      <c r="T304" s="1" t="s">
        <v>61</v>
      </c>
      <c r="U304" s="1" t="s">
        <v>61</v>
      </c>
      <c r="V304" s="1" t="s">
        <v>91</v>
      </c>
      <c r="W304" s="1" t="s">
        <v>61</v>
      </c>
      <c r="X304" s="1" t="s">
        <v>61</v>
      </c>
      <c r="Y304" s="1" t="s">
        <v>874</v>
      </c>
      <c r="Z304" s="1" t="s">
        <v>875</v>
      </c>
      <c r="AA304" s="1" t="s">
        <v>706</v>
      </c>
      <c r="AB304" s="1"/>
      <c r="AC304" s="5" t="str">
        <f ca="1">IFERROR(__xludf.DUMMYFUNCTION("IF(Y304 = """", """", GOOGLETRANSLATE(Y304, ""en"", ""hi""))
"),"ज़िम्मेदारियाँ संभालें")</f>
        <v>ज़िम्मेदारियाँ संभालें</v>
      </c>
      <c r="AD304" s="5" t="str">
        <f ca="1">IFERROR(__xludf.DUMMYFUNCTION("IF(Z304 = """", """", GOOGLETRANSLATE(Z304, ""en"", ""hi""))"),"विदेशी कार्य के लिए अच्छा")</f>
        <v>विदेशी कार्य के लिए अच्छा</v>
      </c>
      <c r="AE304" s="5" t="str">
        <f ca="1">IFERROR(__xludf.DUMMYFUNCTION("IF(AA304 = """", """", GOOGLETRANSLATE(AA304, ""en"", ""hi""))"),"जल्दबाजी में निर्णय लेने से बचें")</f>
        <v>जल्दबाजी में निर्णय लेने से बचें</v>
      </c>
      <c r="AF304" s="5" t="str">
        <f ca="1">IFERROR(__xludf.DUMMYFUNCTION("IF(AB304 = """", """", GOOGLETRANSLATE(AB304, ""en"", ""hi""))"),"")</f>
        <v/>
      </c>
      <c r="AG304" s="5" t="str">
        <f ca="1">IFERROR(__xludf.DUMMYFUNCTION("IF(Y304 = """", """", GOOGLETRANSLATE(Y304, ""en"", ""mr""))"),"जबाबदाऱ्या सांभाळा")</f>
        <v>जबाबदाऱ्या सांभाळा</v>
      </c>
      <c r="AH304" s="5" t="str">
        <f ca="1">IFERROR(__xludf.DUMMYFUNCTION("IF(Z304 = """", """", GOOGLETRANSLATE(Z304, ""en"", ""mr""))"),"परदेशी कामासाठी चांगले")</f>
        <v>परदेशी कामासाठी चांगले</v>
      </c>
      <c r="AI304" s="5" t="str">
        <f ca="1">IFERROR(__xludf.DUMMYFUNCTION("IF(AA304 = """", """", GOOGLETRANSLATE(AA304, ""en"", ""mr""))"),"घाईघाईने घेतलेले निर्णय टाळा")</f>
        <v>घाईघाईने घेतलेले निर्णय टाळा</v>
      </c>
      <c r="AJ304" s="5" t="str">
        <f ca="1">IFERROR(__xludf.DUMMYFUNCTION("IF(AB304 = """", """", GOOGLETRANSLATE(AB304, ""en"", ""mr""))"),"")</f>
        <v/>
      </c>
      <c r="AK304" s="5" t="str">
        <f ca="1">IFERROR(__xludf.DUMMYFUNCTION("IF(Y304 = """", """", GOOGLETRANSLATE(Y304, ""en"", ""gu""))"),"જવાબદારીઓ સંભાળો")</f>
        <v>જવાબદારીઓ સંભાળો</v>
      </c>
      <c r="AL304" s="5" t="str">
        <f ca="1">IFERROR(__xludf.DUMMYFUNCTION("IF(Z304 = """", """", GOOGLETRANSLATE(Z304, ""en"", ""gu""))"),"વિદેશી કામ માટે સારું")</f>
        <v>વિદેશી કામ માટે સારું</v>
      </c>
      <c r="AM304" s="5" t="str">
        <f ca="1">IFERROR(__xludf.DUMMYFUNCTION("IF(AA304 = """", """", GOOGLETRANSLATE(AA304, ""en"", ""gu""))"),"ઉતાવળા નિર્ણયો ટાળો")</f>
        <v>ઉતાવળા નિર્ણયો ટાળો</v>
      </c>
      <c r="AN304" s="5" t="str">
        <f ca="1">IFERROR(__xludf.DUMMYFUNCTION("IF(AB304 = """", """", GOOGLETRANSLATE(AB304, ""en"", ""gu""))"),"")</f>
        <v/>
      </c>
      <c r="AO304" s="5" t="str">
        <f ca="1">IFERROR(__xludf.DUMMYFUNCTION("IF(Y304 = """", """", GOOGLETRANSLATE(Y304, ""en"", ""bn""))"),"দায়িত্ব সামলান")</f>
        <v>দায়িত্ব সামলান</v>
      </c>
      <c r="AP304" s="5" t="str">
        <f ca="1">IFERROR(__xludf.DUMMYFUNCTION("IF(Z304 = """", """", GOOGLETRANSLATE(Z304, ""en"", ""bn""))"),"বিদেশী কাজের জন্য ভালো")</f>
        <v>বিদেশী কাজের জন্য ভালো</v>
      </c>
      <c r="AQ304" s="5" t="str">
        <f ca="1">IFERROR(__xludf.DUMMYFUNCTION("IF(AA304 = """", """", GOOGLETRANSLATE(AA304, ""en"", ""bn""))"),"হুট করে সিদ্ধান্ত এড়িয়ে চলুন")</f>
        <v>হুট করে সিদ্ধান্ত এড়িয়ে চলুন</v>
      </c>
      <c r="AR304" s="5" t="str">
        <f ca="1">IFERROR(__xludf.DUMMYFUNCTION("IF(AB304 = """", """", GOOGLETRANSLATE(AB304, ""en"", ""bn""))"),"")</f>
        <v/>
      </c>
      <c r="AU304" s="5" t="str">
        <f ca="1">IFERROR(__xludf.DUMMYFUNCTION("IF(Y304 = """", """", GOOGLETRANSLATE(Y304, ""en"", ""te""))"),"బాధ్యతలు నిర్వహించండి")</f>
        <v>బాధ్యతలు నిర్వహించండి</v>
      </c>
      <c r="AV304" s="5" t="str">
        <f ca="1">IFERROR(__xludf.DUMMYFUNCTION("IF(Z304 = """", """", GOOGLETRANSLATE(Z304, ""en"", ""te""))"),"విదేశీ ఉద్యోగాలకు అనుకూలం")</f>
        <v>విదేశీ ఉద్యోగాలకు అనుకూలం</v>
      </c>
      <c r="AW304" s="5" t="str">
        <f ca="1">IFERROR(__xludf.DUMMYFUNCTION("IF(AA304 = """", """", GOOGLETRANSLATE(AA304, ""en"", ""te""))"),"తొందరపాటు నిర్ణయాలకు దూరంగా ఉండండి")</f>
        <v>తొందరపాటు నిర్ణయాలకు దూరంగా ఉండండి</v>
      </c>
      <c r="AX304" s="5" t="str">
        <f ca="1">IFERROR(__xludf.DUMMYFUNCTION("IF(AB304 = """", """", GOOGLETRANSLATE(AB304, ""en"", ""te""))"),"")</f>
        <v/>
      </c>
    </row>
    <row r="305" spans="1:50" x14ac:dyDescent="0.25">
      <c r="A305" s="1">
        <v>320</v>
      </c>
      <c r="B305" s="1" t="s">
        <v>56</v>
      </c>
      <c r="C305" s="2">
        <v>45846</v>
      </c>
      <c r="D305" s="2">
        <v>45846</v>
      </c>
      <c r="E305" s="1">
        <v>14</v>
      </c>
      <c r="F305" s="1">
        <v>1</v>
      </c>
      <c r="G305" s="3" t="s">
        <v>848</v>
      </c>
      <c r="H305" s="4">
        <v>1.0532407407407407E-2</v>
      </c>
      <c r="I305" s="4">
        <v>5.9027777777777776E-3</v>
      </c>
      <c r="J305" s="4">
        <v>1.0532407407407407E-2</v>
      </c>
      <c r="K305" s="1"/>
      <c r="L305" s="1" t="s">
        <v>137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 t="str">
        <f ca="1">IFERROR(__xludf.DUMMYFUNCTION("IF(Y305 = """", """", GOOGLETRANSLATE(Y305, ""en"", ""hi""))
"),"")</f>
        <v/>
      </c>
      <c r="AD305" s="5" t="str">
        <f ca="1">IFERROR(__xludf.DUMMYFUNCTION("IF(Z305 = """", """", GOOGLETRANSLATE(Z305, ""en"", ""hi""))"),"")</f>
        <v/>
      </c>
      <c r="AE305" s="5" t="str">
        <f ca="1">IFERROR(__xludf.DUMMYFUNCTION("IF(AA305 = """", """", GOOGLETRANSLATE(AA305, ""en"", ""hi""))"),"")</f>
        <v/>
      </c>
      <c r="AF305" s="5" t="str">
        <f ca="1">IFERROR(__xludf.DUMMYFUNCTION("IF(AB305 = """", """", GOOGLETRANSLATE(AB305, ""en"", ""hi""))"),"")</f>
        <v/>
      </c>
      <c r="AG305" s="5" t="str">
        <f ca="1">IFERROR(__xludf.DUMMYFUNCTION("IF(Y305 = """", """", GOOGLETRANSLATE(Y305, ""en"", ""mr""))"),"")</f>
        <v/>
      </c>
      <c r="AH305" s="5" t="str">
        <f ca="1">IFERROR(__xludf.DUMMYFUNCTION("IF(Z305 = """", """", GOOGLETRANSLATE(Z305, ""en"", ""mr""))"),"")</f>
        <v/>
      </c>
      <c r="AI305" s="5" t="str">
        <f ca="1">IFERROR(__xludf.DUMMYFUNCTION("IF(AA305 = """", """", GOOGLETRANSLATE(AA305, ""en"", ""mr""))"),"")</f>
        <v/>
      </c>
      <c r="AJ305" s="5" t="str">
        <f ca="1">IFERROR(__xludf.DUMMYFUNCTION("IF(AB305 = """", """", GOOGLETRANSLATE(AB305, ""en"", ""mr""))"),"")</f>
        <v/>
      </c>
      <c r="AK305" s="5" t="str">
        <f ca="1">IFERROR(__xludf.DUMMYFUNCTION("IF(Y305 = """", """", GOOGLETRANSLATE(Y305, ""en"", ""gu""))"),"")</f>
        <v/>
      </c>
      <c r="AL305" s="5" t="str">
        <f ca="1">IFERROR(__xludf.DUMMYFUNCTION("IF(Z305 = """", """", GOOGLETRANSLATE(Z305, ""en"", ""gu""))"),"")</f>
        <v/>
      </c>
      <c r="AM305" s="5" t="str">
        <f ca="1">IFERROR(__xludf.DUMMYFUNCTION("IF(AA305 = """", """", GOOGLETRANSLATE(AA305, ""en"", ""gu""))"),"")</f>
        <v/>
      </c>
      <c r="AN305" s="5" t="str">
        <f ca="1">IFERROR(__xludf.DUMMYFUNCTION("IF(AB305 = """", """", GOOGLETRANSLATE(AB305, ""en"", ""gu""))"),"")</f>
        <v/>
      </c>
      <c r="AO305" s="5" t="str">
        <f ca="1">IFERROR(__xludf.DUMMYFUNCTION("IF(Y305 = """", """", GOOGLETRANSLATE(Y305, ""en"", ""bn""))"),"")</f>
        <v/>
      </c>
      <c r="AP305" s="5" t="str">
        <f ca="1">IFERROR(__xludf.DUMMYFUNCTION("IF(Z305 = """", """", GOOGLETRANSLATE(Z305, ""en"", ""bn""))"),"")</f>
        <v/>
      </c>
      <c r="AQ305" s="5" t="str">
        <f ca="1">IFERROR(__xludf.DUMMYFUNCTION("IF(AA305 = """", """", GOOGLETRANSLATE(AA305, ""en"", ""bn""))"),"")</f>
        <v/>
      </c>
      <c r="AR305" s="5" t="str">
        <f ca="1">IFERROR(__xludf.DUMMYFUNCTION("IF(AB305 = """", """", GOOGLETRANSLATE(AB305, ""en"", ""bn""))"),"")</f>
        <v/>
      </c>
      <c r="AU305" s="5" t="str">
        <f ca="1">IFERROR(__xludf.DUMMYFUNCTION("IF(Y305 = """", """", GOOGLETRANSLATE(Y305, ""en"", ""te""))"),"")</f>
        <v/>
      </c>
      <c r="AV305" s="5" t="str">
        <f ca="1">IFERROR(__xludf.DUMMYFUNCTION("IF(Z305 = """", """", GOOGLETRANSLATE(Z305, ""en"", ""te""))"),"")</f>
        <v/>
      </c>
      <c r="AW305" s="5" t="str">
        <f ca="1">IFERROR(__xludf.DUMMYFUNCTION("IF(AA305 = """", """", GOOGLETRANSLATE(AA305, ""en"", ""te""))"),"")</f>
        <v/>
      </c>
      <c r="AX305" s="5" t="str">
        <f ca="1">IFERROR(__xludf.DUMMYFUNCTION("IF(AB305 = """", """", GOOGLETRANSLATE(AB305, ""en"", ""te""))"),"")</f>
        <v/>
      </c>
    </row>
    <row r="306" spans="1:50" x14ac:dyDescent="0.25">
      <c r="A306" s="1">
        <v>321</v>
      </c>
      <c r="B306" s="1" t="s">
        <v>56</v>
      </c>
      <c r="C306" s="2">
        <v>45847</v>
      </c>
      <c r="D306" s="2">
        <v>45847</v>
      </c>
      <c r="E306" s="1">
        <v>1</v>
      </c>
      <c r="F306" s="1">
        <v>1</v>
      </c>
      <c r="G306" s="3" t="s">
        <v>876</v>
      </c>
      <c r="H306" s="4">
        <v>1.0289351851851852E-2</v>
      </c>
      <c r="I306" s="4">
        <v>0</v>
      </c>
      <c r="J306" s="4">
        <v>8.1018518518518516E-4</v>
      </c>
      <c r="K306" s="1"/>
      <c r="L306" s="1" t="s">
        <v>59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 t="str">
        <f ca="1">IFERROR(__xludf.DUMMYFUNCTION("IF(Y306 = """", """", GOOGLETRANSLATE(Y306, ""en"", ""hi""))
"),"")</f>
        <v/>
      </c>
      <c r="AD306" s="5" t="str">
        <f ca="1">IFERROR(__xludf.DUMMYFUNCTION("IF(Z306 = """", """", GOOGLETRANSLATE(Z306, ""en"", ""hi""))"),"")</f>
        <v/>
      </c>
      <c r="AE306" s="5" t="str">
        <f ca="1">IFERROR(__xludf.DUMMYFUNCTION("IF(AA306 = """", """", GOOGLETRANSLATE(AA306, ""en"", ""hi""))"),"")</f>
        <v/>
      </c>
      <c r="AF306" s="5" t="str">
        <f ca="1">IFERROR(__xludf.DUMMYFUNCTION("IF(AB306 = """", """", GOOGLETRANSLATE(AB306, ""en"", ""hi""))"),"")</f>
        <v/>
      </c>
      <c r="AG306" s="5" t="str">
        <f ca="1">IFERROR(__xludf.DUMMYFUNCTION("IF(Y306 = """", """", GOOGLETRANSLATE(Y306, ""en"", ""mr""))"),"")</f>
        <v/>
      </c>
      <c r="AH306" s="5" t="str">
        <f ca="1">IFERROR(__xludf.DUMMYFUNCTION("IF(Z306 = """", """", GOOGLETRANSLATE(Z306, ""en"", ""mr""))"),"")</f>
        <v/>
      </c>
      <c r="AI306" s="5" t="str">
        <f ca="1">IFERROR(__xludf.DUMMYFUNCTION("IF(AA306 = """", """", GOOGLETRANSLATE(AA306, ""en"", ""mr""))"),"")</f>
        <v/>
      </c>
      <c r="AJ306" s="5" t="str">
        <f ca="1">IFERROR(__xludf.DUMMYFUNCTION("IF(AB306 = """", """", GOOGLETRANSLATE(AB306, ""en"", ""mr""))"),"")</f>
        <v/>
      </c>
      <c r="AK306" s="5" t="str">
        <f ca="1">IFERROR(__xludf.DUMMYFUNCTION("IF(Y306 = """", """", GOOGLETRANSLATE(Y306, ""en"", ""gu""))"),"")</f>
        <v/>
      </c>
      <c r="AL306" s="5" t="str">
        <f ca="1">IFERROR(__xludf.DUMMYFUNCTION("IF(Z306 = """", """", GOOGLETRANSLATE(Z306, ""en"", ""gu""))"),"")</f>
        <v/>
      </c>
      <c r="AM306" s="5" t="str">
        <f ca="1">IFERROR(__xludf.DUMMYFUNCTION("IF(AA306 = """", """", GOOGLETRANSLATE(AA306, ""en"", ""gu""))"),"")</f>
        <v/>
      </c>
      <c r="AN306" s="5" t="str">
        <f ca="1">IFERROR(__xludf.DUMMYFUNCTION("IF(AB306 = """", """", GOOGLETRANSLATE(AB306, ""en"", ""gu""))"),"")</f>
        <v/>
      </c>
      <c r="AO306" s="5" t="str">
        <f ca="1">IFERROR(__xludf.DUMMYFUNCTION("IF(Y306 = """", """", GOOGLETRANSLATE(Y306, ""en"", ""bn""))"),"")</f>
        <v/>
      </c>
      <c r="AP306" s="5" t="str">
        <f ca="1">IFERROR(__xludf.DUMMYFUNCTION("IF(Z306 = """", """", GOOGLETRANSLATE(Z306, ""en"", ""bn""))"),"")</f>
        <v/>
      </c>
      <c r="AQ306" s="5" t="str">
        <f ca="1">IFERROR(__xludf.DUMMYFUNCTION("IF(AA306 = """", """", GOOGLETRANSLATE(AA306, ""en"", ""bn""))"),"")</f>
        <v/>
      </c>
      <c r="AR306" s="5" t="str">
        <f ca="1">IFERROR(__xludf.DUMMYFUNCTION("IF(AB306 = """", """", GOOGLETRANSLATE(AB306, ""en"", ""bn""))"),"")</f>
        <v/>
      </c>
      <c r="AU306" s="5" t="str">
        <f ca="1">IFERROR(__xludf.DUMMYFUNCTION("IF(Y306 = """", """", GOOGLETRANSLATE(Y306, ""en"", ""te""))"),"")</f>
        <v/>
      </c>
      <c r="AV306" s="5" t="str">
        <f ca="1">IFERROR(__xludf.DUMMYFUNCTION("IF(Z306 = """", """", GOOGLETRANSLATE(Z306, ""en"", ""te""))"),"")</f>
        <v/>
      </c>
      <c r="AW306" s="5" t="str">
        <f ca="1">IFERROR(__xludf.DUMMYFUNCTION("IF(AA306 = """", """", GOOGLETRANSLATE(AA306, ""en"", ""te""))"),"")</f>
        <v/>
      </c>
      <c r="AX306" s="5" t="str">
        <f ca="1">IFERROR(__xludf.DUMMYFUNCTION("IF(AB306 = """", """", GOOGLETRANSLATE(AB306, ""en"", ""te""))"),"")</f>
        <v/>
      </c>
    </row>
    <row r="307" spans="1:50" x14ac:dyDescent="0.25">
      <c r="A307" s="1">
        <v>322</v>
      </c>
      <c r="B307" s="1" t="s">
        <v>56</v>
      </c>
      <c r="C307" s="2">
        <v>45847</v>
      </c>
      <c r="D307" s="2">
        <v>45847</v>
      </c>
      <c r="E307" s="1">
        <v>2</v>
      </c>
      <c r="F307" s="1">
        <v>1</v>
      </c>
      <c r="G307" s="3" t="s">
        <v>876</v>
      </c>
      <c r="H307" s="4">
        <v>1.0289351851851852E-2</v>
      </c>
      <c r="I307" s="4">
        <v>8.1018518518518516E-4</v>
      </c>
      <c r="J307" s="4">
        <v>1.5625000000000001E-3</v>
      </c>
      <c r="K307" s="1"/>
      <c r="L307" s="1" t="s">
        <v>142</v>
      </c>
      <c r="M307" s="1"/>
      <c r="N307" s="1"/>
      <c r="O307" s="1" t="s">
        <v>91</v>
      </c>
      <c r="P307" s="1" t="s">
        <v>61</v>
      </c>
      <c r="Q307" s="1" t="s">
        <v>61</v>
      </c>
      <c r="R307" s="1" t="s">
        <v>61</v>
      </c>
      <c r="S307" s="1" t="s">
        <v>61</v>
      </c>
      <c r="T307" s="1" t="s">
        <v>61</v>
      </c>
      <c r="U307" s="1" t="s">
        <v>61</v>
      </c>
      <c r="V307" s="1" t="s">
        <v>91</v>
      </c>
      <c r="W307" s="1" t="s">
        <v>61</v>
      </c>
      <c r="X307" s="1" t="s">
        <v>61</v>
      </c>
      <c r="Y307" s="1" t="s">
        <v>877</v>
      </c>
      <c r="Z307" s="1" t="s">
        <v>426</v>
      </c>
      <c r="AA307" s="1" t="s">
        <v>148</v>
      </c>
      <c r="AB307" s="1" t="s">
        <v>878</v>
      </c>
      <c r="AC307" s="5" t="str">
        <f ca="1">IFERROR(__xludf.DUMMYFUNCTION("IF(Y307 = """", """", GOOGLETRANSLATE(Y307, ""en"", ""hi""))
"),"तनाव कम करना")</f>
        <v>तनाव कम करना</v>
      </c>
      <c r="AD307" s="5" t="str">
        <f ca="1">IFERROR(__xludf.DUMMYFUNCTION("IF(Z307 = """", """", GOOGLETRANSLATE(Z307, ""en"", ""hi""))"),"लंबित कार्यों को पूरा करें")</f>
        <v>लंबित कार्यों को पूरा करें</v>
      </c>
      <c r="AE307" s="5" t="str">
        <f ca="1">IFERROR(__xludf.DUMMYFUNCTION("IF(AA307 = """", """", GOOGLETRANSLATE(AA307, ""en"", ""hi""))"),"विदेश में काम करना अनुकूल")</f>
        <v>विदेश में काम करना अनुकूल</v>
      </c>
      <c r="AF307" s="5" t="str">
        <f ca="1">IFERROR(__xludf.DUMMYFUNCTION("IF(AB307 = """", """", GOOGLETRANSLATE(AB307, ""en"", ""hi""))"),"आराम महसूस करें")</f>
        <v>आराम महसूस करें</v>
      </c>
      <c r="AG307" s="5" t="str">
        <f ca="1">IFERROR(__xludf.DUMMYFUNCTION("IF(Y307 = """", """", GOOGLETRANSLATE(Y307, ""en"", ""mr""))"),"ताण कमी करणे")</f>
        <v>ताण कमी करणे</v>
      </c>
      <c r="AH307" s="5" t="str">
        <f ca="1">IFERROR(__xludf.DUMMYFUNCTION("IF(Z307 = """", """", GOOGLETRANSLATE(Z307, ""en"", ""mr""))"),"प्रलंबित कामे पूर्ण करा")</f>
        <v>प्रलंबित कामे पूर्ण करा</v>
      </c>
      <c r="AI307" s="5" t="str">
        <f ca="1">IFERROR(__xludf.DUMMYFUNCTION("IF(AA307 = """", """", GOOGLETRANSLATE(AA307, ""en"", ""mr""))"),"परदेशातील कामांना अनुकूल")</f>
        <v>परदेशातील कामांना अनुकूल</v>
      </c>
      <c r="AJ307" s="5" t="str">
        <f ca="1">IFERROR(__xludf.DUMMYFUNCTION("IF(AB307 = """", """", GOOGLETRANSLATE(AB307, ""en"", ""mr""))"),"आराम वाटतो")</f>
        <v>आराम वाटतो</v>
      </c>
      <c r="AK307" s="5" t="str">
        <f ca="1">IFERROR(__xludf.DUMMYFUNCTION("IF(Y307 = """", """", GOOGLETRANSLATE(Y307, ""en"", ""gu""))"),"તણાવ ઘટાડવા")</f>
        <v>તણાવ ઘટાડવા</v>
      </c>
      <c r="AL307" s="5" t="str">
        <f ca="1">IFERROR(__xludf.DUMMYFUNCTION("IF(Z307 = """", """", GOOGLETRANSLATE(Z307, ""en"", ""gu""))"),"અટકેલા કાર્યો પૂરા કરો")</f>
        <v>અટકેલા કાર્યો પૂરા કરો</v>
      </c>
      <c r="AM307" s="5" t="str">
        <f ca="1">IFERROR(__xludf.DUMMYFUNCTION("IF(AA307 = """", """", GOOGLETRANSLATE(AA307, ""en"", ""gu""))"),"વિદેશમાં કામ માટે અનુકૂળ")</f>
        <v>વિદેશમાં કામ માટે અનુકૂળ</v>
      </c>
      <c r="AN307" s="5" t="str">
        <f ca="1">IFERROR(__xludf.DUMMYFUNCTION("IF(AB307 = """", """", GOOGLETRANSLATE(AB307, ""en"", ""gu""))"),"હળવાશ અનુભવો")</f>
        <v>હળવાશ અનુભવો</v>
      </c>
      <c r="AO307" s="5" t="str">
        <f ca="1">IFERROR(__xludf.DUMMYFUNCTION("IF(Y307 = """", """", GOOGLETRANSLATE(Y307, ""en"", ""bn""))"),"স্ট্রেস কমানো")</f>
        <v>স্ট্রেস কমানো</v>
      </c>
      <c r="AP307" s="5" t="str">
        <f ca="1">IFERROR(__xludf.DUMMYFUNCTION("IF(Z307 = """", """", GOOGLETRANSLATE(Z307, ""en"", ""bn""))"),"মুলতুবি কাজগুলি শেষ করুন")</f>
        <v>মুলতুবি কাজগুলি শেষ করুন</v>
      </c>
      <c r="AQ307" s="5" t="str">
        <f ca="1">IFERROR(__xludf.DUMMYFUNCTION("IF(AA307 = """", """", GOOGLETRANSLATE(AA307, ""en"", ""bn""))"),"বৈদেশিক কাজের অনুকূল")</f>
        <v>বৈদেশিক কাজের অনুকূল</v>
      </c>
      <c r="AR307" s="5" t="str">
        <f ca="1">IFERROR(__xludf.DUMMYFUNCTION("IF(AB307 = """", """", GOOGLETRANSLATE(AB307, ""en"", ""bn""))"),"স্বস্তি বোধ করুন")</f>
        <v>স্বস্তি বোধ করুন</v>
      </c>
      <c r="AU307" s="5" t="str">
        <f ca="1">IFERROR(__xludf.DUMMYFUNCTION("IF(Y307 = """", """", GOOGLETRANSLATE(Y307, ""en"", ""te""))"),"ఒత్తిడి తగ్గించడం")</f>
        <v>ఒత్తిడి తగ్గించడం</v>
      </c>
      <c r="AV307" s="5" t="str">
        <f ca="1">IFERROR(__xludf.DUMMYFUNCTION("IF(Z307 = """", """", GOOGLETRANSLATE(Z307, ""en"", ""te""))"),"పెండింగ్‌లో ఉన్న పనులను పూర్తి చేయండి")</f>
        <v>పెండింగ్‌లో ఉన్న పనులను పూర్తి చేయండి</v>
      </c>
      <c r="AW307" s="5" t="str">
        <f ca="1">IFERROR(__xludf.DUMMYFUNCTION("IF(AA307 = """", """", GOOGLETRANSLATE(AA307, ""en"", ""te""))"),"విదేశీ పనులకు అనుకూలం")</f>
        <v>విదేశీ పనులకు అనుకూలం</v>
      </c>
      <c r="AX307" s="5" t="str">
        <f ca="1">IFERROR(__xludf.DUMMYFUNCTION("IF(AB307 = """", """", GOOGLETRANSLATE(AB307, ""en"", ""te""))"),"రిలాక్స్‌గా ఫీల్ అవుతారు")</f>
        <v>రిలాక్స్‌గా ఫీల్ అవుతారు</v>
      </c>
    </row>
    <row r="308" spans="1:50" x14ac:dyDescent="0.25">
      <c r="A308" s="1">
        <v>323</v>
      </c>
      <c r="B308" s="1" t="s">
        <v>56</v>
      </c>
      <c r="C308" s="2">
        <v>45847</v>
      </c>
      <c r="D308" s="2">
        <v>45847</v>
      </c>
      <c r="E308" s="1">
        <v>3</v>
      </c>
      <c r="F308" s="1">
        <v>1</v>
      </c>
      <c r="G308" s="3" t="s">
        <v>876</v>
      </c>
      <c r="H308" s="4">
        <v>1.0289351851851852E-2</v>
      </c>
      <c r="I308" s="4">
        <v>1.5625000000000001E-3</v>
      </c>
      <c r="J308" s="4">
        <v>2.3379629629629631E-3</v>
      </c>
      <c r="K308" s="1"/>
      <c r="L308" s="1" t="s">
        <v>90</v>
      </c>
      <c r="M308" s="1"/>
      <c r="N308" s="1"/>
      <c r="O308" s="1" t="s">
        <v>61</v>
      </c>
      <c r="P308" s="1" t="s">
        <v>61</v>
      </c>
      <c r="Q308" s="1" t="s">
        <v>61</v>
      </c>
      <c r="R308" s="1" t="s">
        <v>61</v>
      </c>
      <c r="S308" s="1" t="s">
        <v>61</v>
      </c>
      <c r="T308" s="1" t="s">
        <v>61</v>
      </c>
      <c r="U308" s="1" t="s">
        <v>91</v>
      </c>
      <c r="V308" s="1" t="s">
        <v>61</v>
      </c>
      <c r="W308" s="1" t="s">
        <v>91</v>
      </c>
      <c r="X308" s="1" t="s">
        <v>61</v>
      </c>
      <c r="Y308" s="1" t="s">
        <v>879</v>
      </c>
      <c r="Z308" s="1" t="s">
        <v>880</v>
      </c>
      <c r="AA308" s="1" t="s">
        <v>881</v>
      </c>
      <c r="AB308" s="1"/>
      <c r="AC308" s="5" t="str">
        <f ca="1">IFERROR(__xludf.DUMMYFUNCTION("IF(Y308 = """", """", GOOGLETRANSLATE(Y308, ""en"", ""hi""))
"),"अप्रत्याशित परेशानियाँ")</f>
        <v>अप्रत्याशित परेशानियाँ</v>
      </c>
      <c r="AD308" s="5" t="str">
        <f ca="1">IFERROR(__xludf.DUMMYFUNCTION("IF(Z308 = """", """", GOOGLETRANSLATE(Z308, ""en"", ""hi""))"),"जोखिम से बचें और शांत रहें")</f>
        <v>जोखिम से बचें और शांत रहें</v>
      </c>
      <c r="AE308" s="5" t="str">
        <f ca="1">IFERROR(__xludf.DUMMYFUNCTION("IF(AA308 = """", """", GOOGLETRANSLATE(AA308, ""en"", ""hi""))"),"चीज़ें आपकी योजनाओं के विरुद्ध जा सकती हैं")</f>
        <v>चीज़ें आपकी योजनाओं के विरुद्ध जा सकती हैं</v>
      </c>
      <c r="AF308" s="5" t="str">
        <f ca="1">IFERROR(__xludf.DUMMYFUNCTION("IF(AB308 = """", """", GOOGLETRANSLATE(AB308, ""en"", ""hi""))"),"")</f>
        <v/>
      </c>
      <c r="AG308" s="5" t="str">
        <f ca="1">IFERROR(__xludf.DUMMYFUNCTION("IF(Y308 = """", """", GOOGLETRANSLATE(Y308, ""en"", ""mr""))"),"अनपेक्षित त्रास")</f>
        <v>अनपेक्षित त्रास</v>
      </c>
      <c r="AH308" s="5" t="str">
        <f ca="1">IFERROR(__xludf.DUMMYFUNCTION("IF(Z308 = """", """", GOOGLETRANSLATE(Z308, ""en"", ""mr""))"),"जोखीम टाळा आणि शांत राहा")</f>
        <v>जोखीम टाळा आणि शांत राहा</v>
      </c>
      <c r="AI308" s="5" t="str">
        <f ca="1">IFERROR(__xludf.DUMMYFUNCTION("IF(AA308 = """", """", GOOGLETRANSLATE(AA308, ""en"", ""mr""))"),"गोष्टी तुमच्या योजनांच्या विरोधात जाऊ शकतात")</f>
        <v>गोष्टी तुमच्या योजनांच्या विरोधात जाऊ शकतात</v>
      </c>
      <c r="AJ308" s="5" t="str">
        <f ca="1">IFERROR(__xludf.DUMMYFUNCTION("IF(AB308 = """", """", GOOGLETRANSLATE(AB308, ""en"", ""mr""))"),"")</f>
        <v/>
      </c>
      <c r="AK308" s="5" t="str">
        <f ca="1">IFERROR(__xludf.DUMMYFUNCTION("IF(Y308 = """", """", GOOGLETRANSLATE(Y308, ""en"", ""gu""))"),"અણધારી મુશ્કેલીઓ")</f>
        <v>અણધારી મુશ્કેલીઓ</v>
      </c>
      <c r="AL308" s="5" t="str">
        <f ca="1">IFERROR(__xludf.DUMMYFUNCTION("IF(Z308 = """", """", GOOGLETRANSLATE(Z308, ""en"", ""gu""))"),"જોખમો ટાળો અને શાંત રહો")</f>
        <v>જોખમો ટાળો અને શાંત રહો</v>
      </c>
      <c r="AM308" s="5" t="str">
        <f ca="1">IFERROR(__xludf.DUMMYFUNCTION("IF(AA308 = """", """", GOOGLETRANSLATE(AA308, ""en"", ""gu""))"),"વસ્તુઓ તમારી યોજનાઓ વિરુદ્ધ જઈ શકે છે")</f>
        <v>વસ્તુઓ તમારી યોજનાઓ વિરુદ્ધ જઈ શકે છે</v>
      </c>
      <c r="AN308" s="5" t="str">
        <f ca="1">IFERROR(__xludf.DUMMYFUNCTION("IF(AB308 = """", """", GOOGLETRANSLATE(AB308, ""en"", ""gu""))"),"")</f>
        <v/>
      </c>
      <c r="AO308" s="5" t="str">
        <f ca="1">IFERROR(__xludf.DUMMYFUNCTION("IF(Y308 = """", """", GOOGLETRANSLATE(Y308, ""en"", ""bn""))"),"অপ্রত্যাশিত ঝামেলা")</f>
        <v>অপ্রত্যাশিত ঝামেলা</v>
      </c>
      <c r="AP308" s="5" t="str">
        <f ca="1">IFERROR(__xludf.DUMMYFUNCTION("IF(Z308 = """", """", GOOGLETRANSLATE(Z308, ""en"", ""bn""))"),"ঝুঁকি এড়িয়ে চলুন এবং শান্ত থাকুন")</f>
        <v>ঝুঁকি এড়িয়ে চলুন এবং শান্ত থাকুন</v>
      </c>
      <c r="AQ308" s="5" t="str">
        <f ca="1">IFERROR(__xludf.DUMMYFUNCTION("IF(AA308 = """", """", GOOGLETRANSLATE(AA308, ""en"", ""bn""))"),"জিনিসগুলি আপনার পরিকল্পনার বিরুদ্ধে যেতে পারে")</f>
        <v>জিনিসগুলি আপনার পরিকল্পনার বিরুদ্ধে যেতে পারে</v>
      </c>
      <c r="AR308" s="5" t="str">
        <f ca="1">IFERROR(__xludf.DUMMYFUNCTION("IF(AB308 = """", """", GOOGLETRANSLATE(AB308, ""en"", ""bn""))"),"")</f>
        <v/>
      </c>
      <c r="AU308" s="5" t="str">
        <f ca="1">IFERROR(__xludf.DUMMYFUNCTION("IF(Y308 = """", """", GOOGLETRANSLATE(Y308, ""en"", ""te""))"),"అనుకోని ఇబ్బందులు")</f>
        <v>అనుకోని ఇబ్బందులు</v>
      </c>
      <c r="AV308" s="5" t="str">
        <f ca="1">IFERROR(__xludf.DUMMYFUNCTION("IF(Z308 = """", """", GOOGLETRANSLATE(Z308, ""en"", ""te""))"),"ప్రమాదాలను నివారించండి మరియు ప్రశాంతంగా ఉండండి")</f>
        <v>ప్రమాదాలను నివారించండి మరియు ప్రశాంతంగా ఉండండి</v>
      </c>
      <c r="AW308" s="5" t="str">
        <f ca="1">IFERROR(__xludf.DUMMYFUNCTION("IF(AA308 = """", """", GOOGLETRANSLATE(AA308, ""en"", ""te""))"),"విషయాలు మీ ప్రణాళికలకు విరుద్ధంగా ఉండవచ్చు")</f>
        <v>విషయాలు మీ ప్రణాళికలకు విరుద్ధంగా ఉండవచ్చు</v>
      </c>
      <c r="AX308" s="5" t="str">
        <f ca="1">IFERROR(__xludf.DUMMYFUNCTION("IF(AB308 = """", """", GOOGLETRANSLATE(AB308, ""en"", ""te""))"),"")</f>
        <v/>
      </c>
    </row>
    <row r="309" spans="1:50" x14ac:dyDescent="0.25">
      <c r="A309" s="1">
        <v>324</v>
      </c>
      <c r="B309" s="1" t="s">
        <v>56</v>
      </c>
      <c r="C309" s="2">
        <v>45847</v>
      </c>
      <c r="D309" s="2">
        <v>45847</v>
      </c>
      <c r="E309" s="1">
        <v>4</v>
      </c>
      <c r="F309" s="1">
        <v>1</v>
      </c>
      <c r="G309" s="3" t="s">
        <v>876</v>
      </c>
      <c r="H309" s="4">
        <v>1.0289351851851852E-2</v>
      </c>
      <c r="I309" s="4">
        <v>2.3379629629629631E-3</v>
      </c>
      <c r="J309" s="4">
        <v>2.7314814814814814E-3</v>
      </c>
      <c r="K309" s="1"/>
      <c r="L309" s="1" t="s">
        <v>97</v>
      </c>
      <c r="M309" s="1"/>
      <c r="N309" s="1"/>
      <c r="O309" s="1" t="s">
        <v>91</v>
      </c>
      <c r="P309" s="1" t="s">
        <v>61</v>
      </c>
      <c r="Q309" s="1" t="s">
        <v>61</v>
      </c>
      <c r="R309" s="1" t="s">
        <v>61</v>
      </c>
      <c r="S309" s="1" t="s">
        <v>61</v>
      </c>
      <c r="T309" s="1" t="s">
        <v>61</v>
      </c>
      <c r="U309" s="1" t="s">
        <v>61</v>
      </c>
      <c r="V309" s="1" t="s">
        <v>91</v>
      </c>
      <c r="W309" s="1" t="s">
        <v>61</v>
      </c>
      <c r="X309" s="1" t="s">
        <v>61</v>
      </c>
      <c r="Y309" s="1" t="s">
        <v>882</v>
      </c>
      <c r="Z309" s="1" t="s">
        <v>883</v>
      </c>
      <c r="AA309" s="1" t="s">
        <v>884</v>
      </c>
      <c r="AB309" s="1"/>
      <c r="AC309" s="5" t="str">
        <f ca="1">IFERROR(__xludf.DUMMYFUNCTION("IF(Y309 = """", """", GOOGLETRANSLATE(Y309, ""en"", ""hi""))
"),"पुराने कार्यों को पूरा करने के लिए अच्छा")</f>
        <v>पुराने कार्यों को पूरा करने के लिए अच्छा</v>
      </c>
      <c r="AD309" s="5" t="str">
        <f ca="1">IFERROR(__xludf.DUMMYFUNCTION("IF(Z309 = """", """", GOOGLETRANSLATE(Z309, ""en"", ""hi""))"),"विदेशी कार्य")</f>
        <v>विदेशी कार्य</v>
      </c>
      <c r="AE309" s="5" t="str">
        <f ca="1">IFERROR(__xludf.DUMMYFUNCTION("IF(AA309 = """", """", GOOGLETRANSLATE(AA309, ""en"", ""hi""))"),"उत्सव की तैयारी और खर्च")</f>
        <v>उत्सव की तैयारी और खर्च</v>
      </c>
      <c r="AF309" s="5" t="str">
        <f ca="1">IFERROR(__xludf.DUMMYFUNCTION("IF(AB309 = """", """", GOOGLETRANSLATE(AB309, ""en"", ""hi""))"),"")</f>
        <v/>
      </c>
      <c r="AG309" s="5" t="str">
        <f ca="1">IFERROR(__xludf.DUMMYFUNCTION("IF(Y309 = """", """", GOOGLETRANSLATE(Y309, ""en"", ""mr""))"),"जुनी कामे पूर्ण करण्यासाठी उत्तम")</f>
        <v>जुनी कामे पूर्ण करण्यासाठी उत्तम</v>
      </c>
      <c r="AH309" s="5" t="str">
        <f ca="1">IFERROR(__xludf.DUMMYFUNCTION("IF(Z309 = """", """", GOOGLETRANSLATE(Z309, ""en"", ""mr""))"),"परदेशी काम")</f>
        <v>परदेशी काम</v>
      </c>
      <c r="AI309" s="5" t="str">
        <f ca="1">IFERROR(__xludf.DUMMYFUNCTION("IF(AA309 = """", """", GOOGLETRANSLATE(AA309, ""en"", ""mr""))"),"उत्सवाची तयारी आणि खर्च")</f>
        <v>उत्सवाची तयारी आणि खर्च</v>
      </c>
      <c r="AJ309" s="5" t="str">
        <f ca="1">IFERROR(__xludf.DUMMYFUNCTION("IF(AB309 = """", """", GOOGLETRANSLATE(AB309, ""en"", ""mr""))"),"")</f>
        <v/>
      </c>
      <c r="AK309" s="5" t="str">
        <f ca="1">IFERROR(__xludf.DUMMYFUNCTION("IF(Y309 = """", """", GOOGLETRANSLATE(Y309, ""en"", ""gu""))"),"જૂના કાર્યો પૂરા કરવા માટે સારું")</f>
        <v>જૂના કાર્યો પૂરા કરવા માટે સારું</v>
      </c>
      <c r="AL309" s="5" t="str">
        <f ca="1">IFERROR(__xludf.DUMMYFUNCTION("IF(Z309 = """", """", GOOGLETRANSLATE(Z309, ""en"", ""gu""))"),"વિદેશી કામ")</f>
        <v>વિદેશી કામ</v>
      </c>
      <c r="AM309" s="5" t="str">
        <f ca="1">IFERROR(__xludf.DUMMYFUNCTION("IF(AA309 = """", """", GOOGLETRANSLATE(AA309, ""en"", ""gu""))"),"ઉજવણીની તૈયારી અને ખર્ચ")</f>
        <v>ઉજવણીની તૈયારી અને ખર્ચ</v>
      </c>
      <c r="AN309" s="5" t="str">
        <f ca="1">IFERROR(__xludf.DUMMYFUNCTION("IF(AB309 = """", """", GOOGLETRANSLATE(AB309, ""en"", ""gu""))"),"")</f>
        <v/>
      </c>
      <c r="AO309" s="5" t="str">
        <f ca="1">IFERROR(__xludf.DUMMYFUNCTION("IF(Y309 = """", """", GOOGLETRANSLATE(Y309, ""en"", ""bn""))"),"পুরানো কাজ শেষ করার জন্য ভাল")</f>
        <v>পুরানো কাজ শেষ করার জন্য ভাল</v>
      </c>
      <c r="AP309" s="5" t="str">
        <f ca="1">IFERROR(__xludf.DUMMYFUNCTION("IF(Z309 = """", """", GOOGLETRANSLATE(Z309, ""en"", ""bn""))"),"বিদেশী কাজ")</f>
        <v>বিদেশী কাজ</v>
      </c>
      <c r="AQ309" s="5" t="str">
        <f ca="1">IFERROR(__xludf.DUMMYFUNCTION("IF(AA309 = """", """", GOOGLETRANSLATE(AA309, ""en"", ""bn""))"),"উদযাপনের প্রস্তুতি এবং খরচ")</f>
        <v>উদযাপনের প্রস্তুতি এবং খরচ</v>
      </c>
      <c r="AR309" s="5" t="str">
        <f ca="1">IFERROR(__xludf.DUMMYFUNCTION("IF(AB309 = """", """", GOOGLETRANSLATE(AB309, ""en"", ""bn""))"),"")</f>
        <v/>
      </c>
      <c r="AU309" s="5" t="str">
        <f ca="1">IFERROR(__xludf.DUMMYFUNCTION("IF(Y309 = """", """", GOOGLETRANSLATE(Y309, ""en"", ""te""))"),"పాత పనులు పూర్తి చేయడం మంచిది")</f>
        <v>పాత పనులు పూర్తి చేయడం మంచిది</v>
      </c>
      <c r="AV309" s="5" t="str">
        <f ca="1">IFERROR(__xludf.DUMMYFUNCTION("IF(Z309 = """", """", GOOGLETRANSLATE(Z309, ""en"", ""te""))"),"విదేశీ పని")</f>
        <v>విదేశీ పని</v>
      </c>
      <c r="AW309" s="5" t="str">
        <f ca="1">IFERROR(__xludf.DUMMYFUNCTION("IF(AA309 = """", """", GOOGLETRANSLATE(AA309, ""en"", ""te""))"),"వేడుకల తయారీ మరియు ఖర్చులు")</f>
        <v>వేడుకల తయారీ మరియు ఖర్చులు</v>
      </c>
      <c r="AX309" s="5" t="str">
        <f ca="1">IFERROR(__xludf.DUMMYFUNCTION("IF(AB309 = """", """", GOOGLETRANSLATE(AB309, ""en"", ""te""))"),"")</f>
        <v/>
      </c>
    </row>
    <row r="310" spans="1:50" x14ac:dyDescent="0.25">
      <c r="A310" s="1">
        <v>325</v>
      </c>
      <c r="B310" s="1" t="s">
        <v>56</v>
      </c>
      <c r="C310" s="2">
        <v>45847</v>
      </c>
      <c r="D310" s="2">
        <v>45847</v>
      </c>
      <c r="E310" s="1">
        <v>5</v>
      </c>
      <c r="F310" s="1">
        <v>1</v>
      </c>
      <c r="G310" s="3" t="s">
        <v>876</v>
      </c>
      <c r="H310" s="4">
        <v>1.0289351851851852E-2</v>
      </c>
      <c r="I310" s="4">
        <v>2.7314814814814814E-3</v>
      </c>
      <c r="J310" s="4">
        <v>3.3217592592592591E-3</v>
      </c>
      <c r="K310" s="1"/>
      <c r="L310" s="1" t="s">
        <v>102</v>
      </c>
      <c r="M310" s="1"/>
      <c r="N310" s="1"/>
      <c r="O310" s="1" t="s">
        <v>61</v>
      </c>
      <c r="P310" s="1" t="s">
        <v>61</v>
      </c>
      <c r="Q310" s="1" t="s">
        <v>61</v>
      </c>
      <c r="R310" s="1" t="s">
        <v>91</v>
      </c>
      <c r="S310" s="1" t="s">
        <v>61</v>
      </c>
      <c r="T310" s="1" t="s">
        <v>61</v>
      </c>
      <c r="U310" s="1" t="s">
        <v>61</v>
      </c>
      <c r="V310" s="1" t="s">
        <v>91</v>
      </c>
      <c r="W310" s="1" t="s">
        <v>61</v>
      </c>
      <c r="X310" s="1" t="s">
        <v>61</v>
      </c>
      <c r="Y310" s="1" t="s">
        <v>885</v>
      </c>
      <c r="Z310" s="1" t="s">
        <v>153</v>
      </c>
      <c r="AA310" s="1" t="s">
        <v>811</v>
      </c>
      <c r="AB310" s="1"/>
      <c r="AC310" s="5" t="str">
        <f ca="1">IFERROR(__xludf.DUMMYFUNCTION("IF(Y310 = """", """", GOOGLETRANSLATE(Y310, ""en"", ""hi""))
"),"आंतरिक संघर्ष")</f>
        <v>आंतरिक संघर्ष</v>
      </c>
      <c r="AD310" s="5" t="str">
        <f ca="1">IFERROR(__xludf.DUMMYFUNCTION("IF(Z310 = """", """", GOOGLETRANSLATE(Z310, ""en"", ""hi""))"),"बड़े फैसले लेने से बचें")</f>
        <v>बड़े फैसले लेने से बचें</v>
      </c>
      <c r="AE310" s="5" t="str">
        <f ca="1">IFERROR(__xludf.DUMMYFUNCTION("IF(AA310 = """", """", GOOGLETRANSLATE(AA310, ""en"", ""hi""))"),"नियमित कार्य शांतिपूर्वक करें")</f>
        <v>नियमित कार्य शांतिपूर्वक करें</v>
      </c>
      <c r="AF310" s="5" t="str">
        <f ca="1">IFERROR(__xludf.DUMMYFUNCTION("IF(AB310 = """", """", GOOGLETRANSLATE(AB310, ""en"", ""hi""))"),"")</f>
        <v/>
      </c>
      <c r="AG310" s="5" t="str">
        <f ca="1">IFERROR(__xludf.DUMMYFUNCTION("IF(Y310 = """", """", GOOGLETRANSLATE(Y310, ""en"", ""mr""))"),"अंतर्गत संघर्ष")</f>
        <v>अंतर्गत संघर्ष</v>
      </c>
      <c r="AH310" s="5" t="str">
        <f ca="1">IFERROR(__xludf.DUMMYFUNCTION("IF(Z310 = """", """", GOOGLETRANSLATE(Z310, ""en"", ""mr""))"),"मोठे निर्णय टाळा")</f>
        <v>मोठे निर्णय टाळा</v>
      </c>
      <c r="AI310" s="5" t="str">
        <f ca="1">IFERROR(__xludf.DUMMYFUNCTION("IF(AA310 = """", """", GOOGLETRANSLATE(AA310, ""en"", ""mr""))"),"नियमित काम शांतपणे करा")</f>
        <v>नियमित काम शांतपणे करा</v>
      </c>
      <c r="AJ310" s="5" t="str">
        <f ca="1">IFERROR(__xludf.DUMMYFUNCTION("IF(AB310 = """", """", GOOGLETRANSLATE(AB310, ""en"", ""mr""))"),"")</f>
        <v/>
      </c>
      <c r="AK310" s="5" t="str">
        <f ca="1">IFERROR(__xludf.DUMMYFUNCTION("IF(Y310 = """", """", GOOGLETRANSLATE(Y310, ""en"", ""gu""))"),"આંતરિક સંઘર્ષ")</f>
        <v>આંતરિક સંઘર્ષ</v>
      </c>
      <c r="AL310" s="5" t="str">
        <f ca="1">IFERROR(__xludf.DUMMYFUNCTION("IF(Z310 = """", """", GOOGLETRANSLATE(Z310, ""en"", ""gu""))"),"મોટા નિર્ણયો ટાળો")</f>
        <v>મોટા નિર્ણયો ટાળો</v>
      </c>
      <c r="AM310" s="5" t="str">
        <f ca="1">IFERROR(__xludf.DUMMYFUNCTION("IF(AA310 = """", """", GOOGLETRANSLATE(AA310, ""en"", ""gu""))"),"નિયમિત કામ શાંતિથી કરો")</f>
        <v>નિયમિત કામ શાંતિથી કરો</v>
      </c>
      <c r="AN310" s="5" t="str">
        <f ca="1">IFERROR(__xludf.DUMMYFUNCTION("IF(AB310 = """", """", GOOGLETRANSLATE(AB310, ""en"", ""gu""))"),"")</f>
        <v/>
      </c>
      <c r="AO310" s="5" t="str">
        <f ca="1">IFERROR(__xludf.DUMMYFUNCTION("IF(Y310 = """", """", GOOGLETRANSLATE(Y310, ""en"", ""bn""))"),"অভ্যন্তরীণ দ্বন্দ্ব")</f>
        <v>অভ্যন্তরীণ দ্বন্দ্ব</v>
      </c>
      <c r="AP310" s="5" t="str">
        <f ca="1">IFERROR(__xludf.DUMMYFUNCTION("IF(Z310 = """", """", GOOGLETRANSLATE(Z310, ""en"", ""bn""))"),"বড় সিদ্ধান্ত এড়িয়ে চলুন")</f>
        <v>বড় সিদ্ধান্ত এড়িয়ে চলুন</v>
      </c>
      <c r="AQ310" s="5" t="str">
        <f ca="1">IFERROR(__xludf.DUMMYFUNCTION("IF(AA310 = """", """", GOOGLETRANSLATE(AA310, ""en"", ""bn""))"),"শান্তভাবে রুটিন কাজ করুন")</f>
        <v>শান্তভাবে রুটিন কাজ করুন</v>
      </c>
      <c r="AR310" s="5" t="str">
        <f ca="1">IFERROR(__xludf.DUMMYFUNCTION("IF(AB310 = """", """", GOOGLETRANSLATE(AB310, ""en"", ""bn""))"),"")</f>
        <v/>
      </c>
      <c r="AU310" s="5" t="str">
        <f ca="1">IFERROR(__xludf.DUMMYFUNCTION("IF(Y310 = """", """", GOOGLETRANSLATE(Y310, ""en"", ""te""))"),"అంతర్గత సంఘర్షణ")</f>
        <v>అంతర్గత సంఘర్షణ</v>
      </c>
      <c r="AV310" s="5" t="str">
        <f ca="1">IFERROR(__xludf.DUMMYFUNCTION("IF(Z310 = """", """", GOOGLETRANSLATE(Z310, ""en"", ""te""))"),"ప్రధాన నిర్ణయాలకు దూరంగా ఉండండి")</f>
        <v>ప్రధాన నిర్ణయాలకు దూరంగా ఉండండి</v>
      </c>
      <c r="AW310" s="5" t="str">
        <f ca="1">IFERROR(__xludf.DUMMYFUNCTION("IF(AA310 = """", """", GOOGLETRANSLATE(AA310, ""en"", ""te""))"),"సాధారణ పనిని ప్రశాంతంగా చేయండి")</f>
        <v>సాధారణ పనిని ప్రశాంతంగా చేయండి</v>
      </c>
      <c r="AX310" s="5" t="str">
        <f ca="1">IFERROR(__xludf.DUMMYFUNCTION("IF(AB310 = """", """", GOOGLETRANSLATE(AB310, ""en"", ""te""))"),"")</f>
        <v/>
      </c>
    </row>
    <row r="311" spans="1:50" x14ac:dyDescent="0.25">
      <c r="A311" s="1">
        <v>326</v>
      </c>
      <c r="B311" s="1" t="s">
        <v>56</v>
      </c>
      <c r="C311" s="2">
        <v>45847</v>
      </c>
      <c r="D311" s="2">
        <v>45847</v>
      </c>
      <c r="E311" s="1">
        <v>6</v>
      </c>
      <c r="F311" s="1">
        <v>1</v>
      </c>
      <c r="G311" s="3" t="s">
        <v>876</v>
      </c>
      <c r="H311" s="4">
        <v>1.0289351851851852E-2</v>
      </c>
      <c r="I311" s="4">
        <v>3.3217592592592591E-3</v>
      </c>
      <c r="J311" s="4">
        <v>3.7615740740740739E-3</v>
      </c>
      <c r="K311" s="1"/>
      <c r="L311" s="1" t="s">
        <v>108</v>
      </c>
      <c r="M311" s="1"/>
      <c r="N311" s="1"/>
      <c r="O311" s="1" t="s">
        <v>91</v>
      </c>
      <c r="P311" s="1" t="s">
        <v>61</v>
      </c>
      <c r="Q311" s="1" t="s">
        <v>61</v>
      </c>
      <c r="R311" s="1" t="s">
        <v>61</v>
      </c>
      <c r="S311" s="1" t="s">
        <v>61</v>
      </c>
      <c r="T311" s="1" t="s">
        <v>61</v>
      </c>
      <c r="U311" s="1" t="s">
        <v>61</v>
      </c>
      <c r="V311" s="1" t="s">
        <v>91</v>
      </c>
      <c r="W311" s="1" t="s">
        <v>61</v>
      </c>
      <c r="X311" s="1" t="s">
        <v>61</v>
      </c>
      <c r="Y311" s="1" t="s">
        <v>886</v>
      </c>
      <c r="Z311" s="1" t="s">
        <v>517</v>
      </c>
      <c r="AA311" s="1" t="s">
        <v>887</v>
      </c>
      <c r="AB311" s="1"/>
      <c r="AC311" s="5" t="str">
        <f ca="1">IFERROR(__xludf.DUMMYFUNCTION("IF(Y311 = """", """", GOOGLETRANSLATE(Y311, ""en"", ""hi""))
"),"तनाव से उबरना")</f>
        <v>तनाव से उबरना</v>
      </c>
      <c r="AD311" s="5" t="str">
        <f ca="1">IFERROR(__xludf.DUMMYFUNCTION("IF(Z311 = """", """", GOOGLETRANSLATE(Z311, ""en"", ""hi""))"),"परिवार से समर्थन")</f>
        <v>परिवार से समर्थन</v>
      </c>
      <c r="AE311" s="5" t="str">
        <f ca="1">IFERROR(__xludf.DUMMYFUNCTION("IF(AA311 = """", """", GOOGLETRANSLATE(AA311, ""en"", ""hi""))"),"कुछ खर्चे लेकिन उत्पादक")</f>
        <v>कुछ खर्चे लेकिन उत्पादक</v>
      </c>
      <c r="AF311" s="5" t="str">
        <f ca="1">IFERROR(__xludf.DUMMYFUNCTION("IF(AB311 = """", """", GOOGLETRANSLATE(AB311, ""en"", ""hi""))"),"")</f>
        <v/>
      </c>
      <c r="AG311" s="5" t="str">
        <f ca="1">IFERROR(__xludf.DUMMYFUNCTION("IF(Y311 = """", """", GOOGLETRANSLATE(Y311, ""en"", ""mr""))"),"तणावातून पुनर्प्राप्ती")</f>
        <v>तणावातून पुनर्प्राप्ती</v>
      </c>
      <c r="AH311" s="5" t="str">
        <f ca="1">IFERROR(__xludf.DUMMYFUNCTION("IF(Z311 = """", """", GOOGLETRANSLATE(Z311, ""en"", ""mr""))"),"कुटुंबाकडून सहकार्य मिळेल")</f>
        <v>कुटुंबाकडून सहकार्य मिळेल</v>
      </c>
      <c r="AI311" s="5" t="str">
        <f ca="1">IFERROR(__xludf.DUMMYFUNCTION("IF(AA311 = """", """", GOOGLETRANSLATE(AA311, ""en"", ""mr""))"),"काही खर्च पण उत्पादक")</f>
        <v>काही खर्च पण उत्पादक</v>
      </c>
      <c r="AJ311" s="5" t="str">
        <f ca="1">IFERROR(__xludf.DUMMYFUNCTION("IF(AB311 = """", """", GOOGLETRANSLATE(AB311, ""en"", ""mr""))"),"")</f>
        <v/>
      </c>
      <c r="AK311" s="5" t="str">
        <f ca="1">IFERROR(__xludf.DUMMYFUNCTION("IF(Y311 = """", """", GOOGLETRANSLATE(Y311, ""en"", ""gu""))"),"તણાવમાંથી પુનઃપ્રાપ્તિ")</f>
        <v>તણાવમાંથી પુનઃપ્રાપ્તિ</v>
      </c>
      <c r="AL311" s="5" t="str">
        <f ca="1">IFERROR(__xludf.DUMMYFUNCTION("IF(Z311 = """", """", GOOGLETRANSLATE(Z311, ""en"", ""gu""))"),"પરિવાર તરફથી સહયોગ મળશે")</f>
        <v>પરિવાર તરફથી સહયોગ મળશે</v>
      </c>
      <c r="AM311" s="5" t="str">
        <f ca="1">IFERROR(__xludf.DUMMYFUNCTION("IF(AA311 = """", """", GOOGLETRANSLATE(AA311, ""en"", ""gu""))"),"કેટલાક ખર્ચ પરંતુ ઉત્પાદક")</f>
        <v>કેટલાક ખર્ચ પરંતુ ઉત્પાદક</v>
      </c>
      <c r="AN311" s="5" t="str">
        <f ca="1">IFERROR(__xludf.DUMMYFUNCTION("IF(AB311 = """", """", GOOGLETRANSLATE(AB311, ""en"", ""gu""))"),"")</f>
        <v/>
      </c>
      <c r="AO311" s="5" t="str">
        <f ca="1">IFERROR(__xludf.DUMMYFUNCTION("IF(Y311 = """", """", GOOGLETRANSLATE(Y311, ""en"", ""bn""))"),"মানসিক চাপ থেকে পুনরুদ্ধার")</f>
        <v>মানসিক চাপ থেকে পুনরুদ্ধার</v>
      </c>
      <c r="AP311" s="5" t="str">
        <f ca="1">IFERROR(__xludf.DUMMYFUNCTION("IF(Z311 = """", """", GOOGLETRANSLATE(Z311, ""en"", ""bn""))"),"পরিবার থেকে সমর্থন")</f>
        <v>পরিবার থেকে সমর্থন</v>
      </c>
      <c r="AQ311" s="5" t="str">
        <f ca="1">IFERROR(__xludf.DUMMYFUNCTION("IF(AA311 = """", """", GOOGLETRANSLATE(AA311, ""en"", ""bn""))"),"কিছু খরচ কিন্তু উত্পাদনশীল")</f>
        <v>কিছু খরচ কিন্তু উত্পাদনশীল</v>
      </c>
      <c r="AR311" s="5" t="str">
        <f ca="1">IFERROR(__xludf.DUMMYFUNCTION("IF(AB311 = """", """", GOOGLETRANSLATE(AB311, ""en"", ""bn""))"),"")</f>
        <v/>
      </c>
      <c r="AU311" s="5" t="str">
        <f ca="1">IFERROR(__xludf.DUMMYFUNCTION("IF(Y311 = """", """", GOOGLETRANSLATE(Y311, ""en"", ""te""))"),"ఒత్తిడి నుండి కోలుకోవడం")</f>
        <v>ఒత్తిడి నుండి కోలుకోవడం</v>
      </c>
      <c r="AV311" s="5" t="str">
        <f ca="1">IFERROR(__xludf.DUMMYFUNCTION("IF(Z311 = """", """", GOOGLETRANSLATE(Z311, ""en"", ""te""))"),"కుటుంబం నుండి మద్దతు")</f>
        <v>కుటుంబం నుండి మద్దతు</v>
      </c>
      <c r="AW311" s="5" t="str">
        <f ca="1">IFERROR(__xludf.DUMMYFUNCTION("IF(AA311 = """", """", GOOGLETRANSLATE(AA311, ""en"", ""te""))"),"కొన్ని ఖర్చులు కానీ ఉత్పాదకమైనవి")</f>
        <v>కొన్ని ఖర్చులు కానీ ఉత్పాదకమైనవి</v>
      </c>
      <c r="AX311" s="5" t="str">
        <f ca="1">IFERROR(__xludf.DUMMYFUNCTION("IF(AB311 = """", """", GOOGLETRANSLATE(AB311, ""en"", ""te""))"),"")</f>
        <v/>
      </c>
    </row>
    <row r="312" spans="1:50" x14ac:dyDescent="0.25">
      <c r="A312" s="1">
        <v>327</v>
      </c>
      <c r="B312" s="1" t="s">
        <v>56</v>
      </c>
      <c r="C312" s="2">
        <v>45847</v>
      </c>
      <c r="D312" s="2">
        <v>45847</v>
      </c>
      <c r="E312" s="1">
        <v>7</v>
      </c>
      <c r="F312" s="1">
        <v>1</v>
      </c>
      <c r="G312" s="3" t="s">
        <v>876</v>
      </c>
      <c r="H312" s="4">
        <v>1.0289351851851852E-2</v>
      </c>
      <c r="I312" s="4">
        <v>3.7615740740740739E-3</v>
      </c>
      <c r="J312" s="4">
        <v>4.1898148148148146E-3</v>
      </c>
      <c r="K312" s="1"/>
      <c r="L312" s="1" t="s">
        <v>113</v>
      </c>
      <c r="M312" s="1"/>
      <c r="N312" s="1"/>
      <c r="O312" s="1" t="s">
        <v>61</v>
      </c>
      <c r="P312" s="1" t="s">
        <v>61</v>
      </c>
      <c r="Q312" s="1" t="s">
        <v>61</v>
      </c>
      <c r="R312" s="1" t="s">
        <v>61</v>
      </c>
      <c r="S312" s="1" t="s">
        <v>61</v>
      </c>
      <c r="T312" s="1" t="s">
        <v>91</v>
      </c>
      <c r="U312" s="1" t="s">
        <v>61</v>
      </c>
      <c r="V312" s="1" t="s">
        <v>61</v>
      </c>
      <c r="W312" s="1" t="s">
        <v>91</v>
      </c>
      <c r="X312" s="1" t="s">
        <v>61</v>
      </c>
      <c r="Y312" s="1" t="s">
        <v>531</v>
      </c>
      <c r="Z312" s="1" t="s">
        <v>888</v>
      </c>
      <c r="AA312" s="1" t="s">
        <v>742</v>
      </c>
      <c r="AB312" s="1" t="s">
        <v>889</v>
      </c>
      <c r="AC312" s="5" t="str">
        <f ca="1">IFERROR(__xludf.DUMMYFUNCTION("IF(Y312 = """", """", GOOGLETRANSLATE(Y312, ""en"", ""hi""))
"),"उकसावे से बचें")</f>
        <v>उकसावे से बचें</v>
      </c>
      <c r="AD312" s="5" t="str">
        <f ca="1">IFERROR(__xludf.DUMMYFUNCTION("IF(Z312 = """", """", GOOGLETRANSLATE(Z312, ""en"", ""hi""))"),"कोई नेतृत्व नहीं")</f>
        <v>कोई नेतृत्व नहीं</v>
      </c>
      <c r="AE312" s="5" t="str">
        <f ca="1">IFERROR(__xludf.DUMMYFUNCTION("IF(AA312 = """", """", GOOGLETRANSLATE(AA312, ""en"", ""hi""))"),"चुप रहो")</f>
        <v>चुप रहो</v>
      </c>
      <c r="AF312" s="5" t="str">
        <f ca="1">IFERROR(__xludf.DUMMYFUNCTION("IF(AB312 = """", """", GOOGLETRANSLATE(AB312, ""en"", ""hi""))"),"दिनचर्या पर ध्यान दें")</f>
        <v>दिनचर्या पर ध्यान दें</v>
      </c>
      <c r="AG312" s="5" t="str">
        <f ca="1">IFERROR(__xludf.DUMMYFUNCTION("IF(Y312 = """", """", GOOGLETRANSLATE(Y312, ""en"", ""mr""))"),"चिथावणी देणे टाळा")</f>
        <v>चिथावणी देणे टाळा</v>
      </c>
      <c r="AH312" s="5" t="str">
        <f ca="1">IFERROR(__xludf.DUMMYFUNCTION("IF(Z312 = """", """", GOOGLETRANSLATE(Z312, ""en"", ""mr""))"),"नेतृत्व नाही")</f>
        <v>नेतृत्व नाही</v>
      </c>
      <c r="AI312" s="5" t="str">
        <f ca="1">IFERROR(__xludf.DUMMYFUNCTION("IF(AA312 = """", """", GOOGLETRANSLATE(AA312, ""en"", ""mr""))"),"गप्प राहा")</f>
        <v>गप्प राहा</v>
      </c>
      <c r="AJ312" s="5" t="str">
        <f ca="1">IFERROR(__xludf.DUMMYFUNCTION("IF(AB312 = """", """", GOOGLETRANSLATE(AB312, ""en"", ""mr""))"),"दिनचर्येवर लक्ष केंद्रित करा")</f>
        <v>दिनचर्येवर लक्ष केंद्रित करा</v>
      </c>
      <c r="AK312" s="5" t="str">
        <f ca="1">IFERROR(__xludf.DUMMYFUNCTION("IF(Y312 = """", """", GOOGLETRANSLATE(Y312, ""en"", ""gu""))"),"ઉશ્કેરણી ટાળો")</f>
        <v>ઉશ્કેરણી ટાળો</v>
      </c>
      <c r="AL312" s="5" t="str">
        <f ca="1">IFERROR(__xludf.DUMMYFUNCTION("IF(Z312 = """", """", GOOGLETRANSLATE(Z312, ""en"", ""gu""))"),"નેતૃત્વ નથી")</f>
        <v>નેતૃત્વ નથી</v>
      </c>
      <c r="AM312" s="5" t="str">
        <f ca="1">IFERROR(__xludf.DUMMYFUNCTION("IF(AA312 = """", """", GOOGLETRANSLATE(AA312, ""en"", ""gu""))"),"મૌન રહો")</f>
        <v>મૌન રહો</v>
      </c>
      <c r="AN312" s="5" t="str">
        <f ca="1">IFERROR(__xludf.DUMMYFUNCTION("IF(AB312 = """", """", GOOGLETRANSLATE(AB312, ""en"", ""gu""))"),"રૂટિન પર ધ્યાન આપો")</f>
        <v>રૂટિન પર ધ્યાન આપો</v>
      </c>
      <c r="AO312" s="5" t="str">
        <f ca="1">IFERROR(__xludf.DUMMYFUNCTION("IF(Y312 = """", """", GOOGLETRANSLATE(Y312, ""en"", ""bn""))"),"উস্কানি এড়িয়ে চলুন")</f>
        <v>উস্কানি এড়িয়ে চলুন</v>
      </c>
      <c r="AP312" s="5" t="str">
        <f ca="1">IFERROR(__xludf.DUMMYFUNCTION("IF(Z312 = """", """", GOOGLETRANSLATE(Z312, ""en"", ""bn""))"),"নেতৃত্ব নেই")</f>
        <v>নেতৃত্ব নেই</v>
      </c>
      <c r="AQ312" s="5" t="str">
        <f ca="1">IFERROR(__xludf.DUMMYFUNCTION("IF(AA312 = """", """", GOOGLETRANSLATE(AA312, ""en"", ""bn""))"),"চুপ থাক")</f>
        <v>চুপ থাক</v>
      </c>
      <c r="AR312" s="5" t="str">
        <f ca="1">IFERROR(__xludf.DUMMYFUNCTION("IF(AB312 = """", """", GOOGLETRANSLATE(AB312, ""en"", ""bn""))"),"রুটিনে মনোযোগ দিন")</f>
        <v>রুটিনে মনোযোগ দিন</v>
      </c>
      <c r="AU312" s="5" t="str">
        <f ca="1">IFERROR(__xludf.DUMMYFUNCTION("IF(Y312 = """", """", GOOGLETRANSLATE(Y312, ""en"", ""te""))"),"రెచ్చగొట్టడం మానుకోండి")</f>
        <v>రెచ్చగొట్టడం మానుకోండి</v>
      </c>
      <c r="AV312" s="5" t="str">
        <f ca="1">IFERROR(__xludf.DUMMYFUNCTION("IF(Z312 = """", """", GOOGLETRANSLATE(Z312, ""en"", ""te""))"),"నాయకత్వం లేదు")</f>
        <v>నాయకత్వం లేదు</v>
      </c>
      <c r="AW312" s="5" t="str">
        <f ca="1">IFERROR(__xludf.DUMMYFUNCTION("IF(AA312 = """", """", GOOGLETRANSLATE(AA312, ""en"", ""te""))"),"మౌనంగా ఉండు")</f>
        <v>మౌనంగా ఉండు</v>
      </c>
      <c r="AX312" s="5" t="str">
        <f ca="1">IFERROR(__xludf.DUMMYFUNCTION("IF(AB312 = """", """", GOOGLETRANSLATE(AB312, ""en"", ""te""))"),"దినచర్యపై దృష్టి పెట్టండి")</f>
        <v>దినచర్యపై దృష్టి పెట్టండి</v>
      </c>
    </row>
    <row r="313" spans="1:50" x14ac:dyDescent="0.25">
      <c r="A313" s="1">
        <v>328</v>
      </c>
      <c r="B313" s="1" t="s">
        <v>56</v>
      </c>
      <c r="C313" s="2">
        <v>45847</v>
      </c>
      <c r="D313" s="2">
        <v>45847</v>
      </c>
      <c r="E313" s="1">
        <v>8</v>
      </c>
      <c r="F313" s="1">
        <v>1</v>
      </c>
      <c r="G313" s="3" t="s">
        <v>876</v>
      </c>
      <c r="H313" s="4">
        <v>1.0289351851851852E-2</v>
      </c>
      <c r="I313" s="4">
        <v>4.1898148148148146E-3</v>
      </c>
      <c r="J313" s="4">
        <v>4.6759259259259263E-3</v>
      </c>
      <c r="K313" s="1"/>
      <c r="L313" s="1" t="s">
        <v>64</v>
      </c>
      <c r="M313" s="1"/>
      <c r="N313" s="1"/>
      <c r="O313" s="1" t="s">
        <v>91</v>
      </c>
      <c r="P313" s="1" t="s">
        <v>61</v>
      </c>
      <c r="Q313" s="1" t="s">
        <v>61</v>
      </c>
      <c r="R313" s="1" t="s">
        <v>61</v>
      </c>
      <c r="S313" s="1" t="s">
        <v>61</v>
      </c>
      <c r="T313" s="1" t="s">
        <v>61</v>
      </c>
      <c r="U313" s="1" t="s">
        <v>61</v>
      </c>
      <c r="V313" s="1" t="s">
        <v>91</v>
      </c>
      <c r="W313" s="1" t="s">
        <v>61</v>
      </c>
      <c r="X313" s="1" t="s">
        <v>61</v>
      </c>
      <c r="Y313" s="1" t="s">
        <v>890</v>
      </c>
      <c r="Z313" s="1" t="s">
        <v>891</v>
      </c>
      <c r="AA313" s="1" t="s">
        <v>892</v>
      </c>
      <c r="AB313" s="1"/>
      <c r="AC313" s="5" t="str">
        <f ca="1">IFERROR(__xludf.DUMMYFUNCTION("IF(Y313 = """", """", GOOGLETRANSLATE(Y313, ""en"", ""hi""))
"),"करियर के विचार")</f>
        <v>करियर के विचार</v>
      </c>
      <c r="AD313" s="5" t="str">
        <f ca="1">IFERROR(__xludf.DUMMYFUNCTION("IF(Z313 = """", """", GOOGLETRANSLATE(Z313, ""en"", ""hi""))"),"विदेशी कार्यों का समर्थन किया")</f>
        <v>विदेशी कार्यों का समर्थन किया</v>
      </c>
      <c r="AE313" s="5" t="str">
        <f ca="1">IFERROR(__xludf.DUMMYFUNCTION("IF(AA313 = """", """", GOOGLETRANSLATE(AA313, ""en"", ""hi""))"),"सम्मान में वृद्धि")</f>
        <v>सम्मान में वृद्धि</v>
      </c>
      <c r="AF313" s="5" t="str">
        <f ca="1">IFERROR(__xludf.DUMMYFUNCTION("IF(AB313 = """", """", GOOGLETRANSLATE(AB313, ""en"", ""hi""))"),"")</f>
        <v/>
      </c>
      <c r="AG313" s="5" t="str">
        <f ca="1">IFERROR(__xludf.DUMMYFUNCTION("IF(Y313 = """", """", GOOGLETRANSLATE(Y313, ""en"", ""mr""))"),"करिअरच्या कल्पना")</f>
        <v>करिअरच्या कल्पना</v>
      </c>
      <c r="AH313" s="5" t="str">
        <f ca="1">IFERROR(__xludf.DUMMYFUNCTION("IF(Z313 = """", """", GOOGLETRANSLATE(Z313, ""en"", ""mr""))"),"परदेशातील कामांना साथ मिळेल")</f>
        <v>परदेशातील कामांना साथ मिळेल</v>
      </c>
      <c r="AI313" s="5" t="str">
        <f ca="1">IFERROR(__xludf.DUMMYFUNCTION("IF(AA313 = """", """", GOOGLETRANSLATE(AA313, ""en"", ""mr""))"),"मान वाढेल")</f>
        <v>मान वाढेल</v>
      </c>
      <c r="AJ313" s="5" t="str">
        <f ca="1">IFERROR(__xludf.DUMMYFUNCTION("IF(AB313 = """", """", GOOGLETRANSLATE(AB313, ""en"", ""mr""))"),"")</f>
        <v/>
      </c>
      <c r="AK313" s="5" t="str">
        <f ca="1">IFERROR(__xludf.DUMMYFUNCTION("IF(Y313 = """", """", GOOGLETRANSLATE(Y313, ""en"", ""gu""))"),"કારકિર્દી વિચારો")</f>
        <v>કારકિર્દી વિચારો</v>
      </c>
      <c r="AL313" s="5" t="str">
        <f ca="1">IFERROR(__xludf.DUMMYFUNCTION("IF(Z313 = """", """", GOOGLETRANSLATE(Z313, ""en"", ""gu""))"),"વિદેશી કાર્યોમાં સહયોગ મળે")</f>
        <v>વિદેશી કાર્યોમાં સહયોગ મળે</v>
      </c>
      <c r="AM313" s="5" t="str">
        <f ca="1">IFERROR(__xludf.DUMMYFUNCTION("IF(AA313 = """", """", GOOGLETRANSLATE(AA313, ""en"", ""gu""))"),"માન-સન્માનમાં વધારો થાય")</f>
        <v>માન-સન્માનમાં વધારો થાય</v>
      </c>
      <c r="AN313" s="5" t="str">
        <f ca="1">IFERROR(__xludf.DUMMYFUNCTION("IF(AB313 = """", """", GOOGLETRANSLATE(AB313, ""en"", ""gu""))"),"")</f>
        <v/>
      </c>
      <c r="AO313" s="5" t="str">
        <f ca="1">IFERROR(__xludf.DUMMYFUNCTION("IF(Y313 = """", """", GOOGLETRANSLATE(Y313, ""en"", ""bn""))"),"ক্যারিয়ারের ধারণা")</f>
        <v>ক্যারিয়ারের ধারণা</v>
      </c>
      <c r="AP313" s="5" t="str">
        <f ca="1">IFERROR(__xludf.DUMMYFUNCTION("IF(Z313 = """", """", GOOGLETRANSLATE(Z313, ""en"", ""bn""))"),"বিদেশী কাজ সমর্থিত")</f>
        <v>বিদেশী কাজ সমর্থিত</v>
      </c>
      <c r="AQ313" s="5" t="str">
        <f ca="1">IFERROR(__xludf.DUMMYFUNCTION("IF(AA313 = """", """", GOOGLETRANSLATE(AA313, ""en"", ""bn""))"),"সম্মান বৃদ্ধি")</f>
        <v>সম্মান বৃদ্ধি</v>
      </c>
      <c r="AR313" s="5" t="str">
        <f ca="1">IFERROR(__xludf.DUMMYFUNCTION("IF(AB313 = """", """", GOOGLETRANSLATE(AB313, ""en"", ""bn""))"),"")</f>
        <v/>
      </c>
      <c r="AU313" s="5" t="str">
        <f ca="1">IFERROR(__xludf.DUMMYFUNCTION("IF(Y313 = """", """", GOOGLETRANSLATE(Y313, ""en"", ""te""))"),"కెరీర్ ఆలోచనలు")</f>
        <v>కెరీర్ ఆలోచనలు</v>
      </c>
      <c r="AV313" s="5" t="str">
        <f ca="1">IFERROR(__xludf.DUMMYFUNCTION("IF(Z313 = """", """", GOOGLETRANSLATE(Z313, ""en"", ""te""))"),"విదేశీ పనులకు మద్దతు లభిస్తుంది")</f>
        <v>విదేశీ పనులకు మద్దతు లభిస్తుంది</v>
      </c>
      <c r="AW313" s="5" t="str">
        <f ca="1">IFERROR(__xludf.DUMMYFUNCTION("IF(AA313 = """", """", GOOGLETRANSLATE(AA313, ""en"", ""te""))"),"గౌరవం పెరుగుతుంది")</f>
        <v>గౌరవం పెరుగుతుంది</v>
      </c>
      <c r="AX313" s="5" t="str">
        <f ca="1">IFERROR(__xludf.DUMMYFUNCTION("IF(AB313 = """", """", GOOGLETRANSLATE(AB313, ""en"", ""te""))"),"")</f>
        <v/>
      </c>
    </row>
    <row r="314" spans="1:50" x14ac:dyDescent="0.25">
      <c r="A314" s="1">
        <v>329</v>
      </c>
      <c r="B314" s="1" t="s">
        <v>56</v>
      </c>
      <c r="C314" s="2">
        <v>45847</v>
      </c>
      <c r="D314" s="2">
        <v>45847</v>
      </c>
      <c r="E314" s="1">
        <v>9</v>
      </c>
      <c r="F314" s="1">
        <v>1</v>
      </c>
      <c r="G314" s="3" t="s">
        <v>876</v>
      </c>
      <c r="H314" s="4">
        <v>1.0289351851851852E-2</v>
      </c>
      <c r="I314" s="4">
        <v>4.6759259259259263E-3</v>
      </c>
      <c r="J314" s="4">
        <v>4.9537037037037041E-3</v>
      </c>
      <c r="K314" s="1"/>
      <c r="L314" s="1" t="s">
        <v>68</v>
      </c>
      <c r="M314" s="1"/>
      <c r="N314" s="1"/>
      <c r="O314" s="1" t="s">
        <v>91</v>
      </c>
      <c r="P314" s="1" t="s">
        <v>61</v>
      </c>
      <c r="Q314" s="1" t="s">
        <v>61</v>
      </c>
      <c r="R314" s="1" t="s">
        <v>61</v>
      </c>
      <c r="S314" s="1" t="s">
        <v>61</v>
      </c>
      <c r="T314" s="1" t="s">
        <v>61</v>
      </c>
      <c r="U314" s="1" t="s">
        <v>61</v>
      </c>
      <c r="V314" s="1" t="s">
        <v>61</v>
      </c>
      <c r="W314" s="1" t="s">
        <v>91</v>
      </c>
      <c r="X314" s="1" t="s">
        <v>61</v>
      </c>
      <c r="Y314" s="1" t="s">
        <v>893</v>
      </c>
      <c r="Z314" s="1" t="s">
        <v>894</v>
      </c>
      <c r="AA314" s="1"/>
      <c r="AB314" s="1"/>
      <c r="AC314" s="5" t="str">
        <f ca="1">IFERROR(__xludf.DUMMYFUNCTION("IF(Y314 = """", """", GOOGLETRANSLATE(Y314, ""en"", ""hi""))
"),"तनाव महसूस हो सकता है कार्य-जीवन संतुलन प्रबंधित करें और बुद्धि का उपयोग करें")</f>
        <v>तनाव महसूस हो सकता है कार्य-जीवन संतुलन प्रबंधित करें और बुद्धि का उपयोग करें</v>
      </c>
      <c r="AD314" s="5" t="str">
        <f ca="1">IFERROR(__xludf.DUMMYFUNCTION("IF(Z314 = """", """", GOOGLETRANSLATE(Z314, ""en"", ""hi""))"),"शाम को थकान संभव")</f>
        <v>शाम को थकान संभव</v>
      </c>
      <c r="AE314" s="5" t="str">
        <f ca="1">IFERROR(__xludf.DUMMYFUNCTION("IF(AA314 = """", """", GOOGLETRANSLATE(AA314, ""en"", ""hi""))"),"")</f>
        <v/>
      </c>
      <c r="AF314" s="5" t="str">
        <f ca="1">IFERROR(__xludf.DUMMYFUNCTION("IF(AB314 = """", """", GOOGLETRANSLATE(AB314, ""en"", ""hi""))"),"")</f>
        <v/>
      </c>
      <c r="AG314" s="5" t="str">
        <f ca="1">IFERROR(__xludf.DUMMYFUNCTION("IF(Y314 = """", """", GOOGLETRANSLATE(Y314, ""en"", ""mr""))"),"तणाव जाणवू शकतो काम-जीवन संतुलन व्यवस्थापित करा आणि बुद्धिमत्ता वापरा")</f>
        <v>तणाव जाणवू शकतो काम-जीवन संतुलन व्यवस्थापित करा आणि बुद्धिमत्ता वापरा</v>
      </c>
      <c r="AH314" s="5" t="str">
        <f ca="1">IFERROR(__xludf.DUMMYFUNCTION("IF(Z314 = """", """", GOOGLETRANSLATE(Z314, ""en"", ""mr""))"),"संध्याकाळचा थकवा संभवतो")</f>
        <v>संध्याकाळचा थकवा संभवतो</v>
      </c>
      <c r="AI314" s="5" t="str">
        <f ca="1">IFERROR(__xludf.DUMMYFUNCTION("IF(AA314 = """", """", GOOGLETRANSLATE(AA314, ""en"", ""mr""))"),"")</f>
        <v/>
      </c>
      <c r="AJ314" s="5" t="str">
        <f ca="1">IFERROR(__xludf.DUMMYFUNCTION("IF(AB314 = """", """", GOOGLETRANSLATE(AB314, ""en"", ""mr""))"),"")</f>
        <v/>
      </c>
      <c r="AK314" s="5" t="str">
        <f ca="1">IFERROR(__xludf.DUMMYFUNCTION("IF(Y314 = """", """", GOOGLETRANSLATE(Y314, ""en"", ""gu""))"),"તણાવ અનુભવી શકે છે કાર્ય-જીવન સંતુલનનું સંચાલન કરો અને બુદ્ધિનો ઉપયોગ કરો")</f>
        <v>તણાવ અનુભવી શકે છે કાર્ય-જીવન સંતુલનનું સંચાલન કરો અને બુદ્ધિનો ઉપયોગ કરો</v>
      </c>
      <c r="AL314" s="5" t="str">
        <f ca="1">IFERROR(__xludf.DUMMYFUNCTION("IF(Z314 = """", """", GOOGLETRANSLATE(Z314, ""en"", ""gu""))"),"સાંજે થાક શક્ય છે")</f>
        <v>સાંજે થાક શક્ય છે</v>
      </c>
      <c r="AM314" s="5" t="str">
        <f ca="1">IFERROR(__xludf.DUMMYFUNCTION("IF(AA314 = """", """", GOOGLETRANSLATE(AA314, ""en"", ""gu""))"),"")</f>
        <v/>
      </c>
      <c r="AN314" s="5" t="str">
        <f ca="1">IFERROR(__xludf.DUMMYFUNCTION("IF(AB314 = """", """", GOOGLETRANSLATE(AB314, ""en"", ""gu""))"),"")</f>
        <v/>
      </c>
      <c r="AO314" s="5" t="str">
        <f ca="1">IFERROR(__xludf.DUMMYFUNCTION("IF(Y314 = """", """", GOOGLETRANSLATE(Y314, ""en"", ""bn""))"),"মানসিক চাপ অনুভব করতে পারে কর্মজীবনের ভারসাম্য পরিচালনা করুন এবং বুদ্ধিমত্তা ব্যবহার করুন")</f>
        <v>মানসিক চাপ অনুভব করতে পারে কর্মজীবনের ভারসাম্য পরিচালনা করুন এবং বুদ্ধিমত্তা ব্যবহার করুন</v>
      </c>
      <c r="AP314" s="5" t="str">
        <f ca="1">IFERROR(__xludf.DUMMYFUNCTION("IF(Z314 = """", """", GOOGLETRANSLATE(Z314, ""en"", ""bn""))"),"সন্ধ্যার ক্লান্তি সম্ভব")</f>
        <v>সন্ধ্যার ক্লান্তি সম্ভব</v>
      </c>
      <c r="AQ314" s="5" t="str">
        <f ca="1">IFERROR(__xludf.DUMMYFUNCTION("IF(AA314 = """", """", GOOGLETRANSLATE(AA314, ""en"", ""bn""))"),"")</f>
        <v/>
      </c>
      <c r="AR314" s="5" t="str">
        <f ca="1">IFERROR(__xludf.DUMMYFUNCTION("IF(AB314 = """", """", GOOGLETRANSLATE(AB314, ""en"", ""bn""))"),"")</f>
        <v/>
      </c>
      <c r="AU314" s="5" t="str">
        <f ca="1">IFERROR(__xludf.DUMMYFUNCTION("IF(Y314 = """", """", GOOGLETRANSLATE(Y314, ""en"", ""te""))"),"ఒత్తిడిని అనుభవించవచ్చు పని-జీవిత సమతుల్యతను నిర్వహించండి మరియు తెలివితేటలను ఉపయోగించండి")</f>
        <v>ఒత్తిడిని అనుభవించవచ్చు పని-జీవిత సమతుల్యతను నిర్వహించండి మరియు తెలివితేటలను ఉపయోగించండి</v>
      </c>
      <c r="AV314" s="5" t="str">
        <f ca="1">IFERROR(__xludf.DUMMYFUNCTION("IF(Z314 = """", """", GOOGLETRANSLATE(Z314, ""en"", ""te""))"),"సాయంత్రం అలసట సాధ్యమే")</f>
        <v>సాయంత్రం అలసట సాధ్యమే</v>
      </c>
      <c r="AW314" s="5" t="str">
        <f ca="1">IFERROR(__xludf.DUMMYFUNCTION("IF(AA314 = """", """", GOOGLETRANSLATE(AA314, ""en"", ""te""))"),"")</f>
        <v/>
      </c>
      <c r="AX314" s="5" t="str">
        <f ca="1">IFERROR(__xludf.DUMMYFUNCTION("IF(AB314 = """", """", GOOGLETRANSLATE(AB314, ""en"", ""te""))"),"")</f>
        <v/>
      </c>
    </row>
    <row r="315" spans="1:50" x14ac:dyDescent="0.25">
      <c r="A315" s="1">
        <v>330</v>
      </c>
      <c r="B315" s="1" t="s">
        <v>56</v>
      </c>
      <c r="C315" s="2">
        <v>45847</v>
      </c>
      <c r="D315" s="2">
        <v>45847</v>
      </c>
      <c r="E315" s="1">
        <v>10</v>
      </c>
      <c r="F315" s="1">
        <v>1</v>
      </c>
      <c r="G315" s="3" t="s">
        <v>876</v>
      </c>
      <c r="H315" s="4">
        <v>1.0289351851851852E-2</v>
      </c>
      <c r="I315" s="4">
        <v>4.9537037037037041E-3</v>
      </c>
      <c r="J315" s="4">
        <v>5.4513888888888893E-3</v>
      </c>
      <c r="K315" s="1"/>
      <c r="L315" s="1" t="s">
        <v>72</v>
      </c>
      <c r="M315" s="1"/>
      <c r="N315" s="1"/>
      <c r="O315" s="1" t="s">
        <v>61</v>
      </c>
      <c r="P315" s="1" t="s">
        <v>61</v>
      </c>
      <c r="Q315" s="1" t="s">
        <v>61</v>
      </c>
      <c r="R315" s="1" t="s">
        <v>61</v>
      </c>
      <c r="S315" s="1" t="s">
        <v>61</v>
      </c>
      <c r="T315" s="1" t="s">
        <v>91</v>
      </c>
      <c r="U315" s="1" t="s">
        <v>61</v>
      </c>
      <c r="V315" s="1" t="s">
        <v>61</v>
      </c>
      <c r="W315" s="1" t="s">
        <v>91</v>
      </c>
      <c r="X315" s="1" t="s">
        <v>61</v>
      </c>
      <c r="Y315" s="1" t="s">
        <v>895</v>
      </c>
      <c r="Z315" s="1" t="s">
        <v>896</v>
      </c>
      <c r="AA315" s="1"/>
      <c r="AB315" s="1"/>
      <c r="AC315" s="5" t="str">
        <f ca="1">IFERROR(__xludf.DUMMYFUNCTION("IF(Y315 = """", """", GOOGLETRANSLATE(Y315, ""en"", ""hi""))
"),"तनाव को अवशोषित करें और प्रसन्नतापूर्वक कर्तव्यों का पालन करें")</f>
        <v>तनाव को अवशोषित करें और प्रसन्नतापूर्वक कर्तव्यों का पालन करें</v>
      </c>
      <c r="AD315" s="5" t="str">
        <f ca="1">IFERROR(__xludf.DUMMYFUNCTION("IF(Z315 = """", """", GOOGLETRANSLATE(Z315, ""en"", ""hi""))"),"भावनाओं पर नियंत्रण रखें")</f>
        <v>भावनाओं पर नियंत्रण रखें</v>
      </c>
      <c r="AE315" s="5" t="str">
        <f ca="1">IFERROR(__xludf.DUMMYFUNCTION("IF(AA315 = """", """", GOOGLETRANSLATE(AA315, ""en"", ""hi""))"),"")</f>
        <v/>
      </c>
      <c r="AF315" s="5" t="str">
        <f ca="1">IFERROR(__xludf.DUMMYFUNCTION("IF(AB315 = """", """", GOOGLETRANSLATE(AB315, ""en"", ""hi""))"),"")</f>
        <v/>
      </c>
      <c r="AG315" s="5" t="str">
        <f ca="1">IFERROR(__xludf.DUMMYFUNCTION("IF(Y315 = """", """", GOOGLETRANSLATE(Y315, ""en"", ""mr""))"),"तणाव आत्मसात करा आणि आनंदाने कर्तव्ये पार पाडा")</f>
        <v>तणाव आत्मसात करा आणि आनंदाने कर्तव्ये पार पाडा</v>
      </c>
      <c r="AH315" s="5" t="str">
        <f ca="1">IFERROR(__xludf.DUMMYFUNCTION("IF(Z315 = """", """", GOOGLETRANSLATE(Z315, ""en"", ""mr""))"),"भावनांवर नियंत्रण ठेवा")</f>
        <v>भावनांवर नियंत्रण ठेवा</v>
      </c>
      <c r="AI315" s="5" t="str">
        <f ca="1">IFERROR(__xludf.DUMMYFUNCTION("IF(AA315 = """", """", GOOGLETRANSLATE(AA315, ""en"", ""mr""))"),"")</f>
        <v/>
      </c>
      <c r="AJ315" s="5" t="str">
        <f ca="1">IFERROR(__xludf.DUMMYFUNCTION("IF(AB315 = """", """", GOOGLETRANSLATE(AB315, ""en"", ""mr""))"),"")</f>
        <v/>
      </c>
      <c r="AK315" s="5" t="str">
        <f ca="1">IFERROR(__xludf.DUMMYFUNCTION("IF(Y315 = """", """", GOOGLETRANSLATE(Y315, ""en"", ""gu""))"),"તણાવને શોષી લો અને ખુશીથી ફરજો બજાવો")</f>
        <v>તણાવને શોષી લો અને ખુશીથી ફરજો બજાવો</v>
      </c>
      <c r="AL315" s="5" t="str">
        <f ca="1">IFERROR(__xludf.DUMMYFUNCTION("IF(Z315 = """", """", GOOGLETRANSLATE(Z315, ""en"", ""gu""))"),"લાગણીઓ પર નિયંત્રણ રાખો")</f>
        <v>લાગણીઓ પર નિયંત્રણ રાખો</v>
      </c>
      <c r="AM315" s="5" t="str">
        <f ca="1">IFERROR(__xludf.DUMMYFUNCTION("IF(AA315 = """", """", GOOGLETRANSLATE(AA315, ""en"", ""gu""))"),"")</f>
        <v/>
      </c>
      <c r="AN315" s="5" t="str">
        <f ca="1">IFERROR(__xludf.DUMMYFUNCTION("IF(AB315 = """", """", GOOGLETRANSLATE(AB315, ""en"", ""gu""))"),"")</f>
        <v/>
      </c>
      <c r="AO315" s="5" t="str">
        <f ca="1">IFERROR(__xludf.DUMMYFUNCTION("IF(Y315 = """", """", GOOGLETRANSLATE(Y315, ""en"", ""bn""))"),"মানসিক চাপ শোষণ করুন এবং আনন্দের সাথে দায়িত্ব পালন করুন")</f>
        <v>মানসিক চাপ শোষণ করুন এবং আনন্দের সাথে দায়িত্ব পালন করুন</v>
      </c>
      <c r="AP315" s="5" t="str">
        <f ca="1">IFERROR(__xludf.DUMMYFUNCTION("IF(Z315 = """", """", GOOGLETRANSLATE(Z315, ""en"", ""bn""))"),"আবেগ নিয়ন্ত্রণ করুন")</f>
        <v>আবেগ নিয়ন্ত্রণ করুন</v>
      </c>
      <c r="AQ315" s="5" t="str">
        <f ca="1">IFERROR(__xludf.DUMMYFUNCTION("IF(AA315 = """", """", GOOGLETRANSLATE(AA315, ""en"", ""bn""))"),"")</f>
        <v/>
      </c>
      <c r="AR315" s="5" t="str">
        <f ca="1">IFERROR(__xludf.DUMMYFUNCTION("IF(AB315 = """", """", GOOGLETRANSLATE(AB315, ""en"", ""bn""))"),"")</f>
        <v/>
      </c>
      <c r="AU315" s="5" t="str">
        <f ca="1">IFERROR(__xludf.DUMMYFUNCTION("IF(Y315 = """", """", GOOGLETRANSLATE(Y315, ""en"", ""te""))"),"ఒత్తిడిని గ్రహించి ఉల్లాసంగా విధులు నిర్వర్తించండి")</f>
        <v>ఒత్తిడిని గ్రహించి ఉల్లాసంగా విధులు నిర్వర్తించండి</v>
      </c>
      <c r="AV315" s="5" t="str">
        <f ca="1">IFERROR(__xludf.DUMMYFUNCTION("IF(Z315 = """", """", GOOGLETRANSLATE(Z315, ""en"", ""te""))"),"భావోద్వేగాలను నియంత్రించుకోండి")</f>
        <v>భావోద్వేగాలను నియంత్రించుకోండి</v>
      </c>
      <c r="AW315" s="5" t="str">
        <f ca="1">IFERROR(__xludf.DUMMYFUNCTION("IF(AA315 = """", """", GOOGLETRANSLATE(AA315, ""en"", ""te""))"),"")</f>
        <v/>
      </c>
      <c r="AX315" s="5" t="str">
        <f ca="1">IFERROR(__xludf.DUMMYFUNCTION("IF(AB315 = """", """", GOOGLETRANSLATE(AB315, ""en"", ""te""))"),"")</f>
        <v/>
      </c>
    </row>
    <row r="316" spans="1:50" x14ac:dyDescent="0.25">
      <c r="A316" s="1">
        <v>331</v>
      </c>
      <c r="B316" s="1" t="s">
        <v>56</v>
      </c>
      <c r="C316" s="2">
        <v>45847</v>
      </c>
      <c r="D316" s="2">
        <v>45847</v>
      </c>
      <c r="E316" s="1">
        <v>11</v>
      </c>
      <c r="F316" s="1">
        <v>1</v>
      </c>
      <c r="G316" s="3" t="s">
        <v>876</v>
      </c>
      <c r="H316" s="4">
        <v>1.0289351851851852E-2</v>
      </c>
      <c r="I316" s="4">
        <v>5.4513888888888893E-3</v>
      </c>
      <c r="J316" s="4">
        <v>5.9143518518518521E-3</v>
      </c>
      <c r="K316" s="1"/>
      <c r="L316" s="1" t="s">
        <v>76</v>
      </c>
      <c r="M316" s="1"/>
      <c r="N316" s="1"/>
      <c r="O316" s="1" t="s">
        <v>61</v>
      </c>
      <c r="P316" s="1" t="s">
        <v>61</v>
      </c>
      <c r="Q316" s="1" t="s">
        <v>61</v>
      </c>
      <c r="R316" s="1" t="s">
        <v>61</v>
      </c>
      <c r="S316" s="1" t="s">
        <v>61</v>
      </c>
      <c r="T316" s="1" t="s">
        <v>91</v>
      </c>
      <c r="U316" s="1" t="s">
        <v>61</v>
      </c>
      <c r="V316" s="1" t="s">
        <v>61</v>
      </c>
      <c r="W316" s="1" t="s">
        <v>91</v>
      </c>
      <c r="X316" s="1" t="s">
        <v>61</v>
      </c>
      <c r="Y316" s="1" t="s">
        <v>576</v>
      </c>
      <c r="Z316" s="1" t="s">
        <v>897</v>
      </c>
      <c r="AA316" s="1" t="s">
        <v>898</v>
      </c>
      <c r="AB316" s="1"/>
      <c r="AC316" s="5" t="str">
        <f ca="1">IFERROR(__xludf.DUMMYFUNCTION("IF(Y316 = """", """", GOOGLETRANSLATE(Y316, ""en"", ""hi""))
"),"वाणी और क्रोध पर नियंत्रण रखें")</f>
        <v>वाणी और क्रोध पर नियंत्रण रखें</v>
      </c>
      <c r="AD316" s="5" t="str">
        <f ca="1">IFERROR(__xludf.DUMMYFUNCTION("IF(Z316 = """", """", GOOGLETRANSLATE(Z316, ""en"", ""hi""))"),"अति प्रतिक्रिया से बचें")</f>
        <v>अति प्रतिक्रिया से बचें</v>
      </c>
      <c r="AE316" s="5" t="str">
        <f ca="1">IFERROR(__xludf.DUMMYFUNCTION("IF(AA316 = """", """", GOOGLETRANSLATE(AA316, ""en"", ""hi""))"),"कम बोलें, सुरक्षित रहें")</f>
        <v>कम बोलें, सुरक्षित रहें</v>
      </c>
      <c r="AF316" s="5" t="str">
        <f ca="1">IFERROR(__xludf.DUMMYFUNCTION("IF(AB316 = """", """", GOOGLETRANSLATE(AB316, ""en"", ""hi""))"),"")</f>
        <v/>
      </c>
      <c r="AG316" s="5" t="str">
        <f ca="1">IFERROR(__xludf.DUMMYFUNCTION("IF(Y316 = """", """", GOOGLETRANSLATE(Y316, ""en"", ""mr""))"),"वाणी आणि रागावर नियंत्रण ठेवा")</f>
        <v>वाणी आणि रागावर नियंत्रण ठेवा</v>
      </c>
      <c r="AH316" s="5" t="str">
        <f ca="1">IFERROR(__xludf.DUMMYFUNCTION("IF(Z316 = """", """", GOOGLETRANSLATE(Z316, ""en"", ""mr""))"),"अतिप्रतिक्रिया टाळा")</f>
        <v>अतिप्रतिक्रिया टाळा</v>
      </c>
      <c r="AI316" s="5" t="str">
        <f ca="1">IFERROR(__xludf.DUMMYFUNCTION("IF(AA316 = """", """", GOOGLETRANSLATE(AA316, ""en"", ""mr""))")," कमी बोला, सुरक्षित रहा")</f>
        <v xml:space="preserve"> कमी बोला, सुरक्षित रहा</v>
      </c>
      <c r="AJ316" s="5" t="str">
        <f ca="1">IFERROR(__xludf.DUMMYFUNCTION("IF(AB316 = """", """", GOOGLETRANSLATE(AB316, ""en"", ""mr""))"),"")</f>
        <v/>
      </c>
      <c r="AK316" s="5" t="str">
        <f ca="1">IFERROR(__xludf.DUMMYFUNCTION("IF(Y316 = """", """", GOOGLETRANSLATE(Y316, ""en"", ""gu""))"),"વાણી અને ગુસ્સા પર નિયંત્રણ રાખો")</f>
        <v>વાણી અને ગુસ્સા પર નિયંત્રણ રાખો</v>
      </c>
      <c r="AL316" s="5" t="str">
        <f ca="1">IFERROR(__xludf.DUMMYFUNCTION("IF(Z316 = """", """", GOOGLETRANSLATE(Z316, ""en"", ""gu""))"),"અતિશય પ્રતિક્રિયા ટાળો")</f>
        <v>અતિશય પ્રતિક્રિયા ટાળો</v>
      </c>
      <c r="AM316" s="5" t="str">
        <f ca="1">IFERROR(__xludf.DUMMYFUNCTION("IF(AA316 = """", """", GOOGLETRANSLATE(AA316, ""en"", ""gu""))")," ઓછું બોલો, સુરક્ષિત રહો")</f>
        <v xml:space="preserve"> ઓછું બોલો, સુરક્ષિત રહો</v>
      </c>
      <c r="AN316" s="5" t="str">
        <f ca="1">IFERROR(__xludf.DUMMYFUNCTION("IF(AB316 = """", """", GOOGLETRANSLATE(AB316, ""en"", ""gu""))"),"")</f>
        <v/>
      </c>
      <c r="AO316" s="5" t="str">
        <f ca="1">IFERROR(__xludf.DUMMYFUNCTION("IF(Y316 = """", """", GOOGLETRANSLATE(Y316, ""en"", ""bn""))"),"কথাবার্তা ও রাগ নিয়ন্ত্রণ করুন")</f>
        <v>কথাবার্তা ও রাগ নিয়ন্ত্রণ করুন</v>
      </c>
      <c r="AP316" s="5" t="str">
        <f ca="1">IFERROR(__xludf.DUMMYFUNCTION("IF(Z316 = """", """", GOOGLETRANSLATE(Z316, ""en"", ""bn""))"),"অতিরিক্ত প্রতিক্রিয়া এড়িয়ে চলুন")</f>
        <v>অতিরিক্ত প্রতিক্রিয়া এড়িয়ে চলুন</v>
      </c>
      <c r="AQ316" s="5" t="str">
        <f ca="1">IFERROR(__xludf.DUMMYFUNCTION("IF(AA316 = """", """", GOOGLETRANSLATE(AA316, ""en"", ""bn""))")," কম কথা বলুন, নিরাপদ থাকুন")</f>
        <v xml:space="preserve"> কম কথা বলুন, নিরাপদ থাকুন</v>
      </c>
      <c r="AR316" s="5" t="str">
        <f ca="1">IFERROR(__xludf.DUMMYFUNCTION("IF(AB316 = """", """", GOOGLETRANSLATE(AB316, ""en"", ""bn""))"),"")</f>
        <v/>
      </c>
      <c r="AU316" s="5" t="str">
        <f ca="1">IFERROR(__xludf.DUMMYFUNCTION("IF(Y316 = """", """", GOOGLETRANSLATE(Y316, ""en"", ""te""))"),"మాటలు మరియు కోపాన్ని నియంత్రించండి")</f>
        <v>మాటలు మరియు కోపాన్ని నియంత్రించండి</v>
      </c>
      <c r="AV316" s="5" t="str">
        <f ca="1">IFERROR(__xludf.DUMMYFUNCTION("IF(Z316 = """", """", GOOGLETRANSLATE(Z316, ""en"", ""te""))"),"అతిగా స్పందించడం మానుకోండి")</f>
        <v>అతిగా స్పందించడం మానుకోండి</v>
      </c>
      <c r="AW316" s="5" t="str">
        <f ca="1">IFERROR(__xludf.DUMMYFUNCTION("IF(AA316 = """", """", GOOGLETRANSLATE(AA316, ""en"", ""te""))")," తక్కువ మాట్లాడండి, సురక్షితంగా ఉండండి")</f>
        <v xml:space="preserve"> తక్కువ మాట్లాడండి, సురక్షితంగా ఉండండి</v>
      </c>
      <c r="AX316" s="5" t="str">
        <f ca="1">IFERROR(__xludf.DUMMYFUNCTION("IF(AB316 = """", """", GOOGLETRANSLATE(AB316, ""en"", ""te""))"),"")</f>
        <v/>
      </c>
    </row>
    <row r="317" spans="1:50" x14ac:dyDescent="0.25">
      <c r="A317" s="1">
        <v>332</v>
      </c>
      <c r="B317" s="1" t="s">
        <v>56</v>
      </c>
      <c r="C317" s="2">
        <v>45847</v>
      </c>
      <c r="D317" s="2">
        <v>45847</v>
      </c>
      <c r="E317" s="1">
        <v>12</v>
      </c>
      <c r="F317" s="1">
        <v>1</v>
      </c>
      <c r="G317" s="3" t="s">
        <v>876</v>
      </c>
      <c r="H317" s="4">
        <v>1.0289351851851852E-2</v>
      </c>
      <c r="I317" s="4">
        <v>5.9143518518518521E-3</v>
      </c>
      <c r="J317" s="4">
        <v>6.1805555555555555E-3</v>
      </c>
      <c r="K317" s="1"/>
      <c r="L317" s="1" t="s">
        <v>79</v>
      </c>
      <c r="M317" s="1"/>
      <c r="N317" s="1"/>
      <c r="O317" s="1" t="s">
        <v>91</v>
      </c>
      <c r="P317" s="1" t="s">
        <v>61</v>
      </c>
      <c r="Q317" s="1" t="s">
        <v>61</v>
      </c>
      <c r="R317" s="1" t="s">
        <v>61</v>
      </c>
      <c r="S317" s="1" t="s">
        <v>61</v>
      </c>
      <c r="T317" s="1" t="s">
        <v>61</v>
      </c>
      <c r="U317" s="1" t="s">
        <v>61</v>
      </c>
      <c r="V317" s="1" t="s">
        <v>91</v>
      </c>
      <c r="W317" s="1" t="s">
        <v>61</v>
      </c>
      <c r="X317" s="1" t="s">
        <v>61</v>
      </c>
      <c r="Y317" s="1" t="s">
        <v>714</v>
      </c>
      <c r="Z317" s="1" t="s">
        <v>899</v>
      </c>
      <c r="AA317" s="1" t="s">
        <v>302</v>
      </c>
      <c r="AB317" s="1"/>
      <c r="AC317" s="5" t="str">
        <f ca="1">IFERROR(__xludf.DUMMYFUNCTION("IF(Y317 = """", """", GOOGLETRANSLATE(Y317, ""en"", ""hi""))
"),"लंबित कार्य निपटाएँ")</f>
        <v>लंबित कार्य निपटाएँ</v>
      </c>
      <c r="AD317" s="5" t="str">
        <f ca="1">IFERROR(__xludf.DUMMYFUNCTION("IF(Z317 = """", """", GOOGLETRANSLATE(Z317, ""en"", ""hi""))"),"बच्चों के मुद्दों का समाधान करें")</f>
        <v>बच्चों के मुद्दों का समाधान करें</v>
      </c>
      <c r="AE317" s="5" t="str">
        <f ca="1">IFERROR(__xludf.DUMMYFUNCTION("IF(AA317 = """", """", GOOGLETRANSLATE(AA317, ""en"", ""hi""))"),"महत्वपूर्ण निर्णय लें")</f>
        <v>महत्वपूर्ण निर्णय लें</v>
      </c>
      <c r="AF317" s="5" t="str">
        <f ca="1">IFERROR(__xludf.DUMMYFUNCTION("IF(AB317 = """", """", GOOGLETRANSLATE(AB317, ""en"", ""hi""))"),"")</f>
        <v/>
      </c>
      <c r="AG317" s="5" t="str">
        <f ca="1">IFERROR(__xludf.DUMMYFUNCTION("IF(Y317 = """", """", GOOGLETRANSLATE(Y317, ""en"", ""mr""))"),"प्रलंबित काम मिटवा")</f>
        <v>प्रलंबित काम मिटवा</v>
      </c>
      <c r="AH317" s="5" t="str">
        <f ca="1">IFERROR(__xludf.DUMMYFUNCTION("IF(Z317 = """", """", GOOGLETRANSLATE(Z317, ""en"", ""mr""))"),"मुलांचे प्रश्न सोडवा")</f>
        <v>मुलांचे प्रश्न सोडवा</v>
      </c>
      <c r="AI317" s="5" t="str">
        <f ca="1">IFERROR(__xludf.DUMMYFUNCTION("IF(AA317 = """", """", GOOGLETRANSLATE(AA317, ""en"", ""mr""))"),"महत्त्वाचे निर्णय घ्या")</f>
        <v>महत्त्वाचे निर्णय घ्या</v>
      </c>
      <c r="AJ317" s="5" t="str">
        <f ca="1">IFERROR(__xludf.DUMMYFUNCTION("IF(AB317 = """", """", GOOGLETRANSLATE(AB317, ""en"", ""mr""))"),"")</f>
        <v/>
      </c>
      <c r="AK317" s="5" t="str">
        <f ca="1">IFERROR(__xludf.DUMMYFUNCTION("IF(Y317 = """", """", GOOGLETRANSLATE(Y317, ""en"", ""gu""))"),"બાકી કામ સાફ કરો")</f>
        <v>બાકી કામ સાફ કરો</v>
      </c>
      <c r="AL317" s="5" t="str">
        <f ca="1">IFERROR(__xludf.DUMMYFUNCTION("IF(Z317 = """", """", GOOGLETRANSLATE(Z317, ""en"", ""gu""))"),"બાળકોના પ્રશ્નો ઉકેલો")</f>
        <v>બાળકોના પ્રશ્નો ઉકેલો</v>
      </c>
      <c r="AM317" s="5" t="str">
        <f ca="1">IFERROR(__xludf.DUMMYFUNCTION("IF(AA317 = """", """", GOOGLETRANSLATE(AA317, ""en"", ""gu""))"),"મહત્વપૂર્ણ નિર્ણયો લો")</f>
        <v>મહત્વપૂર્ણ નિર્ણયો લો</v>
      </c>
      <c r="AN317" s="5" t="str">
        <f ca="1">IFERROR(__xludf.DUMMYFUNCTION("IF(AB317 = """", """", GOOGLETRANSLATE(AB317, ""en"", ""gu""))"),"")</f>
        <v/>
      </c>
      <c r="AO317" s="5" t="str">
        <f ca="1">IFERROR(__xludf.DUMMYFUNCTION("IF(Y317 = """", """", GOOGLETRANSLATE(Y317, ""en"", ""bn""))"),"মুলতুবি কাজ পরিষ্কার করুন")</f>
        <v>মুলতুবি কাজ পরিষ্কার করুন</v>
      </c>
      <c r="AP317" s="5" t="str">
        <f ca="1">IFERROR(__xludf.DUMMYFUNCTION("IF(Z317 = """", """", GOOGLETRANSLATE(Z317, ""en"", ""bn""))"),"সন্তানের সমস্যা সমাধান করুন")</f>
        <v>সন্তানের সমস্যা সমাধান করুন</v>
      </c>
      <c r="AQ317" s="5" t="str">
        <f ca="1">IFERROR(__xludf.DUMMYFUNCTION("IF(AA317 = """", """", GOOGLETRANSLATE(AA317, ""en"", ""bn""))"),"গুরুত্বপূর্ণ সিদ্ধান্ত নিন")</f>
        <v>গুরুত্বপূর্ণ সিদ্ধান্ত নিন</v>
      </c>
      <c r="AR317" s="5" t="str">
        <f ca="1">IFERROR(__xludf.DUMMYFUNCTION("IF(AB317 = """", """", GOOGLETRANSLATE(AB317, ""en"", ""bn""))"),"")</f>
        <v/>
      </c>
      <c r="AU317" s="5" t="str">
        <f ca="1">IFERROR(__xludf.DUMMYFUNCTION("IF(Y317 = """", """", GOOGLETRANSLATE(Y317, ""en"", ""te""))"),"పెండింగ్ పనిని క్లియర్ చేయండి")</f>
        <v>పెండింగ్ పనిని క్లియర్ చేయండి</v>
      </c>
      <c r="AV317" s="5" t="str">
        <f ca="1">IFERROR(__xludf.DUMMYFUNCTION("IF(Z317 = """", """", GOOGLETRANSLATE(Z317, ""en"", ""te""))"),"పిల్లల సమస్యలను పరిష్కరించండి")</f>
        <v>పిల్లల సమస్యలను పరిష్కరించండి</v>
      </c>
      <c r="AW317" s="5" t="str">
        <f ca="1">IFERROR(__xludf.DUMMYFUNCTION("IF(AA317 = """", """", GOOGLETRANSLATE(AA317, ""en"", ""te""))"),"ముఖ్యమైన నిర్ణయాలు తీసుకోండి")</f>
        <v>ముఖ్యమైన నిర్ణయాలు తీసుకోండి</v>
      </c>
      <c r="AX317" s="5" t="str">
        <f ca="1">IFERROR(__xludf.DUMMYFUNCTION("IF(AB317 = """", """", GOOGLETRANSLATE(AB317, ""en"", ""te""))"),"")</f>
        <v/>
      </c>
    </row>
    <row r="318" spans="1:50" x14ac:dyDescent="0.25">
      <c r="A318" s="1">
        <v>333</v>
      </c>
      <c r="B318" s="1" t="s">
        <v>56</v>
      </c>
      <c r="C318" s="2">
        <v>45847</v>
      </c>
      <c r="D318" s="2">
        <v>45847</v>
      </c>
      <c r="E318" s="1">
        <v>13</v>
      </c>
      <c r="F318" s="1">
        <v>1</v>
      </c>
      <c r="G318" s="3" t="s">
        <v>876</v>
      </c>
      <c r="H318" s="4">
        <v>1.0289351851851852E-2</v>
      </c>
      <c r="I318" s="4">
        <v>6.1805555555555555E-3</v>
      </c>
      <c r="J318" s="4">
        <v>6.7361111111111111E-3</v>
      </c>
      <c r="K318" s="1"/>
      <c r="L318" s="1" t="s">
        <v>81</v>
      </c>
      <c r="M318" s="1"/>
      <c r="N318" s="1"/>
      <c r="O318" s="1" t="s">
        <v>61</v>
      </c>
      <c r="P318" s="1" t="s">
        <v>61</v>
      </c>
      <c r="Q318" s="1" t="s">
        <v>61</v>
      </c>
      <c r="R318" s="1" t="s">
        <v>91</v>
      </c>
      <c r="S318" s="1" t="s">
        <v>61</v>
      </c>
      <c r="T318" s="1" t="s">
        <v>61</v>
      </c>
      <c r="U318" s="1" t="s">
        <v>61</v>
      </c>
      <c r="V318" s="1" t="s">
        <v>61</v>
      </c>
      <c r="W318" s="1" t="s">
        <v>61</v>
      </c>
      <c r="X318" s="1" t="s">
        <v>91</v>
      </c>
      <c r="Y318" s="1" t="s">
        <v>900</v>
      </c>
      <c r="Z318" s="1" t="s">
        <v>901</v>
      </c>
      <c r="AA318" s="1"/>
      <c r="AB318" s="1"/>
      <c r="AC318" s="5" t="str">
        <f ca="1">IFERROR(__xludf.DUMMYFUNCTION("IF(Y318 = """", """", GOOGLETRANSLATE(Y318, ""en"", ""hi""))
"),"सामाजिक-कार्य संतुलन प्रबंधित करें")</f>
        <v>सामाजिक-कार्य संतुलन प्रबंधित करें</v>
      </c>
      <c r="AD318" s="5" t="str">
        <f ca="1">IFERROR(__xludf.DUMMYFUNCTION("IF(Z318 = """", """", GOOGLETRANSLATE(Z318, ""en"", ""hi""))"),"कुछ तनाव होगा लेकिन सफलता मिलेगी")</f>
        <v>कुछ तनाव होगा लेकिन सफलता मिलेगी</v>
      </c>
      <c r="AE318" s="5" t="str">
        <f ca="1">IFERROR(__xludf.DUMMYFUNCTION("IF(AA318 = """", """", GOOGLETRANSLATE(AA318, ""en"", ""hi""))"),"")</f>
        <v/>
      </c>
      <c r="AF318" s="5" t="str">
        <f ca="1">IFERROR(__xludf.DUMMYFUNCTION("IF(AB318 = """", """", GOOGLETRANSLATE(AB318, ""en"", ""hi""))"),"")</f>
        <v/>
      </c>
      <c r="AG318" s="5" t="str">
        <f ca="1">IFERROR(__xludf.DUMMYFUNCTION("IF(Y318 = """", """", GOOGLETRANSLATE(Y318, ""en"", ""mr""))"),"सामाजिक-कार्य संतुलन व्यवस्थापित करा")</f>
        <v>सामाजिक-कार्य संतुलन व्यवस्थापित करा</v>
      </c>
      <c r="AH318" s="5" t="str">
        <f ca="1">IFERROR(__xludf.DUMMYFUNCTION("IF(Z318 = """", """", GOOGLETRANSLATE(Z318, ""en"", ""mr""))"),"थोडा ताण पण यश मिळेल")</f>
        <v>थोडा ताण पण यश मिळेल</v>
      </c>
      <c r="AI318" s="5" t="str">
        <f ca="1">IFERROR(__xludf.DUMMYFUNCTION("IF(AA318 = """", """", GOOGLETRANSLATE(AA318, ""en"", ""mr""))"),"")</f>
        <v/>
      </c>
      <c r="AJ318" s="5" t="str">
        <f ca="1">IFERROR(__xludf.DUMMYFUNCTION("IF(AB318 = """", """", GOOGLETRANSLATE(AB318, ""en"", ""mr""))"),"")</f>
        <v/>
      </c>
      <c r="AK318" s="5" t="str">
        <f ca="1">IFERROR(__xludf.DUMMYFUNCTION("IF(Y318 = """", """", GOOGLETRANSLATE(Y318, ""en"", ""gu""))"),"સામાજિક-કાર્ય સંતુલનનું સંચાલન કરો")</f>
        <v>સામાજિક-કાર્ય સંતુલનનું સંચાલન કરો</v>
      </c>
      <c r="AL318" s="5" t="str">
        <f ca="1">IFERROR(__xludf.DUMMYFUNCTION("IF(Z318 = """", """", GOOGLETRANSLATE(Z318, ""en"", ""gu""))"),"થોડો તણાવ પરંતુ સફળતા મળશે")</f>
        <v>થોડો તણાવ પરંતુ સફળતા મળશે</v>
      </c>
      <c r="AM318" s="5" t="str">
        <f ca="1">IFERROR(__xludf.DUMMYFUNCTION("IF(AA318 = """", """", GOOGLETRANSLATE(AA318, ""en"", ""gu""))"),"")</f>
        <v/>
      </c>
      <c r="AN318" s="5" t="str">
        <f ca="1">IFERROR(__xludf.DUMMYFUNCTION("IF(AB318 = """", """", GOOGLETRANSLATE(AB318, ""en"", ""gu""))"),"")</f>
        <v/>
      </c>
      <c r="AO318" s="5" t="str">
        <f ca="1">IFERROR(__xludf.DUMMYFUNCTION("IF(Y318 = """", """", GOOGLETRANSLATE(Y318, ""en"", ""bn""))"),"সামাজিক কাজের ভারসাম্য পরিচালনা করুন")</f>
        <v>সামাজিক কাজের ভারসাম্য পরিচালনা করুন</v>
      </c>
      <c r="AP318" s="5" t="str">
        <f ca="1">IFERROR(__xludf.DUMMYFUNCTION("IF(Z318 = """", """", GOOGLETRANSLATE(Z318, ""en"", ""bn""))"),"কিছু চাপ কিন্তু সফল হবে")</f>
        <v>কিছু চাপ কিন্তু সফল হবে</v>
      </c>
      <c r="AQ318" s="5" t="str">
        <f ca="1">IFERROR(__xludf.DUMMYFUNCTION("IF(AA318 = """", """", GOOGLETRANSLATE(AA318, ""en"", ""bn""))"),"")</f>
        <v/>
      </c>
      <c r="AR318" s="5" t="str">
        <f ca="1">IFERROR(__xludf.DUMMYFUNCTION("IF(AB318 = """", """", GOOGLETRANSLATE(AB318, ""en"", ""bn""))"),"")</f>
        <v/>
      </c>
      <c r="AU318" s="5" t="str">
        <f ca="1">IFERROR(__xludf.DUMMYFUNCTION("IF(Y318 = """", """", GOOGLETRANSLATE(Y318, ""en"", ""te""))"),"సామాజిక పని సమతుల్యతను నిర్వహించండి")</f>
        <v>సామాజిక పని సమతుల్యతను నిర్వహించండి</v>
      </c>
      <c r="AV318" s="5" t="str">
        <f ca="1">IFERROR(__xludf.DUMMYFUNCTION("IF(Z318 = """", """", GOOGLETRANSLATE(Z318, ""en"", ""te""))"),"కొంత ఒత్తిడి ఉన్నప్పటికీ విజయం సాధిస్తారు")</f>
        <v>కొంత ఒత్తిడి ఉన్నప్పటికీ విజయం సాధిస్తారు</v>
      </c>
      <c r="AW318" s="5" t="str">
        <f ca="1">IFERROR(__xludf.DUMMYFUNCTION("IF(AA318 = """", """", GOOGLETRANSLATE(AA318, ""en"", ""te""))"),"")</f>
        <v/>
      </c>
      <c r="AX318" s="5" t="str">
        <f ca="1">IFERROR(__xludf.DUMMYFUNCTION("IF(AB318 = """", """", GOOGLETRANSLATE(AB318, ""en"", ""te""))"),"")</f>
        <v/>
      </c>
    </row>
    <row r="319" spans="1:50" x14ac:dyDescent="0.25">
      <c r="A319" s="1">
        <v>334</v>
      </c>
      <c r="B319" s="1" t="s">
        <v>56</v>
      </c>
      <c r="C319" s="2">
        <v>45847</v>
      </c>
      <c r="D319" s="2">
        <v>45847</v>
      </c>
      <c r="E319" s="1">
        <v>14</v>
      </c>
      <c r="F319" s="1">
        <v>1</v>
      </c>
      <c r="G319" s="3" t="s">
        <v>876</v>
      </c>
      <c r="H319" s="4">
        <v>1.0289351851851852E-2</v>
      </c>
      <c r="I319" s="4">
        <v>6.7361111111111111E-3</v>
      </c>
      <c r="J319" s="4">
        <v>1.0289351851851852E-2</v>
      </c>
      <c r="K319" s="1"/>
      <c r="L319" s="1" t="s">
        <v>137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 t="str">
        <f ca="1">IFERROR(__xludf.DUMMYFUNCTION("IF(Y319 = """", """", GOOGLETRANSLATE(Y319, ""en"", ""hi""))
"),"")</f>
        <v/>
      </c>
      <c r="AD319" s="5" t="str">
        <f ca="1">IFERROR(__xludf.DUMMYFUNCTION("IF(Z319 = """", """", GOOGLETRANSLATE(Z319, ""en"", ""hi""))"),"")</f>
        <v/>
      </c>
      <c r="AE319" s="5" t="str">
        <f ca="1">IFERROR(__xludf.DUMMYFUNCTION("IF(AA319 = """", """", GOOGLETRANSLATE(AA319, ""en"", ""hi""))"),"")</f>
        <v/>
      </c>
      <c r="AF319" s="5" t="str">
        <f ca="1">IFERROR(__xludf.DUMMYFUNCTION("IF(AB319 = """", """", GOOGLETRANSLATE(AB319, ""en"", ""hi""))"),"")</f>
        <v/>
      </c>
      <c r="AG319" s="5" t="str">
        <f ca="1">IFERROR(__xludf.DUMMYFUNCTION("IF(Y319 = """", """", GOOGLETRANSLATE(Y319, ""en"", ""mr""))"),"")</f>
        <v/>
      </c>
      <c r="AH319" s="5" t="str">
        <f ca="1">IFERROR(__xludf.DUMMYFUNCTION("IF(Z319 = """", """", GOOGLETRANSLATE(Z319, ""en"", ""mr""))"),"")</f>
        <v/>
      </c>
      <c r="AI319" s="5" t="str">
        <f ca="1">IFERROR(__xludf.DUMMYFUNCTION("IF(AA319 = """", """", GOOGLETRANSLATE(AA319, ""en"", ""mr""))"),"")</f>
        <v/>
      </c>
      <c r="AJ319" s="5" t="str">
        <f ca="1">IFERROR(__xludf.DUMMYFUNCTION("IF(AB319 = """", """", GOOGLETRANSLATE(AB319, ""en"", ""mr""))"),"")</f>
        <v/>
      </c>
      <c r="AK319" s="5" t="str">
        <f ca="1">IFERROR(__xludf.DUMMYFUNCTION("IF(Y319 = """", """", GOOGLETRANSLATE(Y319, ""en"", ""gu""))"),"")</f>
        <v/>
      </c>
      <c r="AL319" s="5" t="str">
        <f ca="1">IFERROR(__xludf.DUMMYFUNCTION("IF(Z319 = """", """", GOOGLETRANSLATE(Z319, ""en"", ""gu""))"),"")</f>
        <v/>
      </c>
      <c r="AM319" s="5" t="str">
        <f ca="1">IFERROR(__xludf.DUMMYFUNCTION("IF(AA319 = """", """", GOOGLETRANSLATE(AA319, ""en"", ""gu""))"),"")</f>
        <v/>
      </c>
      <c r="AN319" s="5" t="str">
        <f ca="1">IFERROR(__xludf.DUMMYFUNCTION("IF(AB319 = """", """", GOOGLETRANSLATE(AB319, ""en"", ""gu""))"),"")</f>
        <v/>
      </c>
      <c r="AO319" s="5" t="str">
        <f ca="1">IFERROR(__xludf.DUMMYFUNCTION("IF(Y319 = """", """", GOOGLETRANSLATE(Y319, ""en"", ""bn""))"),"")</f>
        <v/>
      </c>
      <c r="AP319" s="5" t="str">
        <f ca="1">IFERROR(__xludf.DUMMYFUNCTION("IF(Z319 = """", """", GOOGLETRANSLATE(Z319, ""en"", ""bn""))"),"")</f>
        <v/>
      </c>
      <c r="AQ319" s="5" t="str">
        <f ca="1">IFERROR(__xludf.DUMMYFUNCTION("IF(AA319 = """", """", GOOGLETRANSLATE(AA319, ""en"", ""bn""))"),"")</f>
        <v/>
      </c>
      <c r="AR319" s="5" t="str">
        <f ca="1">IFERROR(__xludf.DUMMYFUNCTION("IF(AB319 = """", """", GOOGLETRANSLATE(AB319, ""en"", ""bn""))"),"")</f>
        <v/>
      </c>
      <c r="AU319" s="5" t="str">
        <f ca="1">IFERROR(__xludf.DUMMYFUNCTION("IF(Y319 = """", """", GOOGLETRANSLATE(Y319, ""en"", ""te""))"),"")</f>
        <v/>
      </c>
      <c r="AV319" s="5" t="str">
        <f ca="1">IFERROR(__xludf.DUMMYFUNCTION("IF(Z319 = """", """", GOOGLETRANSLATE(Z319, ""en"", ""te""))"),"")</f>
        <v/>
      </c>
      <c r="AW319" s="5" t="str">
        <f ca="1">IFERROR(__xludf.DUMMYFUNCTION("IF(AA319 = """", """", GOOGLETRANSLATE(AA319, ""en"", ""te""))"),"")</f>
        <v/>
      </c>
      <c r="AX319" s="5" t="str">
        <f ca="1">IFERROR(__xludf.DUMMYFUNCTION("IF(AB319 = """", """", GOOGLETRANSLATE(AB319, ""en"", ""te""))"),"")</f>
        <v/>
      </c>
    </row>
    <row r="320" spans="1:50" x14ac:dyDescent="0.25">
      <c r="A320" s="1">
        <v>335</v>
      </c>
      <c r="B320" s="1" t="s">
        <v>56</v>
      </c>
      <c r="C320" s="2">
        <v>45848</v>
      </c>
      <c r="D320" s="2">
        <v>45848</v>
      </c>
      <c r="E320" s="1">
        <v>1</v>
      </c>
      <c r="F320" s="1">
        <v>1</v>
      </c>
      <c r="G320" s="3" t="s">
        <v>902</v>
      </c>
      <c r="H320" s="4">
        <v>1.1377314814814814E-2</v>
      </c>
      <c r="I320" s="4">
        <v>0</v>
      </c>
      <c r="J320" s="4">
        <v>1.724537037037037E-3</v>
      </c>
      <c r="K320" s="1"/>
      <c r="L320" s="1" t="s">
        <v>59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 t="str">
        <f ca="1">IFERROR(__xludf.DUMMYFUNCTION("IF(Y320 = """", """", GOOGLETRANSLATE(Y320, ""en"", ""hi""))
"),"")</f>
        <v/>
      </c>
      <c r="AD320" s="5" t="str">
        <f ca="1">IFERROR(__xludf.DUMMYFUNCTION("IF(Z320 = """", """", GOOGLETRANSLATE(Z320, ""en"", ""hi""))"),"")</f>
        <v/>
      </c>
      <c r="AE320" s="5" t="str">
        <f ca="1">IFERROR(__xludf.DUMMYFUNCTION("IF(AA320 = """", """", GOOGLETRANSLATE(AA320, ""en"", ""hi""))"),"")</f>
        <v/>
      </c>
      <c r="AF320" s="5" t="str">
        <f ca="1">IFERROR(__xludf.DUMMYFUNCTION("IF(AB320 = """", """", GOOGLETRANSLATE(AB320, ""en"", ""hi""))"),"")</f>
        <v/>
      </c>
      <c r="AG320" s="5" t="str">
        <f ca="1">IFERROR(__xludf.DUMMYFUNCTION("IF(Y320 = """", """", GOOGLETRANSLATE(Y320, ""en"", ""mr""))"),"")</f>
        <v/>
      </c>
      <c r="AH320" s="5" t="str">
        <f ca="1">IFERROR(__xludf.DUMMYFUNCTION("IF(Z320 = """", """", GOOGLETRANSLATE(Z320, ""en"", ""mr""))"),"")</f>
        <v/>
      </c>
      <c r="AI320" s="5" t="str">
        <f ca="1">IFERROR(__xludf.DUMMYFUNCTION("IF(AA320 = """", """", GOOGLETRANSLATE(AA320, ""en"", ""mr""))"),"")</f>
        <v/>
      </c>
      <c r="AJ320" s="5" t="str">
        <f ca="1">IFERROR(__xludf.DUMMYFUNCTION("IF(AB320 = """", """", GOOGLETRANSLATE(AB320, ""en"", ""mr""))"),"")</f>
        <v/>
      </c>
      <c r="AK320" s="5" t="str">
        <f ca="1">IFERROR(__xludf.DUMMYFUNCTION("IF(Y320 = """", """", GOOGLETRANSLATE(Y320, ""en"", ""gu""))"),"")</f>
        <v/>
      </c>
      <c r="AL320" s="5" t="str">
        <f ca="1">IFERROR(__xludf.DUMMYFUNCTION("IF(Z320 = """", """", GOOGLETRANSLATE(Z320, ""en"", ""gu""))"),"")</f>
        <v/>
      </c>
      <c r="AM320" s="5" t="str">
        <f ca="1">IFERROR(__xludf.DUMMYFUNCTION("IF(AA320 = """", """", GOOGLETRANSLATE(AA320, ""en"", ""gu""))"),"")</f>
        <v/>
      </c>
      <c r="AN320" s="5" t="str">
        <f ca="1">IFERROR(__xludf.DUMMYFUNCTION("IF(AB320 = """", """", GOOGLETRANSLATE(AB320, ""en"", ""gu""))"),"")</f>
        <v/>
      </c>
      <c r="AO320" s="5" t="str">
        <f ca="1">IFERROR(__xludf.DUMMYFUNCTION("IF(Y320 = """", """", GOOGLETRANSLATE(Y320, ""en"", ""bn""))"),"")</f>
        <v/>
      </c>
      <c r="AP320" s="5" t="str">
        <f ca="1">IFERROR(__xludf.DUMMYFUNCTION("IF(Z320 = """", """", GOOGLETRANSLATE(Z320, ""en"", ""bn""))"),"")</f>
        <v/>
      </c>
      <c r="AQ320" s="5" t="str">
        <f ca="1">IFERROR(__xludf.DUMMYFUNCTION("IF(AA320 = """", """", GOOGLETRANSLATE(AA320, ""en"", ""bn""))"),"")</f>
        <v/>
      </c>
      <c r="AR320" s="5" t="str">
        <f ca="1">IFERROR(__xludf.DUMMYFUNCTION("IF(AB320 = """", """", GOOGLETRANSLATE(AB320, ""en"", ""bn""))"),"")</f>
        <v/>
      </c>
      <c r="AU320" s="5" t="str">
        <f ca="1">IFERROR(__xludf.DUMMYFUNCTION("IF(Y320 = """", """", GOOGLETRANSLATE(Y320, ""en"", ""te""))"),"")</f>
        <v/>
      </c>
      <c r="AV320" s="5" t="str">
        <f ca="1">IFERROR(__xludf.DUMMYFUNCTION("IF(Z320 = """", """", GOOGLETRANSLATE(Z320, ""en"", ""te""))"),"")</f>
        <v/>
      </c>
      <c r="AW320" s="5" t="str">
        <f ca="1">IFERROR(__xludf.DUMMYFUNCTION("IF(AA320 = """", """", GOOGLETRANSLATE(AA320, ""en"", ""te""))"),"")</f>
        <v/>
      </c>
      <c r="AX320" s="5" t="str">
        <f ca="1">IFERROR(__xludf.DUMMYFUNCTION("IF(AB320 = """", """", GOOGLETRANSLATE(AB320, ""en"", ""te""))"),"")</f>
        <v/>
      </c>
    </row>
    <row r="321" spans="1:50" x14ac:dyDescent="0.25">
      <c r="A321" s="1">
        <v>336</v>
      </c>
      <c r="B321" s="1" t="s">
        <v>56</v>
      </c>
      <c r="C321" s="2">
        <v>45848</v>
      </c>
      <c r="D321" s="2">
        <v>45848</v>
      </c>
      <c r="E321" s="1">
        <v>2</v>
      </c>
      <c r="F321" s="1">
        <v>1</v>
      </c>
      <c r="G321" s="3" t="s">
        <v>902</v>
      </c>
      <c r="H321" s="4">
        <v>1.1377314814814814E-2</v>
      </c>
      <c r="I321" s="4">
        <v>1.724537037037037E-3</v>
      </c>
      <c r="J321" s="4">
        <v>2.2800925925925927E-3</v>
      </c>
      <c r="K321" s="1"/>
      <c r="L321" s="1" t="s">
        <v>142</v>
      </c>
      <c r="M321" s="1"/>
      <c r="N321" s="1"/>
      <c r="O321" s="1" t="s">
        <v>91</v>
      </c>
      <c r="P321" s="1" t="s">
        <v>61</v>
      </c>
      <c r="Q321" s="1" t="s">
        <v>61</v>
      </c>
      <c r="R321" s="1" t="s">
        <v>61</v>
      </c>
      <c r="S321" s="1" t="s">
        <v>61</v>
      </c>
      <c r="T321" s="1" t="s">
        <v>61</v>
      </c>
      <c r="U321" s="1" t="s">
        <v>61</v>
      </c>
      <c r="V321" s="1" t="s">
        <v>91</v>
      </c>
      <c r="W321" s="1" t="s">
        <v>61</v>
      </c>
      <c r="X321" s="1" t="s">
        <v>61</v>
      </c>
      <c r="Y321" s="1" t="s">
        <v>903</v>
      </c>
      <c r="Z321" s="1" t="s">
        <v>904</v>
      </c>
      <c r="AA321" s="1" t="s">
        <v>905</v>
      </c>
      <c r="AB321" s="1"/>
      <c r="AC321" s="5" t="str">
        <f ca="1">IFERROR(__xludf.DUMMYFUNCTION("IF(Y321 = """", """", GOOGLETRANSLATE(Y321, ""en"", ""hi""))
"),"पारिवारिक सहायता प्राप्त करें")</f>
        <v>पारिवारिक सहायता प्राप्त करें</v>
      </c>
      <c r="AD321" s="5" t="str">
        <f ca="1">IFERROR(__xludf.DUMMYFUNCTION("IF(Z321 = """", """", GOOGLETRANSLATE(Z321, ""en"", ""hi""))"),"निर्णय लेने के लिए अच्छा दिन")</f>
        <v>निर्णय लेने के लिए अच्छा दिन</v>
      </c>
      <c r="AE321" s="5" t="str">
        <f ca="1">IFERROR(__xludf.DUMMYFUNCTION("IF(AA321 = """", """", GOOGLETRANSLATE(AA321, ""en"", ""hi""))"),"बकाया कार्यों को निपटाने के लिए उत्पादक")</f>
        <v>बकाया कार्यों को निपटाने के लिए उत्पादक</v>
      </c>
      <c r="AF321" s="5" t="str">
        <f ca="1">IFERROR(__xludf.DUMMYFUNCTION("IF(AB321 = """", """", GOOGLETRANSLATE(AB321, ""en"", ""hi""))"),"")</f>
        <v/>
      </c>
      <c r="AG321" s="5" t="str">
        <f ca="1">IFERROR(__xludf.DUMMYFUNCTION("IF(Y321 = """", """", GOOGLETRANSLATE(Y321, ""en"", ""mr""))"),"कौटुंबिक सहकार्य मिळेल")</f>
        <v>कौटुंबिक सहकार्य मिळेल</v>
      </c>
      <c r="AH321" s="5" t="str">
        <f ca="1">IFERROR(__xludf.DUMMYFUNCTION("IF(Z321 = """", """", GOOGLETRANSLATE(Z321, ""en"", ""mr""))"),"निर्णयांसाठी दिवस चांगला आहे")</f>
        <v>निर्णयांसाठी दिवस चांगला आहे</v>
      </c>
      <c r="AI321" s="5" t="str">
        <f ca="1">IFERROR(__xludf.DUMMYFUNCTION("IF(AA321 = """", """", GOOGLETRANSLATE(AA321, ""en"", ""mr""))"),"अनुशेष साफ करण्यासाठी उत्पादक")</f>
        <v>अनुशेष साफ करण्यासाठी उत्पादक</v>
      </c>
      <c r="AJ321" s="5" t="str">
        <f ca="1">IFERROR(__xludf.DUMMYFUNCTION("IF(AB321 = """", """", GOOGLETRANSLATE(AB321, ""en"", ""mr""))"),"")</f>
        <v/>
      </c>
      <c r="AK321" s="5" t="str">
        <f ca="1">IFERROR(__xludf.DUMMYFUNCTION("IF(Y321 = """", """", GOOGLETRANSLATE(Y321, ""en"", ""gu""))"),"પરિવારનો સહયોગ મળે")</f>
        <v>પરિવારનો સહયોગ મળે</v>
      </c>
      <c r="AL321" s="5" t="str">
        <f ca="1">IFERROR(__xludf.DUMMYFUNCTION("IF(Z321 = """", """", GOOGLETRANSLATE(Z321, ""en"", ""gu""))"),"નિર્ણયો માટે સારો દિવસ")</f>
        <v>નિર્ણયો માટે સારો દિવસ</v>
      </c>
      <c r="AM321" s="5" t="str">
        <f ca="1">IFERROR(__xludf.DUMMYFUNCTION("IF(AA321 = """", """", GOOGLETRANSLATE(AA321, ""en"", ""gu""))"),"બેકલોગ સાફ કરવા માટે ઉત્પાદક")</f>
        <v>બેકલોગ સાફ કરવા માટે ઉત્પાદક</v>
      </c>
      <c r="AN321" s="5" t="str">
        <f ca="1">IFERROR(__xludf.DUMMYFUNCTION("IF(AB321 = """", """", GOOGLETRANSLATE(AB321, ""en"", ""gu""))"),"")</f>
        <v/>
      </c>
      <c r="AO321" s="5" t="str">
        <f ca="1">IFERROR(__xludf.DUMMYFUNCTION("IF(Y321 = """", """", GOOGLETRANSLATE(Y321, ""en"", ""bn""))"),"পরিবারের সমর্থন পান")</f>
        <v>পরিবারের সমর্থন পান</v>
      </c>
      <c r="AP321" s="5" t="str">
        <f ca="1">IFERROR(__xludf.DUMMYFUNCTION("IF(Z321 = """", """", GOOGLETRANSLATE(Z321, ""en"", ""bn""))"),"সিদ্ধান্তের জন্য দিনটি শুভ")</f>
        <v>সিদ্ধান্তের জন্য দিনটি শুভ</v>
      </c>
      <c r="AQ321" s="5" t="str">
        <f ca="1">IFERROR(__xludf.DUMMYFUNCTION("IF(AA321 = """", """", GOOGLETRANSLATE(AA321, ""en"", ""bn""))"),"ব্যাকলগ সাফ করার জন্য উত্পাদনশীল")</f>
        <v>ব্যাকলগ সাফ করার জন্য উত্পাদনশীল</v>
      </c>
      <c r="AR321" s="5" t="str">
        <f ca="1">IFERROR(__xludf.DUMMYFUNCTION("IF(AB321 = """", """", GOOGLETRANSLATE(AB321, ""en"", ""bn""))"),"")</f>
        <v/>
      </c>
      <c r="AU321" s="5" t="str">
        <f ca="1">IFERROR(__xludf.DUMMYFUNCTION("IF(Y321 = """", """", GOOGLETRANSLATE(Y321, ""en"", ""te""))"),"కుటుంబ మద్దతు పొందండి")</f>
        <v>కుటుంబ మద్దతు పొందండి</v>
      </c>
      <c r="AV321" s="5" t="str">
        <f ca="1">IFERROR(__xludf.DUMMYFUNCTION("IF(Z321 = """", """", GOOGLETRANSLATE(Z321, ""en"", ""te""))"),"నిర్ణయాలకు మంచి రోజు")</f>
        <v>నిర్ణయాలకు మంచి రోజు</v>
      </c>
      <c r="AW321" s="5" t="str">
        <f ca="1">IFERROR(__xludf.DUMMYFUNCTION("IF(AA321 = """", """", GOOGLETRANSLATE(AA321, ""en"", ""te""))"),"బ్యాక్‌లాగ్‌లను క్లియర్ చేయడానికి ఉత్పాదకమైనది")</f>
        <v>బ్యాక్‌లాగ్‌లను క్లియర్ చేయడానికి ఉత్పాదకమైనది</v>
      </c>
      <c r="AX321" s="5" t="str">
        <f ca="1">IFERROR(__xludf.DUMMYFUNCTION("IF(AB321 = """", """", GOOGLETRANSLATE(AB321, ""en"", ""te""))"),"")</f>
        <v/>
      </c>
    </row>
    <row r="322" spans="1:50" x14ac:dyDescent="0.25">
      <c r="A322" s="1">
        <v>337</v>
      </c>
      <c r="B322" s="1" t="s">
        <v>56</v>
      </c>
      <c r="C322" s="2">
        <v>45848</v>
      </c>
      <c r="D322" s="2">
        <v>45848</v>
      </c>
      <c r="E322" s="1">
        <v>3</v>
      </c>
      <c r="F322" s="1">
        <v>1</v>
      </c>
      <c r="G322" s="3" t="s">
        <v>902</v>
      </c>
      <c r="H322" s="4">
        <v>1.1377314814814814E-2</v>
      </c>
      <c r="I322" s="4">
        <v>2.2800925925925927E-3</v>
      </c>
      <c r="J322" s="4">
        <v>2.8356481481481483E-3</v>
      </c>
      <c r="K322" s="1"/>
      <c r="L322" s="1" t="s">
        <v>90</v>
      </c>
      <c r="M322" s="1"/>
      <c r="N322" s="1"/>
      <c r="O322" s="1" t="s">
        <v>61</v>
      </c>
      <c r="P322" s="1" t="s">
        <v>61</v>
      </c>
      <c r="Q322" s="1" t="s">
        <v>61</v>
      </c>
      <c r="R322" s="1" t="s">
        <v>61</v>
      </c>
      <c r="S322" s="1" t="s">
        <v>61</v>
      </c>
      <c r="T322" s="1" t="s">
        <v>91</v>
      </c>
      <c r="U322" s="1" t="s">
        <v>61</v>
      </c>
      <c r="V322" s="1" t="s">
        <v>61</v>
      </c>
      <c r="W322" s="1" t="s">
        <v>61</v>
      </c>
      <c r="X322" s="1" t="s">
        <v>91</v>
      </c>
      <c r="Y322" s="1" t="s">
        <v>906</v>
      </c>
      <c r="Z322" s="1" t="s">
        <v>907</v>
      </c>
      <c r="AA322" s="1" t="s">
        <v>908</v>
      </c>
      <c r="AB322" s="1"/>
      <c r="AC322" s="5" t="str">
        <f ca="1">IFERROR(__xludf.DUMMYFUNCTION("IF(Y322 = """", """", GOOGLETRANSLATE(Y322, ""en"", ""hi""))
"),"प्रतिकूल परिस्थितियाँ")</f>
        <v>प्रतिकूल परिस्थितियाँ</v>
      </c>
      <c r="AD322" s="5" t="str">
        <f ca="1">IFERROR(__xludf.DUMMYFUNCTION("IF(Z322 = """", """", GOOGLETRANSLATE(Z322, ""en"", ""hi""))"),"पिछले तनाव से स्वास्थ्य पर प्रभाव")</f>
        <v>पिछले तनाव से स्वास्थ्य पर प्रभाव</v>
      </c>
      <c r="AE322" s="5" t="str">
        <f ca="1">IFERROR(__xludf.DUMMYFUNCTION("IF(AA322 = """", """", GOOGLETRANSLATE(AA322, ""en"", ""hi""))"),"बोलने से पहले सोचें")</f>
        <v>बोलने से पहले सोचें</v>
      </c>
      <c r="AF322" s="5" t="str">
        <f ca="1">IFERROR(__xludf.DUMMYFUNCTION("IF(AB322 = """", """", GOOGLETRANSLATE(AB322, ""en"", ""hi""))"),"")</f>
        <v/>
      </c>
      <c r="AG322" s="5" t="str">
        <f ca="1">IFERROR(__xludf.DUMMYFUNCTION("IF(Y322 = """", """", GOOGLETRANSLATE(Y322, ""en"", ""mr""))"),"प्रतिकूल परिस्थिती")</f>
        <v>प्रतिकूल परिस्थिती</v>
      </c>
      <c r="AH322" s="5" t="str">
        <f ca="1">IFERROR(__xludf.DUMMYFUNCTION("IF(Z322 = """", """", GOOGLETRANSLATE(Z322, ""en"", ""mr""))"),"मागील तणावामुळे आरोग्यावर परिणाम")</f>
        <v>मागील तणावामुळे आरोग्यावर परिणाम</v>
      </c>
      <c r="AI322" s="5" t="str">
        <f ca="1">IFERROR(__xludf.DUMMYFUNCTION("IF(AA322 = """", """", GOOGLETRANSLATE(AA322, ""en"", ""mr""))"),"बोलण्यापूर्वी विचार करा")</f>
        <v>बोलण्यापूर्वी विचार करा</v>
      </c>
      <c r="AJ322" s="5" t="str">
        <f ca="1">IFERROR(__xludf.DUMMYFUNCTION("IF(AB322 = """", """", GOOGLETRANSLATE(AB322, ""en"", ""mr""))"),"")</f>
        <v/>
      </c>
      <c r="AK322" s="5" t="str">
        <f ca="1">IFERROR(__xludf.DUMMYFUNCTION("IF(Y322 = """", """", GOOGLETRANSLATE(Y322, ""en"", ""gu""))"),"પ્રતિકૂળ પરિસ્થિતિઓ")</f>
        <v>પ્રતિકૂળ પરિસ્થિતિઓ</v>
      </c>
      <c r="AL322" s="5" t="str">
        <f ca="1">IFERROR(__xludf.DUMMYFUNCTION("IF(Z322 = """", """", GOOGLETRANSLATE(Z322, ""en"", ""gu""))"),"ભૂતકાળના તણાવથી આરોગ્ય પર અસર")</f>
        <v>ભૂતકાળના તણાવથી આરોગ્ય પર અસર</v>
      </c>
      <c r="AM322" s="5" t="str">
        <f ca="1">IFERROR(__xludf.DUMMYFUNCTION("IF(AA322 = """", """", GOOGLETRANSLATE(AA322, ""en"", ""gu""))"),"બોલતા પહેલા વિચારો")</f>
        <v>બોલતા પહેલા વિચારો</v>
      </c>
      <c r="AN322" s="5" t="str">
        <f ca="1">IFERROR(__xludf.DUMMYFUNCTION("IF(AB322 = """", """", GOOGLETRANSLATE(AB322, ""en"", ""gu""))"),"")</f>
        <v/>
      </c>
      <c r="AO322" s="5" t="str">
        <f ca="1">IFERROR(__xludf.DUMMYFUNCTION("IF(Y322 = """", """", GOOGLETRANSLATE(Y322, ""en"", ""bn""))"),"প্রতিকূল অবস্থা")</f>
        <v>প্রতিকূল অবস্থা</v>
      </c>
      <c r="AP322" s="5" t="str">
        <f ca="1">IFERROR(__xludf.DUMMYFUNCTION("IF(Z322 = """", """", GOOGLETRANSLATE(Z322, ""en"", ""bn""))"),"অতীতের মানসিক চাপ থেকে স্বাস্থ্যের প্রভাব")</f>
        <v>অতীতের মানসিক চাপ থেকে স্বাস্থ্যের প্রভাব</v>
      </c>
      <c r="AQ322" s="5" t="str">
        <f ca="1">IFERROR(__xludf.DUMMYFUNCTION("IF(AA322 = """", """", GOOGLETRANSLATE(AA322, ""en"", ""bn""))"),"কথা বলার আগে ভাবুন")</f>
        <v>কথা বলার আগে ভাবুন</v>
      </c>
      <c r="AR322" s="5" t="str">
        <f ca="1">IFERROR(__xludf.DUMMYFUNCTION("IF(AB322 = """", """", GOOGLETRANSLATE(AB322, ""en"", ""bn""))"),"")</f>
        <v/>
      </c>
      <c r="AU322" s="5" t="str">
        <f ca="1">IFERROR(__xludf.DUMMYFUNCTION("IF(Y322 = """", """", GOOGLETRANSLATE(Y322, ""en"", ""te""))"),"అననుకూల పరిస్థితులు")</f>
        <v>అననుకూల పరిస్థితులు</v>
      </c>
      <c r="AV322" s="5" t="str">
        <f ca="1">IFERROR(__xludf.DUMMYFUNCTION("IF(Z322 = """", """", GOOGLETRANSLATE(Z322, ""en"", ""te""))"),"గత ఒత్తిడి నుండి ఆరోగ్యంపై ప్రభావం")</f>
        <v>గత ఒత్తిడి నుండి ఆరోగ్యంపై ప్రభావం</v>
      </c>
      <c r="AW322" s="5" t="str">
        <f ca="1">IFERROR(__xludf.DUMMYFUNCTION("IF(AA322 = """", """", GOOGLETRANSLATE(AA322, ""en"", ""te""))"),"మాట్లాడే ముందు ఆలోచించండి")</f>
        <v>మాట్లాడే ముందు ఆలోచించండి</v>
      </c>
      <c r="AX322" s="5" t="str">
        <f ca="1">IFERROR(__xludf.DUMMYFUNCTION("IF(AB322 = """", """", GOOGLETRANSLATE(AB322, ""en"", ""te""))"),"")</f>
        <v/>
      </c>
    </row>
    <row r="323" spans="1:50" x14ac:dyDescent="0.25">
      <c r="A323" s="1">
        <v>338</v>
      </c>
      <c r="B323" s="1" t="s">
        <v>56</v>
      </c>
      <c r="C323" s="2">
        <v>45848</v>
      </c>
      <c r="D323" s="2">
        <v>45848</v>
      </c>
      <c r="E323" s="1">
        <v>4</v>
      </c>
      <c r="F323" s="1">
        <v>1</v>
      </c>
      <c r="G323" s="3" t="s">
        <v>902</v>
      </c>
      <c r="H323" s="4">
        <v>1.1377314814814814E-2</v>
      </c>
      <c r="I323" s="4">
        <v>2.8356481481481483E-3</v>
      </c>
      <c r="J323" s="4">
        <v>3.2523148148148147E-3</v>
      </c>
      <c r="K323" s="1"/>
      <c r="L323" s="1" t="s">
        <v>97</v>
      </c>
      <c r="M323" s="1"/>
      <c r="N323" s="1"/>
      <c r="O323" s="1" t="s">
        <v>91</v>
      </c>
      <c r="P323" s="1" t="s">
        <v>61</v>
      </c>
      <c r="Q323" s="1" t="s">
        <v>61</v>
      </c>
      <c r="R323" s="1" t="s">
        <v>61</v>
      </c>
      <c r="S323" s="1" t="s">
        <v>61</v>
      </c>
      <c r="T323" s="1" t="s">
        <v>61</v>
      </c>
      <c r="U323" s="1" t="s">
        <v>61</v>
      </c>
      <c r="V323" s="1" t="s">
        <v>91</v>
      </c>
      <c r="W323" s="1" t="s">
        <v>61</v>
      </c>
      <c r="X323" s="1" t="s">
        <v>61</v>
      </c>
      <c r="Y323" s="1" t="s">
        <v>909</v>
      </c>
      <c r="Z323" s="1" t="s">
        <v>910</v>
      </c>
      <c r="AA323" s="1" t="s">
        <v>401</v>
      </c>
      <c r="AB323" s="1"/>
      <c r="AC323" s="5" t="str">
        <f ca="1">IFERROR(__xludf.DUMMYFUNCTION("IF(Y323 = """", """", GOOGLETRANSLATE(Y323, ""en"", ""hi""))
"),"सामाजिक या धार्मिक योजना")</f>
        <v>सामाजिक या धार्मिक योजना</v>
      </c>
      <c r="AD323" s="5" t="str">
        <f ca="1">IFERROR(__xludf.DUMMYFUNCTION("IF(Z323 = """", """", GOOGLETRANSLATE(Z323, ""en"", ""hi""))"),"परिवार के लिये समय")</f>
        <v>परिवार के लिये समय</v>
      </c>
      <c r="AE323" s="5" t="str">
        <f ca="1">IFERROR(__xludf.DUMMYFUNCTION("IF(AA323 = """", """", GOOGLETRANSLATE(AA323, ""en"", ""hi""))"),"अचानक खर्च की संभावना")</f>
        <v>अचानक खर्च की संभावना</v>
      </c>
      <c r="AF323" s="5" t="str">
        <f ca="1">IFERROR(__xludf.DUMMYFUNCTION("IF(AB323 = """", """", GOOGLETRANSLATE(AB323, ""en"", ""hi""))"),"")</f>
        <v/>
      </c>
      <c r="AG323" s="5" t="str">
        <f ca="1">IFERROR(__xludf.DUMMYFUNCTION("IF(Y323 = """", """", GOOGLETRANSLATE(Y323, ""en"", ""mr""))"),"सामाजिक किंवा धार्मिक नियोजन")</f>
        <v>सामाजिक किंवा धार्मिक नियोजन</v>
      </c>
      <c r="AH323" s="5" t="str">
        <f ca="1">IFERROR(__xludf.DUMMYFUNCTION("IF(Z323 = """", """", GOOGLETRANSLATE(Z323, ""en"", ""mr""))"),"कौटुंबिक वेळ")</f>
        <v>कौटुंबिक वेळ</v>
      </c>
      <c r="AI323" s="5" t="str">
        <f ca="1">IFERROR(__xludf.DUMMYFUNCTION("IF(AA323 = """", """", GOOGLETRANSLATE(AA323, ""en"", ""mr""))"),"अचानक खर्च होण्याची शक्यता")</f>
        <v>अचानक खर्च होण्याची शक्यता</v>
      </c>
      <c r="AJ323" s="5" t="str">
        <f ca="1">IFERROR(__xludf.DUMMYFUNCTION("IF(AB323 = """", """", GOOGLETRANSLATE(AB323, ""en"", ""mr""))"),"")</f>
        <v/>
      </c>
      <c r="AK323" s="5" t="str">
        <f ca="1">IFERROR(__xludf.DUMMYFUNCTION("IF(Y323 = """", """", GOOGLETRANSLATE(Y323, ""en"", ""gu""))"),"સામાજિક કે ધાર્મિક આયોજન")</f>
        <v>સામાજિક કે ધાર્મિક આયોજન</v>
      </c>
      <c r="AL323" s="5" t="str">
        <f ca="1">IFERROR(__xludf.DUMMYFUNCTION("IF(Z323 = """", """", GOOGLETRANSLATE(Z323, ""en"", ""gu""))"),"કૌટુંબિક સમય")</f>
        <v>કૌટુંબિક સમય</v>
      </c>
      <c r="AM323" s="5" t="str">
        <f ca="1">IFERROR(__xludf.DUMMYFUNCTION("IF(AA323 = """", """", GOOGLETRANSLATE(AA323, ""en"", ""gu""))"),"અચાનક ખર્ચ થવાની સંભાવના છે")</f>
        <v>અચાનક ખર્ચ થવાની સંભાવના છે</v>
      </c>
      <c r="AN323" s="5" t="str">
        <f ca="1">IFERROR(__xludf.DUMMYFUNCTION("IF(AB323 = """", """", GOOGLETRANSLATE(AB323, ""en"", ""gu""))"),"")</f>
        <v/>
      </c>
      <c r="AO323" s="5" t="str">
        <f ca="1">IFERROR(__xludf.DUMMYFUNCTION("IF(Y323 = """", """", GOOGLETRANSLATE(Y323, ""en"", ""bn""))"),"সামাজিক বা ধর্মীয় পরিকল্পনা")</f>
        <v>সামাজিক বা ধর্মীয় পরিকল্পনা</v>
      </c>
      <c r="AP323" s="5" t="str">
        <f ca="1">IFERROR(__xludf.DUMMYFUNCTION("IF(Z323 = """", """", GOOGLETRANSLATE(Z323, ""en"", ""bn""))"),"পারিবারিক সময়")</f>
        <v>পারিবারিক সময়</v>
      </c>
      <c r="AQ323" s="5" t="str">
        <f ca="1">IFERROR(__xludf.DUMMYFUNCTION("IF(AA323 = """", """", GOOGLETRANSLATE(AA323, ""en"", ""bn""))"),"আকস্মিক খরচের সম্ভাবনা")</f>
        <v>আকস্মিক খরচের সম্ভাবনা</v>
      </c>
      <c r="AR323" s="5" t="str">
        <f ca="1">IFERROR(__xludf.DUMMYFUNCTION("IF(AB323 = """", """", GOOGLETRANSLATE(AB323, ""en"", ""bn""))"),"")</f>
        <v/>
      </c>
      <c r="AU323" s="5" t="str">
        <f ca="1">IFERROR(__xludf.DUMMYFUNCTION("IF(Y323 = """", """", GOOGLETRANSLATE(Y323, ""en"", ""te""))"),"సామాజిక లేదా మతపరమైన ప్రణాళిక")</f>
        <v>సామాజిక లేదా మతపరమైన ప్రణాళిక</v>
      </c>
      <c r="AV323" s="5" t="str">
        <f ca="1">IFERROR(__xludf.DUMMYFUNCTION("IF(Z323 = """", """", GOOGLETRANSLATE(Z323, ""en"", ""te""))"),"కుటుంబ సమయం")</f>
        <v>కుటుంబ సమయం</v>
      </c>
      <c r="AW323" s="5" t="str">
        <f ca="1">IFERROR(__xludf.DUMMYFUNCTION("IF(AA323 = """", """", GOOGLETRANSLATE(AA323, ""en"", ""te""))"),"ఆకస్మిక ఖర్చులకు అవకాశం")</f>
        <v>ఆకస్మిక ఖర్చులకు అవకాశం</v>
      </c>
      <c r="AX323" s="5" t="str">
        <f ca="1">IFERROR(__xludf.DUMMYFUNCTION("IF(AB323 = """", """", GOOGLETRANSLATE(AB323, ""en"", ""te""))"),"")</f>
        <v/>
      </c>
    </row>
    <row r="324" spans="1:50" x14ac:dyDescent="0.25">
      <c r="A324" s="1">
        <v>339</v>
      </c>
      <c r="B324" s="1" t="s">
        <v>56</v>
      </c>
      <c r="C324" s="2">
        <v>45848</v>
      </c>
      <c r="D324" s="2">
        <v>45848</v>
      </c>
      <c r="E324" s="1">
        <v>5</v>
      </c>
      <c r="F324" s="1">
        <v>1</v>
      </c>
      <c r="G324" s="3" t="s">
        <v>902</v>
      </c>
      <c r="H324" s="4">
        <v>1.1377314814814814E-2</v>
      </c>
      <c r="I324" s="4">
        <v>3.2523148148148147E-3</v>
      </c>
      <c r="J324" s="4">
        <v>3.5763888888888889E-3</v>
      </c>
      <c r="K324" s="1"/>
      <c r="L324" s="1" t="s">
        <v>102</v>
      </c>
      <c r="M324" s="1"/>
      <c r="N324" s="1"/>
      <c r="O324" s="1" t="s">
        <v>61</v>
      </c>
      <c r="P324" s="1" t="s">
        <v>61</v>
      </c>
      <c r="Q324" s="1" t="s">
        <v>61</v>
      </c>
      <c r="R324" s="1" t="s">
        <v>61</v>
      </c>
      <c r="S324" s="1" t="s">
        <v>91</v>
      </c>
      <c r="T324" s="1" t="s">
        <v>61</v>
      </c>
      <c r="U324" s="1" t="s">
        <v>61</v>
      </c>
      <c r="V324" s="1" t="s">
        <v>61</v>
      </c>
      <c r="W324" s="1" t="s">
        <v>61</v>
      </c>
      <c r="X324" s="1" t="s">
        <v>91</v>
      </c>
      <c r="Y324" s="1" t="s">
        <v>528</v>
      </c>
      <c r="Z324" s="1" t="s">
        <v>911</v>
      </c>
      <c r="AA324" s="1" t="s">
        <v>912</v>
      </c>
      <c r="AB324" s="1"/>
      <c r="AC324" s="5" t="str">
        <f ca="1">IFERROR(__xludf.DUMMYFUNCTION("IF(Y324 = """", """", GOOGLETRANSLATE(Y324, ""en"", ""hi""))
"),"कार्यभार अधिक")</f>
        <v>कार्यभार अधिक</v>
      </c>
      <c r="AD324" s="5" t="str">
        <f ca="1">IFERROR(__xludf.DUMMYFUNCTION("IF(Z324 = """", """", GOOGLETRANSLATE(Z324, ""en"", ""hi""))"),"मानसिक रूप से तैयार")</f>
        <v>मानसिक रूप से तैयार</v>
      </c>
      <c r="AE324" s="5" t="str">
        <f ca="1">IFERROR(__xludf.DUMMYFUNCTION("IF(AA324 = """", """", GOOGLETRANSLATE(AA324, ""en"", ""hi""))"),"शाम थका देने वाली हो सकती है")</f>
        <v>शाम थका देने वाली हो सकती है</v>
      </c>
      <c r="AF324" s="5" t="str">
        <f ca="1">IFERROR(__xludf.DUMMYFUNCTION("IF(AB324 = """", """", GOOGLETRANSLATE(AB324, ""en"", ""hi""))"),"")</f>
        <v/>
      </c>
      <c r="AG324" s="5" t="str">
        <f ca="1">IFERROR(__xludf.DUMMYFUNCTION("IF(Y324 = """", """", GOOGLETRANSLATE(Y324, ""en"", ""mr""))"),"कामाचा ताण जास्त")</f>
        <v>कामाचा ताण जास्त</v>
      </c>
      <c r="AH324" s="5" t="str">
        <f ca="1">IFERROR(__xludf.DUMMYFUNCTION("IF(Z324 = """", """", GOOGLETRANSLATE(Z324, ""en"", ""mr""))"),"मानसिक तयारी केली")</f>
        <v>मानसिक तयारी केली</v>
      </c>
      <c r="AI324" s="5" t="str">
        <f ca="1">IFERROR(__xludf.DUMMYFUNCTION("IF(AA324 = """", """", GOOGLETRANSLATE(AA324, ""en"", ""mr""))"),"थकवणारी संध्याकाळ होण्याची शक्यता आहे")</f>
        <v>थकवणारी संध्याकाळ होण्याची शक्यता आहे</v>
      </c>
      <c r="AJ324" s="5" t="str">
        <f ca="1">IFERROR(__xludf.DUMMYFUNCTION("IF(AB324 = """", """", GOOGLETRANSLATE(AB324, ""en"", ""mr""))"),"")</f>
        <v/>
      </c>
      <c r="AK324" s="5" t="str">
        <f ca="1">IFERROR(__xludf.DUMMYFUNCTION("IF(Y324 = """", """", GOOGLETRANSLATE(Y324, ""en"", ""gu""))"),"કામનું ભારણ વધારે છે")</f>
        <v>કામનું ભારણ વધારે છે</v>
      </c>
      <c r="AL324" s="5" t="str">
        <f ca="1">IFERROR(__xludf.DUMMYFUNCTION("IF(Z324 = """", """", GOOGLETRANSLATE(Z324, ""en"", ""gu""))"),"માનસિક રીતે તૈયાર")</f>
        <v>માનસિક રીતે તૈયાર</v>
      </c>
      <c r="AM324" s="5" t="str">
        <f ca="1">IFERROR(__xludf.DUMMYFUNCTION("IF(AA324 = """", """", GOOGLETRANSLATE(AA324, ""en"", ""gu""))"),"કંટાળાજનક સાંજની શક્યતા")</f>
        <v>કંટાળાજનક સાંજની શક્યતા</v>
      </c>
      <c r="AN324" s="5" t="str">
        <f ca="1">IFERROR(__xludf.DUMMYFUNCTION("IF(AB324 = """", """", GOOGLETRANSLATE(AB324, ""en"", ""gu""))"),"")</f>
        <v/>
      </c>
      <c r="AO324" s="5" t="str">
        <f ca="1">IFERROR(__xludf.DUMMYFUNCTION("IF(Y324 = """", """", GOOGLETRANSLATE(Y324, ""en"", ""bn""))"),"কাজের চাপ বেশি")</f>
        <v>কাজের চাপ বেশি</v>
      </c>
      <c r="AP324" s="5" t="str">
        <f ca="1">IFERROR(__xludf.DUMMYFUNCTION("IF(Z324 = """", """", GOOGLETRANSLATE(Z324, ""en"", ""bn""))"),"মানসিকভাবে প্রস্তুত")</f>
        <v>মানসিকভাবে প্রস্তুত</v>
      </c>
      <c r="AQ324" s="5" t="str">
        <f ca="1">IFERROR(__xludf.DUMMYFUNCTION("IF(AA324 = """", """", GOOGLETRANSLATE(AA324, ""en"", ""bn""))"),"ক্লান্তিকর সন্ধ্যার সম্ভাবনা")</f>
        <v>ক্লান্তিকর সন্ধ্যার সম্ভাবনা</v>
      </c>
      <c r="AR324" s="5" t="str">
        <f ca="1">IFERROR(__xludf.DUMMYFUNCTION("IF(AB324 = """", """", GOOGLETRANSLATE(AB324, ""en"", ""bn""))"),"")</f>
        <v/>
      </c>
      <c r="AU324" s="5" t="str">
        <f ca="1">IFERROR(__xludf.DUMMYFUNCTION("IF(Y324 = """", """", GOOGLETRANSLATE(Y324, ""en"", ""te""))"),"పనిభారం ఎక్కువ")</f>
        <v>పనిభారం ఎక్కువ</v>
      </c>
      <c r="AV324" s="5" t="str">
        <f ca="1">IFERROR(__xludf.DUMMYFUNCTION("IF(Z324 = """", """", GOOGLETRANSLATE(Z324, ""en"", ""te""))"),"మానసికంగా సిద్ధమయ్యారు")</f>
        <v>మానసికంగా సిద్ధమయ్యారు</v>
      </c>
      <c r="AW324" s="5" t="str">
        <f ca="1">IFERROR(__xludf.DUMMYFUNCTION("IF(AA324 = """", """", GOOGLETRANSLATE(AA324, ""en"", ""te""))"),"సాయంత్రం అలసిపోయే అవకాశం ఉంది")</f>
        <v>సాయంత్రం అలసిపోయే అవకాశం ఉంది</v>
      </c>
      <c r="AX324" s="5" t="str">
        <f ca="1">IFERROR(__xludf.DUMMYFUNCTION("IF(AB324 = """", """", GOOGLETRANSLATE(AB324, ""en"", ""te""))"),"")</f>
        <v/>
      </c>
    </row>
    <row r="325" spans="1:50" x14ac:dyDescent="0.25">
      <c r="A325" s="1">
        <v>340</v>
      </c>
      <c r="B325" s="1" t="s">
        <v>56</v>
      </c>
      <c r="C325" s="2">
        <v>45848</v>
      </c>
      <c r="D325" s="2">
        <v>45848</v>
      </c>
      <c r="E325" s="1">
        <v>6</v>
      </c>
      <c r="F325" s="1">
        <v>1</v>
      </c>
      <c r="G325" s="3" t="s">
        <v>902</v>
      </c>
      <c r="H325" s="4">
        <v>1.1377314814814814E-2</v>
      </c>
      <c r="I325" s="4">
        <v>3.5763888888888889E-3</v>
      </c>
      <c r="J325" s="4">
        <v>3.8888888888888888E-3</v>
      </c>
      <c r="K325" s="1"/>
      <c r="L325" s="1" t="s">
        <v>108</v>
      </c>
      <c r="M325" s="1"/>
      <c r="N325" s="1"/>
      <c r="O325" s="1" t="s">
        <v>91</v>
      </c>
      <c r="P325" s="1" t="s">
        <v>61</v>
      </c>
      <c r="Q325" s="1" t="s">
        <v>61</v>
      </c>
      <c r="R325" s="1" t="s">
        <v>61</v>
      </c>
      <c r="S325" s="1" t="s">
        <v>61</v>
      </c>
      <c r="T325" s="1" t="s">
        <v>61</v>
      </c>
      <c r="U325" s="1" t="s">
        <v>61</v>
      </c>
      <c r="V325" s="1" t="s">
        <v>91</v>
      </c>
      <c r="W325" s="1" t="s">
        <v>61</v>
      </c>
      <c r="X325" s="1" t="s">
        <v>61</v>
      </c>
      <c r="Y325" s="1" t="s">
        <v>913</v>
      </c>
      <c r="Z325" s="1" t="s">
        <v>914</v>
      </c>
      <c r="AA325" s="1" t="s">
        <v>915</v>
      </c>
      <c r="AB325" s="1"/>
      <c r="AC325" s="5" t="str">
        <f ca="1">IFERROR(__xludf.DUMMYFUNCTION("IF(Y325 = """", """", GOOGLETRANSLATE(Y325, ""en"", ""hi""))
"),"कैरियर के अवसर")</f>
        <v>कैरियर के अवसर</v>
      </c>
      <c r="AD325" s="5" t="str">
        <f ca="1">IFERROR(__xludf.DUMMYFUNCTION("IF(Z325 = """", """", GOOGLETRANSLATE(Z325, ""en"", ""hi""))"),"प्रगति संभव")</f>
        <v>प्रगति संभव</v>
      </c>
      <c r="AE325" s="5" t="str">
        <f ca="1">IFERROR(__xludf.DUMMYFUNCTION("IF(AA325 = """", """", GOOGLETRANSLATE(AA325, ""en"", ""hi""))"),"लंबित कार्यों को साफ़ करें")</f>
        <v>लंबित कार्यों को साफ़ करें</v>
      </c>
      <c r="AF325" s="5" t="str">
        <f ca="1">IFERROR(__xludf.DUMMYFUNCTION("IF(AB325 = """", """", GOOGLETRANSLATE(AB325, ""en"", ""hi""))"),"")</f>
        <v/>
      </c>
      <c r="AG325" s="5" t="str">
        <f ca="1">IFERROR(__xludf.DUMMYFUNCTION("IF(Y325 = """", """", GOOGLETRANSLATE(Y325, ""en"", ""mr""))"),"करिअरच्या संधी")</f>
        <v>करिअरच्या संधी</v>
      </c>
      <c r="AH325" s="5" t="str">
        <f ca="1">IFERROR(__xludf.DUMMYFUNCTION("IF(Z325 = """", """", GOOGLETRANSLATE(Z325, ""en"", ""mr""))"),"प्रगती शक्य")</f>
        <v>प्रगती शक्य</v>
      </c>
      <c r="AI325" s="5" t="str">
        <f ca="1">IFERROR(__xludf.DUMMYFUNCTION("IF(AA325 = """", """", GOOGLETRANSLATE(AA325, ""en"", ""mr""))"),"प्रलंबित कामे पूर्ण करा")</f>
        <v>प्रलंबित कामे पूर्ण करा</v>
      </c>
      <c r="AJ325" s="5" t="str">
        <f ca="1">IFERROR(__xludf.DUMMYFUNCTION("IF(AB325 = """", """", GOOGLETRANSLATE(AB325, ""en"", ""mr""))"),"")</f>
        <v/>
      </c>
      <c r="AK325" s="5" t="str">
        <f ca="1">IFERROR(__xludf.DUMMYFUNCTION("IF(Y325 = """", """", GOOGLETRANSLATE(Y325, ""en"", ""gu""))"),"કારકિર્દીની તકો")</f>
        <v>કારકિર્દીની તકો</v>
      </c>
      <c r="AL325" s="5" t="str">
        <f ca="1">IFERROR(__xludf.DUMMYFUNCTION("IF(Z325 = """", """", GOOGLETRANSLATE(Z325, ""en"", ""gu""))"),"પ્રગતિ શક્ય છે")</f>
        <v>પ્રગતિ શક્ય છે</v>
      </c>
      <c r="AM325" s="5" t="str">
        <f ca="1">IFERROR(__xludf.DUMMYFUNCTION("IF(AA325 = """", """", GOOGLETRANSLATE(AA325, ""en"", ""gu""))"),"બાકી રહેલા કાર્યો સાફ કરો")</f>
        <v>બાકી રહેલા કાર્યો સાફ કરો</v>
      </c>
      <c r="AN325" s="5" t="str">
        <f ca="1">IFERROR(__xludf.DUMMYFUNCTION("IF(AB325 = """", """", GOOGLETRANSLATE(AB325, ""en"", ""gu""))"),"")</f>
        <v/>
      </c>
      <c r="AO325" s="5" t="str">
        <f ca="1">IFERROR(__xludf.DUMMYFUNCTION("IF(Y325 = """", """", GOOGLETRANSLATE(Y325, ""en"", ""bn""))"),"কর্মজীবনের সুযোগ")</f>
        <v>কর্মজীবনের সুযোগ</v>
      </c>
      <c r="AP325" s="5" t="str">
        <f ca="1">IFERROR(__xludf.DUMMYFUNCTION("IF(Z325 = """", """", GOOGLETRANSLATE(Z325, ""en"", ""bn""))"),"অগ্রগতি সম্ভব")</f>
        <v>অগ্রগতি সম্ভব</v>
      </c>
      <c r="AQ325" s="5" t="str">
        <f ca="1">IFERROR(__xludf.DUMMYFUNCTION("IF(AA325 = """", """", GOOGLETRANSLATE(AA325, ""en"", ""bn""))"),"মুলতুবি থাকা কাজগুলি সাফ করুন")</f>
        <v>মুলতুবি থাকা কাজগুলি সাফ করুন</v>
      </c>
      <c r="AR325" s="5" t="str">
        <f ca="1">IFERROR(__xludf.DUMMYFUNCTION("IF(AB325 = """", """", GOOGLETRANSLATE(AB325, ""en"", ""bn""))"),"")</f>
        <v/>
      </c>
      <c r="AU325" s="5" t="str">
        <f ca="1">IFERROR(__xludf.DUMMYFUNCTION("IF(Y325 = """", """", GOOGLETRANSLATE(Y325, ""en"", ""te""))"),"కెరీర్ అవకాశాలు")</f>
        <v>కెరీర్ అవకాశాలు</v>
      </c>
      <c r="AV325" s="5" t="str">
        <f ca="1">IFERROR(__xludf.DUMMYFUNCTION("IF(Z325 = """", """", GOOGLETRANSLATE(Z325, ""en"", ""te""))"),"పురోగతి సాధ్యం")</f>
        <v>పురోగతి సాధ్యం</v>
      </c>
      <c r="AW325" s="5" t="str">
        <f ca="1">IFERROR(__xludf.DUMMYFUNCTION("IF(AA325 = """", """", GOOGLETRANSLATE(AA325, ""en"", ""te""))"),"పెండింగ్‌లో ఉన్న పనులను క్లియర్ చేయండి")</f>
        <v>పెండింగ్‌లో ఉన్న పనులను క్లియర్ చేయండి</v>
      </c>
      <c r="AX325" s="5" t="str">
        <f ca="1">IFERROR(__xludf.DUMMYFUNCTION("IF(AB325 = """", """", GOOGLETRANSLATE(AB325, ""en"", ""te""))"),"")</f>
        <v/>
      </c>
    </row>
    <row r="326" spans="1:50" x14ac:dyDescent="0.25">
      <c r="A326" s="1">
        <v>341</v>
      </c>
      <c r="B326" s="1" t="s">
        <v>56</v>
      </c>
      <c r="C326" s="2">
        <v>45848</v>
      </c>
      <c r="D326" s="2">
        <v>45848</v>
      </c>
      <c r="E326" s="1">
        <v>7</v>
      </c>
      <c r="F326" s="1">
        <v>1</v>
      </c>
      <c r="G326" s="3" t="s">
        <v>902</v>
      </c>
      <c r="H326" s="4">
        <v>1.1377314814814814E-2</v>
      </c>
      <c r="I326" s="4">
        <v>3.8888888888888888E-3</v>
      </c>
      <c r="J326" s="4">
        <v>4.1203703703703706E-3</v>
      </c>
      <c r="K326" s="1"/>
      <c r="L326" s="1" t="s">
        <v>113</v>
      </c>
      <c r="M326" s="1"/>
      <c r="N326" s="1"/>
      <c r="O326" s="1" t="s">
        <v>61</v>
      </c>
      <c r="P326" s="1" t="s">
        <v>61</v>
      </c>
      <c r="Q326" s="1" t="s">
        <v>61</v>
      </c>
      <c r="R326" s="1" t="s">
        <v>61</v>
      </c>
      <c r="S326" s="1" t="s">
        <v>61</v>
      </c>
      <c r="T326" s="1" t="s">
        <v>91</v>
      </c>
      <c r="U326" s="1" t="s">
        <v>61</v>
      </c>
      <c r="V326" s="1" t="s">
        <v>61</v>
      </c>
      <c r="W326" s="1" t="s">
        <v>61</v>
      </c>
      <c r="X326" s="1" t="s">
        <v>91</v>
      </c>
      <c r="Y326" s="1" t="s">
        <v>287</v>
      </c>
      <c r="Z326" s="1" t="s">
        <v>186</v>
      </c>
      <c r="AA326" s="1" t="s">
        <v>916</v>
      </c>
      <c r="AB326" s="1"/>
      <c r="AC326" s="5" t="str">
        <f ca="1">IFERROR(__xludf.DUMMYFUNCTION("IF(Y326 = """", """", GOOGLETRANSLATE(Y326, ""en"", ""hi""))
"),"क्रोध और वाणी पर नियंत्रण रखें")</f>
        <v>क्रोध और वाणी पर नियंत्रण रखें</v>
      </c>
      <c r="AD326" s="5" t="str">
        <f ca="1">IFERROR(__xludf.DUMMYFUNCTION("IF(Z326 = """", """", GOOGLETRANSLATE(Z326, ""en"", ""hi""))"),"बहस से बचें")</f>
        <v>बहस से बचें</v>
      </c>
      <c r="AE326" s="5" t="str">
        <f ca="1">IFERROR(__xludf.DUMMYFUNCTION("IF(AA326 = """", """", GOOGLETRANSLATE(AA326, ""en"", ""hi""))"),"संघर्ष के लिए प्रतिकूल")</f>
        <v>संघर्ष के लिए प्रतिकूल</v>
      </c>
      <c r="AF326" s="5" t="str">
        <f ca="1">IFERROR(__xludf.DUMMYFUNCTION("IF(AB326 = """", """", GOOGLETRANSLATE(AB326, ""en"", ""hi""))"),"")</f>
        <v/>
      </c>
      <c r="AG326" s="5" t="str">
        <f ca="1">IFERROR(__xludf.DUMMYFUNCTION("IF(Y326 = """", """", GOOGLETRANSLATE(Y326, ""en"", ""mr""))"),"राग आणि वाणीवर नियंत्रण ठेवा")</f>
        <v>राग आणि वाणीवर नियंत्रण ठेवा</v>
      </c>
      <c r="AH326" s="5" t="str">
        <f ca="1">IFERROR(__xludf.DUMMYFUNCTION("IF(Z326 = """", """", GOOGLETRANSLATE(Z326, ""en"", ""mr""))"),"वाद टाळा")</f>
        <v>वाद टाळा</v>
      </c>
      <c r="AI326" s="5" t="str">
        <f ca="1">IFERROR(__xludf.DUMMYFUNCTION("IF(AA326 = """", """", GOOGLETRANSLATE(AA326, ""en"", ""mr""))"),"संघर्षासाठी प्रतिकूल")</f>
        <v>संघर्षासाठी प्रतिकूल</v>
      </c>
      <c r="AJ326" s="5" t="str">
        <f ca="1">IFERROR(__xludf.DUMMYFUNCTION("IF(AB326 = """", """", GOOGLETRANSLATE(AB326, ""en"", ""mr""))"),"")</f>
        <v/>
      </c>
      <c r="AK326" s="5" t="str">
        <f ca="1">IFERROR(__xludf.DUMMYFUNCTION("IF(Y326 = """", """", GOOGLETRANSLATE(Y326, ""en"", ""gu""))"),"ગુસ્સા અને વાણી પર નિયંત્રણ રાખો")</f>
        <v>ગુસ્સા અને વાણી પર નિયંત્રણ રાખો</v>
      </c>
      <c r="AL326" s="5" t="str">
        <f ca="1">IFERROR(__xludf.DUMMYFUNCTION("IF(Z326 = """", """", GOOGLETRANSLATE(Z326, ""en"", ""gu""))"),"દલીલો ટાળો")</f>
        <v>દલીલો ટાળો</v>
      </c>
      <c r="AM326" s="5" t="str">
        <f ca="1">IFERROR(__xludf.DUMMYFUNCTION("IF(AA326 = """", """", GOOGLETRANSLATE(AA326, ""en"", ""gu""))"),"સંઘર્ષ માટે પ્રતિકૂળ")</f>
        <v>સંઘર્ષ માટે પ્રતિકૂળ</v>
      </c>
      <c r="AN326" s="5" t="str">
        <f ca="1">IFERROR(__xludf.DUMMYFUNCTION("IF(AB326 = """", """", GOOGLETRANSLATE(AB326, ""en"", ""gu""))"),"")</f>
        <v/>
      </c>
      <c r="AO326" s="5" t="str">
        <f ca="1">IFERROR(__xludf.DUMMYFUNCTION("IF(Y326 = """", """", GOOGLETRANSLATE(Y326, ""en"", ""bn""))"),"রাগ ও কথাবার্তা নিয়ন্ত্রণ করুন")</f>
        <v>রাগ ও কথাবার্তা নিয়ন্ত্রণ করুন</v>
      </c>
      <c r="AP326" s="5" t="str">
        <f ca="1">IFERROR(__xludf.DUMMYFUNCTION("IF(Z326 = """", """", GOOGLETRANSLATE(Z326, ""en"", ""bn""))"),"তর্ক এড়িয়ে চলুন")</f>
        <v>তর্ক এড়িয়ে চলুন</v>
      </c>
      <c r="AQ326" s="5" t="str">
        <f ca="1">IFERROR(__xludf.DUMMYFUNCTION("IF(AA326 = """", """", GOOGLETRANSLATE(AA326, ""en"", ""bn""))"),"সংঘর্ষের জন্য প্রতিকূল")</f>
        <v>সংঘর্ষের জন্য প্রতিকূল</v>
      </c>
      <c r="AR326" s="5" t="str">
        <f ca="1">IFERROR(__xludf.DUMMYFUNCTION("IF(AB326 = """", """", GOOGLETRANSLATE(AB326, ""en"", ""bn""))"),"")</f>
        <v/>
      </c>
      <c r="AU326" s="5" t="str">
        <f ca="1">IFERROR(__xludf.DUMMYFUNCTION("IF(Y326 = """", """", GOOGLETRANSLATE(Y326, ""en"", ""te""))"),"కోపం మరియు మాటలను నియంత్రించండి")</f>
        <v>కోపం మరియు మాటలను నియంత్రించండి</v>
      </c>
      <c r="AV326" s="5" t="str">
        <f ca="1">IFERROR(__xludf.DUMMYFUNCTION("IF(Z326 = """", """", GOOGLETRANSLATE(Z326, ""en"", ""te""))"),"వాదనలు మానుకోండి")</f>
        <v>వాదనలు మానుకోండి</v>
      </c>
      <c r="AW326" s="5" t="str">
        <f ca="1">IFERROR(__xludf.DUMMYFUNCTION("IF(AA326 = """", """", GOOGLETRANSLATE(AA326, ""en"", ""te""))"),"సంఘర్షణకు అననుకూలమైనది")</f>
        <v>సంఘర్షణకు అననుకూలమైనది</v>
      </c>
      <c r="AX326" s="5" t="str">
        <f ca="1">IFERROR(__xludf.DUMMYFUNCTION("IF(AB326 = """", """", GOOGLETRANSLATE(AB326, ""en"", ""te""))"),"")</f>
        <v/>
      </c>
    </row>
    <row r="327" spans="1:50" x14ac:dyDescent="0.25">
      <c r="A327" s="1">
        <v>342</v>
      </c>
      <c r="B327" s="1" t="s">
        <v>56</v>
      </c>
      <c r="C327" s="2">
        <v>45848</v>
      </c>
      <c r="D327" s="2">
        <v>45848</v>
      </c>
      <c r="E327" s="1">
        <v>8</v>
      </c>
      <c r="F327" s="1">
        <v>1</v>
      </c>
      <c r="G327" s="3" t="s">
        <v>902</v>
      </c>
      <c r="H327" s="4">
        <v>1.1377314814814814E-2</v>
      </c>
      <c r="I327" s="4">
        <v>4.1203703703703706E-3</v>
      </c>
      <c r="J327" s="4">
        <v>4.5138888888888885E-3</v>
      </c>
      <c r="K327" s="1"/>
      <c r="L327" s="1" t="s">
        <v>64</v>
      </c>
      <c r="M327" s="1"/>
      <c r="N327" s="1"/>
      <c r="O327" s="1" t="s">
        <v>91</v>
      </c>
      <c r="P327" s="1" t="s">
        <v>61</v>
      </c>
      <c r="Q327" s="1" t="s">
        <v>61</v>
      </c>
      <c r="R327" s="1" t="s">
        <v>61</v>
      </c>
      <c r="S327" s="1" t="s">
        <v>61</v>
      </c>
      <c r="T327" s="1" t="s">
        <v>61</v>
      </c>
      <c r="U327" s="1" t="s">
        <v>61</v>
      </c>
      <c r="V327" s="1" t="s">
        <v>91</v>
      </c>
      <c r="W327" s="1" t="s">
        <v>61</v>
      </c>
      <c r="X327" s="1" t="s">
        <v>61</v>
      </c>
      <c r="Y327" s="1" t="s">
        <v>917</v>
      </c>
      <c r="Z327" s="1" t="s">
        <v>918</v>
      </c>
      <c r="AA327" s="1" t="s">
        <v>919</v>
      </c>
      <c r="AB327" s="1" t="s">
        <v>920</v>
      </c>
      <c r="AC327" s="5" t="str">
        <f ca="1">IFERROR(__xludf.DUMMYFUNCTION("IF(Y327 = """", """", GOOGLETRANSLATE(Y327, ""en"", ""hi""))
"),"सामाजिक और धार्मिक उत्सव")</f>
        <v>सामाजिक और धार्मिक उत्सव</v>
      </c>
      <c r="AD327" s="5" t="str">
        <f ca="1">IFERROR(__xludf.DUMMYFUNCTION("IF(Z327 = """", """", GOOGLETRANSLATE(Z327, ""en"", ""hi""))"),"अचानक खर्च")</f>
        <v>अचानक खर्च</v>
      </c>
      <c r="AE327" s="5" t="str">
        <f ca="1">IFERROR(__xludf.DUMMYFUNCTION("IF(AA327 = """", """", GOOGLETRANSLATE(AA327, ""en"", ""hi""))"),"करियर में सम्मान बढ़ता है")</f>
        <v>करियर में सम्मान बढ़ता है</v>
      </c>
      <c r="AF327" s="5" t="str">
        <f ca="1">IFERROR(__xludf.DUMMYFUNCTION("IF(AB327 = """", """", GOOGLETRANSLATE(AB327, ""en"", ""hi""))"),"सभी कैरियर अवसरों का लाभ उठाएँ")</f>
        <v>सभी कैरियर अवसरों का लाभ उठाएँ</v>
      </c>
      <c r="AG327" s="5" t="str">
        <f ca="1">IFERROR(__xludf.DUMMYFUNCTION("IF(Y327 = """", """", GOOGLETRANSLATE(Y327, ""en"", ""mr""))"),"सामाजिक आणि धार्मिक उत्सव")</f>
        <v>सामाजिक आणि धार्मिक उत्सव</v>
      </c>
      <c r="AH327" s="5" t="str">
        <f ca="1">IFERROR(__xludf.DUMMYFUNCTION("IF(Z327 = """", """", GOOGLETRANSLATE(Z327, ""en"", ""mr""))"),"अचानक खर्च")</f>
        <v>अचानक खर्च</v>
      </c>
      <c r="AI327" s="5" t="str">
        <f ca="1">IFERROR(__xludf.DUMMYFUNCTION("IF(AA327 = """", """", GOOGLETRANSLATE(AA327, ""en"", ""mr""))"),"करिअरमध्ये सन्मान वाढतो")</f>
        <v>करिअरमध्ये सन्मान वाढतो</v>
      </c>
      <c r="AJ327" s="5" t="str">
        <f ca="1">IFERROR(__xludf.DUMMYFUNCTION("IF(AB327 = """", """", GOOGLETRANSLATE(AB327, ""en"", ""mr""))"),"करिअरच्या सर्व संधी मिळवा")</f>
        <v>करिअरच्या सर्व संधी मिळवा</v>
      </c>
      <c r="AK327" s="5" t="str">
        <f ca="1">IFERROR(__xludf.DUMMYFUNCTION("IF(Y327 = """", """", GOOGLETRANSLATE(Y327, ""en"", ""gu""))"),"સામાજિક અને ધાર્મિક ઉજવણી")</f>
        <v>સામાજિક અને ધાર્મિક ઉજવણી</v>
      </c>
      <c r="AL327" s="5" t="str">
        <f ca="1">IFERROR(__xludf.DUMMYFUNCTION("IF(Z327 = """", """", GOOGLETRANSLATE(Z327, ""en"", ""gu""))"),"અચાનક ખર્ચ")</f>
        <v>અચાનક ખર્ચ</v>
      </c>
      <c r="AM327" s="5" t="str">
        <f ca="1">IFERROR(__xludf.DUMMYFUNCTION("IF(AA327 = """", """", GOOGLETRANSLATE(AA327, ""en"", ""gu""))"),"કરિયરમાં માન-સન્માન વધે")</f>
        <v>કરિયરમાં માન-સન્માન વધે</v>
      </c>
      <c r="AN327" s="5" t="str">
        <f ca="1">IFERROR(__xludf.DUMMYFUNCTION("IF(AB327 = """", """", GOOGLETRANSLATE(AB327, ""en"", ""gu""))"),"કારકિર્દીની તમામ તકો મેળવો")</f>
        <v>કારકિર્દીની તમામ તકો મેળવો</v>
      </c>
      <c r="AO327" s="5" t="str">
        <f ca="1">IFERROR(__xludf.DUMMYFUNCTION("IF(Y327 = """", """", GOOGLETRANSLATE(Y327, ""en"", ""bn""))"),"সামাজিক ও ধর্মীয় উদযাপন")</f>
        <v>সামাজিক ও ধর্মীয় উদযাপন</v>
      </c>
      <c r="AP327" s="5" t="str">
        <f ca="1">IFERROR(__xludf.DUMMYFUNCTION("IF(Z327 = """", """", GOOGLETRANSLATE(Z327, ""en"", ""bn""))"),"আকস্মিক খরচ")</f>
        <v>আকস্মিক খরচ</v>
      </c>
      <c r="AQ327" s="5" t="str">
        <f ca="1">IFERROR(__xludf.DUMMYFUNCTION("IF(AA327 = """", """", GOOGLETRANSLATE(AA327, ""en"", ""bn""))"),"ক্যারিয়ারে সম্মান বাড়ে")</f>
        <v>ক্যারিয়ারে সম্মান বাড়ে</v>
      </c>
      <c r="AR327" s="5" t="str">
        <f ca="1">IFERROR(__xludf.DUMMYFUNCTION("IF(AB327 = """", """", GOOGLETRANSLATE(AB327, ""en"", ""bn""))"),"কর্মজীবনের সব সুযোগ গ্রহণ করুন")</f>
        <v>কর্মজীবনের সব সুযোগ গ্রহণ করুন</v>
      </c>
      <c r="AU327" s="5" t="str">
        <f ca="1">IFERROR(__xludf.DUMMYFUNCTION("IF(Y327 = """", """", GOOGLETRANSLATE(Y327, ""en"", ""te""))"),"సామాజిక మరియు మతపరమైన వేడుకలు")</f>
        <v>సామాజిక మరియు మతపరమైన వేడుకలు</v>
      </c>
      <c r="AV327" s="5" t="str">
        <f ca="1">IFERROR(__xludf.DUMMYFUNCTION("IF(Z327 = """", """", GOOGLETRANSLATE(Z327, ""en"", ""te""))"),"ఆకస్మిక ఖర్చులు")</f>
        <v>ఆకస్మిక ఖర్చులు</v>
      </c>
      <c r="AW327" s="5" t="str">
        <f ca="1">IFERROR(__xludf.DUMMYFUNCTION("IF(AA327 = """", """", GOOGLETRANSLATE(AA327, ""en"", ""te""))"),"కెరీర్ గౌరవం పెరుగుతుంది")</f>
        <v>కెరీర్ గౌరవం పెరుగుతుంది</v>
      </c>
      <c r="AX327" s="5" t="str">
        <f ca="1">IFERROR(__xludf.DUMMYFUNCTION("IF(AB327 = """", """", GOOGLETRANSLATE(AB327, ""en"", ""te""))"),"అన్ని కెరీర్ అవకాశాలను పొందండి")</f>
        <v>అన్ని కెరీర్ అవకాశాలను పొందండి</v>
      </c>
    </row>
    <row r="328" spans="1:50" x14ac:dyDescent="0.25">
      <c r="A328" s="1">
        <v>343</v>
      </c>
      <c r="B328" s="1" t="s">
        <v>56</v>
      </c>
      <c r="C328" s="2">
        <v>45848</v>
      </c>
      <c r="D328" s="2">
        <v>45848</v>
      </c>
      <c r="E328" s="1">
        <v>9</v>
      </c>
      <c r="F328" s="1">
        <v>1</v>
      </c>
      <c r="G328" s="3" t="s">
        <v>902</v>
      </c>
      <c r="H328" s="4">
        <v>1.1377314814814814E-2</v>
      </c>
      <c r="I328" s="4">
        <v>4.4907407407407405E-3</v>
      </c>
      <c r="J328" s="4">
        <v>4.9537037037037041E-3</v>
      </c>
      <c r="K328" s="1"/>
      <c r="L328" s="1" t="s">
        <v>68</v>
      </c>
      <c r="M328" s="1"/>
      <c r="N328" s="1"/>
      <c r="O328" s="1" t="s">
        <v>61</v>
      </c>
      <c r="P328" s="1" t="s">
        <v>61</v>
      </c>
      <c r="Q328" s="1" t="s">
        <v>61</v>
      </c>
      <c r="R328" s="1" t="s">
        <v>91</v>
      </c>
      <c r="S328" s="1" t="s">
        <v>61</v>
      </c>
      <c r="T328" s="1" t="s">
        <v>61</v>
      </c>
      <c r="U328" s="1" t="s">
        <v>61</v>
      </c>
      <c r="V328" s="1" t="s">
        <v>61</v>
      </c>
      <c r="W328" s="1" t="s">
        <v>61</v>
      </c>
      <c r="X328" s="1" t="s">
        <v>91</v>
      </c>
      <c r="Y328" s="1" t="s">
        <v>921</v>
      </c>
      <c r="Z328" s="1" t="s">
        <v>922</v>
      </c>
      <c r="AA328" s="1" t="s">
        <v>646</v>
      </c>
      <c r="AB328" s="1"/>
      <c r="AC328" s="5" t="str">
        <f ca="1">IFERROR(__xludf.DUMMYFUNCTION("IF(Y328 = """", """", GOOGLETRANSLATE(Y328, ""en"", ""hi""))
"),"व्यक्तिगत और व्यावसायिक कर्तव्यों में संतुलन बनाए रखें")</f>
        <v>व्यक्तिगत और व्यावसायिक कर्तव्यों में संतुलन बनाए रखें</v>
      </c>
      <c r="AD328" s="5" t="str">
        <f ca="1">IFERROR(__xludf.DUMMYFUNCTION("IF(Z328 = """", """", GOOGLETRANSLATE(Z328, ""en"", ""hi""))"),"अतिरिक्त कार्यभार")</f>
        <v>अतिरिक्त कार्यभार</v>
      </c>
      <c r="AE328" s="5" t="str">
        <f ca="1">IFERROR(__xludf.DUMMYFUNCTION("IF(AA328 = """", """", GOOGLETRANSLATE(AA328, ""en"", ""hi""))"),"गति की अपेक्षा सटीकता को प्राथमिकता दें")</f>
        <v>गति की अपेक्षा सटीकता को प्राथमिकता दें</v>
      </c>
      <c r="AF328" s="5" t="str">
        <f ca="1">IFERROR(__xludf.DUMMYFUNCTION("IF(AB328 = """", """", GOOGLETRANSLATE(AB328, ""en"", ""hi""))"),"")</f>
        <v/>
      </c>
      <c r="AG328" s="5" t="str">
        <f ca="1">IFERROR(__xludf.DUMMYFUNCTION("IF(Y328 = """", """", GOOGLETRANSLATE(Y328, ""en"", ""mr""))"),"वैयक्तिक आणि व्यावसायिक कर्तव्ये संतुलित करा")</f>
        <v>वैयक्तिक आणि व्यावसायिक कर्तव्ये संतुलित करा</v>
      </c>
      <c r="AH328" s="5" t="str">
        <f ca="1">IFERROR(__xludf.DUMMYFUNCTION("IF(Z328 = """", """", GOOGLETRANSLATE(Z328, ""en"", ""mr""))"),"अतिरिक्त कामाचा ताण")</f>
        <v>अतिरिक्त कामाचा ताण</v>
      </c>
      <c r="AI328" s="5" t="str">
        <f ca="1">IFERROR(__xludf.DUMMYFUNCTION("IF(AA328 = """", """", GOOGLETRANSLATE(AA328, ""en"", ""mr""))"),"वेगापेक्षा अचूकतेला प्राधान्य द्या")</f>
        <v>वेगापेक्षा अचूकतेला प्राधान्य द्या</v>
      </c>
      <c r="AJ328" s="5" t="str">
        <f ca="1">IFERROR(__xludf.DUMMYFUNCTION("IF(AB328 = """", """", GOOGLETRANSLATE(AB328, ""en"", ""mr""))"),"")</f>
        <v/>
      </c>
      <c r="AK328" s="5" t="str">
        <f ca="1">IFERROR(__xludf.DUMMYFUNCTION("IF(Y328 = """", """", GOOGLETRANSLATE(Y328, ""en"", ""gu""))"),"વ્યક્તિગત અને વ્યાવસાયિક ફરજોને સંતુલિત કરો")</f>
        <v>વ્યક્તિગત અને વ્યાવસાયિક ફરજોને સંતુલિત કરો</v>
      </c>
      <c r="AL328" s="5" t="str">
        <f ca="1">IFERROR(__xludf.DUMMYFUNCTION("IF(Z328 = """", """", GOOGLETRANSLATE(Z328, ""en"", ""gu""))"),"વધારાનો વર્કલોડ")</f>
        <v>વધારાનો વર્કલોડ</v>
      </c>
      <c r="AM328" s="5" t="str">
        <f ca="1">IFERROR(__xludf.DUMMYFUNCTION("IF(AA328 = """", """", GOOGLETRANSLATE(AA328, ""en"", ""gu""))"),"ઝડપ કરતાં ચોકસાઈને પ્રાધાન્ય આપો")</f>
        <v>ઝડપ કરતાં ચોકસાઈને પ્રાધાન્ય આપો</v>
      </c>
      <c r="AN328" s="5" t="str">
        <f ca="1">IFERROR(__xludf.DUMMYFUNCTION("IF(AB328 = """", """", GOOGLETRANSLATE(AB328, ""en"", ""gu""))"),"")</f>
        <v/>
      </c>
      <c r="AO328" s="5" t="str">
        <f ca="1">IFERROR(__xludf.DUMMYFUNCTION("IF(Y328 = """", """", GOOGLETRANSLATE(Y328, ""en"", ""bn""))"),"ব্যক্তিগত এবং পেশাগত দায়িত্বের ভারসাম্য বজায় রাখুন")</f>
        <v>ব্যক্তিগত এবং পেশাগত দায়িত্বের ভারসাম্য বজায় রাখুন</v>
      </c>
      <c r="AP328" s="5" t="str">
        <f ca="1">IFERROR(__xludf.DUMMYFUNCTION("IF(Z328 = """", """", GOOGLETRANSLATE(Z328, ""en"", ""bn""))"),"অতিরিক্ত কাজের চাপ")</f>
        <v>অতিরিক্ত কাজের চাপ</v>
      </c>
      <c r="AQ328" s="5" t="str">
        <f ca="1">IFERROR(__xludf.DUMMYFUNCTION("IF(AA328 = """", """", GOOGLETRANSLATE(AA328, ""en"", ""bn""))"),"গতির চেয়ে নির্ভুলতাকে অগ্রাধিকার দিন")</f>
        <v>গতির চেয়ে নির্ভুলতাকে অগ্রাধিকার দিন</v>
      </c>
      <c r="AR328" s="5" t="str">
        <f ca="1">IFERROR(__xludf.DUMMYFUNCTION("IF(AB328 = """", """", GOOGLETRANSLATE(AB328, ""en"", ""bn""))"),"")</f>
        <v/>
      </c>
      <c r="AU328" s="5" t="str">
        <f ca="1">IFERROR(__xludf.DUMMYFUNCTION("IF(Y328 = """", """", GOOGLETRANSLATE(Y328, ""en"", ""te""))"),"వ్యక్తిగత మరియు వృత్తిపరమైన విధులను సమతుల్యం చేసుకోండి")</f>
        <v>వ్యక్తిగత మరియు వృత్తిపరమైన విధులను సమతుల్యం చేసుకోండి</v>
      </c>
      <c r="AV328" s="5" t="str">
        <f ca="1">IFERROR(__xludf.DUMMYFUNCTION("IF(Z328 = """", """", GOOGLETRANSLATE(Z328, ""en"", ""te""))"),"అదనపు పనిభారం")</f>
        <v>అదనపు పనిభారం</v>
      </c>
      <c r="AW328" s="5" t="str">
        <f ca="1">IFERROR(__xludf.DUMMYFUNCTION("IF(AA328 = """", """", GOOGLETRANSLATE(AA328, ""en"", ""te""))"),"వేగం కంటే ఖచ్చితత్వానికి ప్రాధాన్యత ఇవ్వండి")</f>
        <v>వేగం కంటే ఖచ్చితత్వానికి ప్రాధాన్యత ఇవ్వండి</v>
      </c>
      <c r="AX328" s="5" t="str">
        <f ca="1">IFERROR(__xludf.DUMMYFUNCTION("IF(AB328 = """", """", GOOGLETRANSLATE(AB328, ""en"", ""te""))"),"")</f>
        <v/>
      </c>
    </row>
    <row r="329" spans="1:50" x14ac:dyDescent="0.25">
      <c r="A329" s="1">
        <v>344</v>
      </c>
      <c r="B329" s="1" t="s">
        <v>56</v>
      </c>
      <c r="C329" s="2">
        <v>45848</v>
      </c>
      <c r="D329" s="2">
        <v>45848</v>
      </c>
      <c r="E329" s="1">
        <v>10</v>
      </c>
      <c r="F329" s="1">
        <v>1</v>
      </c>
      <c r="G329" s="3" t="s">
        <v>902</v>
      </c>
      <c r="H329" s="4">
        <v>1.1377314814814814E-2</v>
      </c>
      <c r="I329" s="4">
        <v>4.9305555555555552E-3</v>
      </c>
      <c r="J329" s="4">
        <v>5.6481481481481478E-3</v>
      </c>
      <c r="K329" s="1"/>
      <c r="L329" s="1" t="s">
        <v>72</v>
      </c>
      <c r="M329" s="1"/>
      <c r="N329" s="1"/>
      <c r="O329" s="1" t="s">
        <v>91</v>
      </c>
      <c r="P329" s="1" t="s">
        <v>61</v>
      </c>
      <c r="Q329" s="1" t="s">
        <v>61</v>
      </c>
      <c r="R329" s="1" t="s">
        <v>61</v>
      </c>
      <c r="S329" s="1" t="s">
        <v>61</v>
      </c>
      <c r="T329" s="1" t="s">
        <v>61</v>
      </c>
      <c r="U329" s="1" t="s">
        <v>61</v>
      </c>
      <c r="V329" s="1" t="s">
        <v>91</v>
      </c>
      <c r="W329" s="1" t="s">
        <v>61</v>
      </c>
      <c r="X329" s="1" t="s">
        <v>61</v>
      </c>
      <c r="Y329" s="1" t="s">
        <v>923</v>
      </c>
      <c r="Z329" s="1" t="s">
        <v>924</v>
      </c>
      <c r="AA329" s="1" t="s">
        <v>925</v>
      </c>
      <c r="AB329" s="1"/>
      <c r="AC329" s="5" t="str">
        <f ca="1">IFERROR(__xludf.DUMMYFUNCTION("IF(Y329 = """", """", GOOGLETRANSLATE(Y329, ""en"", ""hi""))
"),"कठिन दौर के बाद तनाव से राहत")</f>
        <v>कठिन दौर के बाद तनाव से राहत</v>
      </c>
      <c r="AD329" s="5" t="str">
        <f ca="1">IFERROR(__xludf.DUMMYFUNCTION("IF(Z329 = """", """", GOOGLETRANSLATE(Z329, ""en"", ""hi""))"),"आराम महसूस करना")</f>
        <v>आराम महसूस करना</v>
      </c>
      <c r="AE329" s="5" t="str">
        <f ca="1">IFERROR(__xludf.DUMMYFUNCTION("IF(AA329 = """", """", GOOGLETRANSLATE(AA329, ""en"", ""hi""))"),"पूर्ण प्रयास से बैकलॉग साफ़ करें")</f>
        <v>पूर्ण प्रयास से बैकलॉग साफ़ करें</v>
      </c>
      <c r="AF329" s="5" t="str">
        <f ca="1">IFERROR(__xludf.DUMMYFUNCTION("IF(AB329 = """", """", GOOGLETRANSLATE(AB329, ""en"", ""hi""))"),"")</f>
        <v/>
      </c>
      <c r="AG329" s="5" t="str">
        <f ca="1">IFERROR(__xludf.DUMMYFUNCTION("IF(Y329 = """", """", GOOGLETRANSLATE(Y329, ""en"", ""mr""))"),"कठीण टप्प्यानंतर तणावमुक्ती")</f>
        <v>कठीण टप्प्यानंतर तणावमुक्ती</v>
      </c>
      <c r="AH329" s="5" t="str">
        <f ca="1">IFERROR(__xludf.DUMMYFUNCTION("IF(Z329 = """", """", GOOGLETRANSLATE(Z329, ""en"", ""mr""))"),"रिलॅक्स वाटत आहे")</f>
        <v>रिलॅक्स वाटत आहे</v>
      </c>
      <c r="AI329" s="5" t="str">
        <f ca="1">IFERROR(__xludf.DUMMYFUNCTION("IF(AA329 = """", """", GOOGLETRANSLATE(AA329, ""en"", ""mr""))"),"अनुशेष पूर्ण प्रयत्नाने साफ करा")</f>
        <v>अनुशेष पूर्ण प्रयत्नाने साफ करा</v>
      </c>
      <c r="AJ329" s="5" t="str">
        <f ca="1">IFERROR(__xludf.DUMMYFUNCTION("IF(AB329 = """", """", GOOGLETRANSLATE(AB329, ""en"", ""mr""))"),"")</f>
        <v/>
      </c>
      <c r="AK329" s="5" t="str">
        <f ca="1">IFERROR(__xludf.DUMMYFUNCTION("IF(Y329 = """", """", GOOGLETRANSLATE(Y329, ""en"", ""gu""))"),"મુશ્કેલ તબક્કા પછી તણાવ રાહત")</f>
        <v>મુશ્કેલ તબક્કા પછી તણાવ રાહત</v>
      </c>
      <c r="AL329" s="5" t="str">
        <f ca="1">IFERROR(__xludf.DUMMYFUNCTION("IF(Z329 = """", """", GOOGLETRANSLATE(Z329, ""en"", ""gu""))"),"હળવાશ અનુભવાય છે")</f>
        <v>હળવાશ અનુભવાય છે</v>
      </c>
      <c r="AM329" s="5" t="str">
        <f ca="1">IFERROR(__xludf.DUMMYFUNCTION("IF(AA329 = """", """", GOOGLETRANSLATE(AA329, ""en"", ""gu""))"),"સંપૂર્ણ પ્રયત્નો સાથે બેકલોગ સાફ કરો")</f>
        <v>સંપૂર્ણ પ્રયત્નો સાથે બેકલોગ સાફ કરો</v>
      </c>
      <c r="AN329" s="5" t="str">
        <f ca="1">IFERROR(__xludf.DUMMYFUNCTION("IF(AB329 = """", """", GOOGLETRANSLATE(AB329, ""en"", ""gu""))"),"")</f>
        <v/>
      </c>
      <c r="AO329" s="5" t="str">
        <f ca="1">IFERROR(__xludf.DUMMYFUNCTION("IF(Y329 = """", """", GOOGLETRANSLATE(Y329, ""en"", ""bn""))"),"কঠিন পর্যায়ের পর স্ট্রেস রিলিফ")</f>
        <v>কঠিন পর্যায়ের পর স্ট্রেস রিলিফ</v>
      </c>
      <c r="AP329" s="5" t="str">
        <f ca="1">IFERROR(__xludf.DUMMYFUNCTION("IF(Z329 = """", """", GOOGLETRANSLATE(Z329, ""en"", ""bn""))"),"স্বস্তি বোধ করছে")</f>
        <v>স্বস্তি বোধ করছে</v>
      </c>
      <c r="AQ329" s="5" t="str">
        <f ca="1">IFERROR(__xludf.DUMMYFUNCTION("IF(AA329 = """", """", GOOGLETRANSLATE(AA329, ""en"", ""bn""))"),"সম্পূর্ণ প্রচেষ্টার সাথে ব্যাকলগগুলি সাফ করুন")</f>
        <v>সম্পূর্ণ প্রচেষ্টার সাথে ব্যাকলগগুলি সাফ করুন</v>
      </c>
      <c r="AR329" s="5" t="str">
        <f ca="1">IFERROR(__xludf.DUMMYFUNCTION("IF(AB329 = """", """", GOOGLETRANSLATE(AB329, ""en"", ""bn""))"),"")</f>
        <v/>
      </c>
      <c r="AU329" s="5" t="str">
        <f ca="1">IFERROR(__xludf.DUMMYFUNCTION("IF(Y329 = """", """", GOOGLETRANSLATE(Y329, ""en"", ""te""))"),"కఠినమైన దశ తర్వాత ఒత్తిడి ఉపశమనం")</f>
        <v>కఠినమైన దశ తర్వాత ఒత్తిడి ఉపశమనం</v>
      </c>
      <c r="AV329" s="5" t="str">
        <f ca="1">IFERROR(__xludf.DUMMYFUNCTION("IF(Z329 = """", """", GOOGLETRANSLATE(Z329, ""en"", ""te""))"),"రిలాక్స్‌డ్‌గా అనిపిస్తుంది")</f>
        <v>రిలాక్స్‌డ్‌గా అనిపిస్తుంది</v>
      </c>
      <c r="AW329" s="5" t="str">
        <f ca="1">IFERROR(__xludf.DUMMYFUNCTION("IF(AA329 = """", """", GOOGLETRANSLATE(AA329, ""en"", ""te""))"),"పూర్తి ప్రయత్నంతో బ్యాక్‌లాగ్‌లను క్లియర్ చేయండి")</f>
        <v>పూర్తి ప్రయత్నంతో బ్యాక్‌లాగ్‌లను క్లియర్ చేయండి</v>
      </c>
      <c r="AX329" s="5" t="str">
        <f ca="1">IFERROR(__xludf.DUMMYFUNCTION("IF(AB329 = """", """", GOOGLETRANSLATE(AB329, ""en"", ""te""))"),"")</f>
        <v/>
      </c>
    </row>
    <row r="330" spans="1:50" x14ac:dyDescent="0.25">
      <c r="A330" s="1">
        <v>345</v>
      </c>
      <c r="B330" s="1" t="s">
        <v>56</v>
      </c>
      <c r="C330" s="2">
        <v>45848</v>
      </c>
      <c r="D330" s="2">
        <v>45848</v>
      </c>
      <c r="E330" s="1">
        <v>11</v>
      </c>
      <c r="F330" s="1">
        <v>1</v>
      </c>
      <c r="G330" s="3" t="s">
        <v>902</v>
      </c>
      <c r="H330" s="4">
        <v>1.1377314814814814E-2</v>
      </c>
      <c r="I330" s="4">
        <v>5.6481481481481478E-3</v>
      </c>
      <c r="J330" s="4">
        <v>6.1921296296296299E-3</v>
      </c>
      <c r="K330" s="1"/>
      <c r="L330" s="1" t="s">
        <v>76</v>
      </c>
      <c r="M330" s="1"/>
      <c r="N330" s="1"/>
      <c r="O330" s="1" t="s">
        <v>61</v>
      </c>
      <c r="P330" s="1" t="s">
        <v>61</v>
      </c>
      <c r="Q330" s="1" t="s">
        <v>61</v>
      </c>
      <c r="R330" s="1" t="s">
        <v>61</v>
      </c>
      <c r="S330" s="1" t="s">
        <v>61</v>
      </c>
      <c r="T330" s="1" t="s">
        <v>91</v>
      </c>
      <c r="U330" s="1" t="s">
        <v>61</v>
      </c>
      <c r="V330" s="1" t="s">
        <v>61</v>
      </c>
      <c r="W330" s="1" t="s">
        <v>61</v>
      </c>
      <c r="X330" s="1" t="s">
        <v>91</v>
      </c>
      <c r="Y330" s="1" t="s">
        <v>926</v>
      </c>
      <c r="Z330" s="1" t="s">
        <v>927</v>
      </c>
      <c r="AA330" s="1" t="s">
        <v>361</v>
      </c>
      <c r="AB330" s="1"/>
      <c r="AC330" s="5" t="str">
        <f ca="1">IFERROR(__xludf.DUMMYFUNCTION("IF(Y330 = """", """", GOOGLETRANSLATE(Y330, ""en"", ""hi""))
"),"पैसे उधार देने से बचें")</f>
        <v>पैसे उधार देने से बचें</v>
      </c>
      <c r="AD330" s="5" t="str">
        <f ca="1">IFERROR(__xludf.DUMMYFUNCTION("IF(Z330 = """", """", GOOGLETRANSLATE(Z330, ""en"", ""hi""))"),"वित्तीय नुकसान का जोखिम")</f>
        <v>वित्तीय नुकसान का जोखिम</v>
      </c>
      <c r="AE330" s="5" t="str">
        <f ca="1">IFERROR(__xludf.DUMMYFUNCTION("IF(AA330 = """", """", GOOGLETRANSLATE(AA330, ""en"", ""hi""))"),"शांत और धैर्यवान रहें")</f>
        <v>शांत और धैर्यवान रहें</v>
      </c>
      <c r="AF330" s="5" t="str">
        <f ca="1">IFERROR(__xludf.DUMMYFUNCTION("IF(AB330 = """", """", GOOGLETRANSLATE(AB330, ""en"", ""hi""))"),"")</f>
        <v/>
      </c>
      <c r="AG330" s="5" t="str">
        <f ca="1">IFERROR(__xludf.DUMMYFUNCTION("IF(Y330 = """", """", GOOGLETRANSLATE(Y330, ""en"", ""mr""))"),"पैसे उधार देणे टाळा")</f>
        <v>पैसे उधार देणे टाळा</v>
      </c>
      <c r="AH330" s="5" t="str">
        <f ca="1">IFERROR(__xludf.DUMMYFUNCTION("IF(Z330 = """", """", GOOGLETRANSLATE(Z330, ""en"", ""mr""))"),"आर्थिक नुकसान होण्याचा धोका")</f>
        <v>आर्थिक नुकसान होण्याचा धोका</v>
      </c>
      <c r="AI330" s="5" t="str">
        <f ca="1">IFERROR(__xludf.DUMMYFUNCTION("IF(AA330 = """", """", GOOGLETRANSLATE(AA330, ""en"", ""mr""))"),"शांत आणि धीर धरा")</f>
        <v>शांत आणि धीर धरा</v>
      </c>
      <c r="AJ330" s="5" t="str">
        <f ca="1">IFERROR(__xludf.DUMMYFUNCTION("IF(AB330 = """", """", GOOGLETRANSLATE(AB330, ""en"", ""mr""))"),"")</f>
        <v/>
      </c>
      <c r="AK330" s="5" t="str">
        <f ca="1">IFERROR(__xludf.DUMMYFUNCTION("IF(Y330 = """", """", GOOGLETRANSLATE(Y330, ""en"", ""gu""))"),"પૈસા ઉધાર આપવાનું ટાળો")</f>
        <v>પૈસા ઉધાર આપવાનું ટાળો</v>
      </c>
      <c r="AL330" s="5" t="str">
        <f ca="1">IFERROR(__xludf.DUMMYFUNCTION("IF(Z330 = """", """", GOOGLETRANSLATE(Z330, ""en"", ""gu""))"),"નાણાકીય નુકસાનનું જોખમ")</f>
        <v>નાણાકીય નુકસાનનું જોખમ</v>
      </c>
      <c r="AM330" s="5" t="str">
        <f ca="1">IFERROR(__xludf.DUMMYFUNCTION("IF(AA330 = """", """", GOOGLETRANSLATE(AA330, ""en"", ""gu""))"),"શાંત અને ધીરજ રાખો")</f>
        <v>શાંત અને ધીરજ રાખો</v>
      </c>
      <c r="AN330" s="5" t="str">
        <f ca="1">IFERROR(__xludf.DUMMYFUNCTION("IF(AB330 = """", """", GOOGLETRANSLATE(AB330, ""en"", ""gu""))"),"")</f>
        <v/>
      </c>
      <c r="AO330" s="5" t="str">
        <f ca="1">IFERROR(__xludf.DUMMYFUNCTION("IF(Y330 = """", """", GOOGLETRANSLATE(Y330, ""en"", ""bn""))"),"টাকা ধার দেওয়া থেকে বিরত থাকুন")</f>
        <v>টাকা ধার দেওয়া থেকে বিরত থাকুন</v>
      </c>
      <c r="AP330" s="5" t="str">
        <f ca="1">IFERROR(__xludf.DUMMYFUNCTION("IF(Z330 = """", """", GOOGLETRANSLATE(Z330, ""en"", ""bn""))"),"আর্থিক ক্ষতির আশঙ্কা")</f>
        <v>আর্থিক ক্ষতির আশঙ্কা</v>
      </c>
      <c r="AQ330" s="5" t="str">
        <f ca="1">IFERROR(__xludf.DUMMYFUNCTION("IF(AA330 = """", """", GOOGLETRANSLATE(AA330, ""en"", ""bn""))"),"শান্ত এবং ধৈর্যশীল থাকুন")</f>
        <v>শান্ত এবং ধৈর্যশীল থাকুন</v>
      </c>
      <c r="AR330" s="5" t="str">
        <f ca="1">IFERROR(__xludf.DUMMYFUNCTION("IF(AB330 = """", """", GOOGLETRANSLATE(AB330, ""en"", ""bn""))"),"")</f>
        <v/>
      </c>
      <c r="AU330" s="5" t="str">
        <f ca="1">IFERROR(__xludf.DUMMYFUNCTION("IF(Y330 = """", """", GOOGLETRANSLATE(Y330, ""en"", ""te""))"),"డబ్బు అప్పు ఇవ్వడం మానుకోండి")</f>
        <v>డబ్బు అప్పు ఇవ్వడం మానుకోండి</v>
      </c>
      <c r="AV330" s="5" t="str">
        <f ca="1">IFERROR(__xludf.DUMMYFUNCTION("IF(Z330 = """", """", GOOGLETRANSLATE(Z330, ""en"", ""te""))"),"ఆర్థికంగా నష్టపోయే ప్రమాదం ఉంది")</f>
        <v>ఆర్థికంగా నష్టపోయే ప్రమాదం ఉంది</v>
      </c>
      <c r="AW330" s="5" t="str">
        <f ca="1">IFERROR(__xludf.DUMMYFUNCTION("IF(AA330 = """", """", GOOGLETRANSLATE(AA330, ""en"", ""te""))"),"ప్రశాంతంగా మరియు ఓపికగా ఉండండి")</f>
        <v>ప్రశాంతంగా మరియు ఓపికగా ఉండండి</v>
      </c>
      <c r="AX330" s="5" t="str">
        <f ca="1">IFERROR(__xludf.DUMMYFUNCTION("IF(AB330 = """", """", GOOGLETRANSLATE(AB330, ""en"", ""te""))"),"")</f>
        <v/>
      </c>
    </row>
    <row r="331" spans="1:50" x14ac:dyDescent="0.25">
      <c r="A331" s="1">
        <v>346</v>
      </c>
      <c r="B331" s="1" t="s">
        <v>56</v>
      </c>
      <c r="C331" s="2">
        <v>45848</v>
      </c>
      <c r="D331" s="2">
        <v>45848</v>
      </c>
      <c r="E331" s="1">
        <v>12</v>
      </c>
      <c r="F331" s="1">
        <v>1</v>
      </c>
      <c r="G331" s="3" t="s">
        <v>902</v>
      </c>
      <c r="H331" s="4">
        <v>1.1377314814814814E-2</v>
      </c>
      <c r="I331" s="4">
        <v>6.1921296296296299E-3</v>
      </c>
      <c r="J331" s="4">
        <v>6.7129629629629631E-3</v>
      </c>
      <c r="K331" s="1"/>
      <c r="L331" s="1" t="s">
        <v>79</v>
      </c>
      <c r="M331" s="1"/>
      <c r="N331" s="1"/>
      <c r="O331" s="1" t="s">
        <v>91</v>
      </c>
      <c r="P331" s="1" t="s">
        <v>61</v>
      </c>
      <c r="Q331" s="1" t="s">
        <v>61</v>
      </c>
      <c r="R331" s="1" t="s">
        <v>61</v>
      </c>
      <c r="S331" s="1" t="s">
        <v>61</v>
      </c>
      <c r="T331" s="1" t="s">
        <v>61</v>
      </c>
      <c r="U331" s="1" t="s">
        <v>61</v>
      </c>
      <c r="V331" s="1" t="s">
        <v>91</v>
      </c>
      <c r="W331" s="1" t="s">
        <v>61</v>
      </c>
      <c r="X331" s="1" t="s">
        <v>61</v>
      </c>
      <c r="Y331" s="1" t="s">
        <v>928</v>
      </c>
      <c r="Z331" s="1" t="s">
        <v>929</v>
      </c>
      <c r="AA331" s="1" t="s">
        <v>930</v>
      </c>
      <c r="AB331" s="1"/>
      <c r="AC331" s="5" t="str">
        <f ca="1">IFERROR(__xludf.DUMMYFUNCTION("IF(Y331 = """", """", GOOGLETRANSLATE(Y331, ""en"", ""hi""))
"),"करियर के अवसर")</f>
        <v>करियर के अवसर</v>
      </c>
      <c r="AD331" s="5" t="str">
        <f ca="1">IFERROR(__xludf.DUMMYFUNCTION("IF(Z331 = """", """", GOOGLETRANSLATE(Z331, ""en"", ""hi""))"),"बच्चों की चिंताओं से मुक्ति")</f>
        <v>बच्चों की चिंताओं से मुक्ति</v>
      </c>
      <c r="AE331" s="5" t="str">
        <f ca="1">IFERROR(__xludf.DUMMYFUNCTION("IF(AA331 = """", """", GOOGLETRANSLATE(AA331, ""en"", ""hi""))"),"शांति से योजना बनाएं, जल्दबाजी से बचें")</f>
        <v>शांति से योजना बनाएं, जल्दबाजी से बचें</v>
      </c>
      <c r="AF331" s="5" t="str">
        <f ca="1">IFERROR(__xludf.DUMMYFUNCTION("IF(AB331 = """", """", GOOGLETRANSLATE(AB331, ""en"", ""hi""))"),"")</f>
        <v/>
      </c>
      <c r="AG331" s="5" t="str">
        <f ca="1">IFERROR(__xludf.DUMMYFUNCTION("IF(Y331 = """", """", GOOGLETRANSLATE(Y331, ""en"", ""mr""))"),"करिअरची सुरुवात")</f>
        <v>करिअरची सुरुवात</v>
      </c>
      <c r="AH331" s="5" t="str">
        <f ca="1">IFERROR(__xludf.DUMMYFUNCTION("IF(Z331 = """", """", GOOGLETRANSLATE(Z331, ""en"", ""mr""))"),"मुलांच्या चिंतेतून सुटका")</f>
        <v>मुलांच्या चिंतेतून सुटका</v>
      </c>
      <c r="AI331" s="5" t="str">
        <f ca="1">IFERROR(__xludf.DUMMYFUNCTION("IF(AA331 = """", """", GOOGLETRANSLATE(AA331, ""en"", ""mr""))")," शांतपणे योजना करा, घाई टाळा")</f>
        <v xml:space="preserve"> शांतपणे योजना करा, घाई टाळा</v>
      </c>
      <c r="AJ331" s="5" t="str">
        <f ca="1">IFERROR(__xludf.DUMMYFUNCTION("IF(AB331 = """", """", GOOGLETRANSLATE(AB331, ""en"", ""mr""))"),"")</f>
        <v/>
      </c>
      <c r="AK331" s="5" t="str">
        <f ca="1">IFERROR(__xludf.DUMMYFUNCTION("IF(Y331 = """", """", GOOGLETRANSLATE(Y331, ""en"", ""gu""))"),"કારકિર્દીની શરૂઆત")</f>
        <v>કારકિર્દીની શરૂઆત</v>
      </c>
      <c r="AL331" s="5" t="str">
        <f ca="1">IFERROR(__xludf.DUMMYFUNCTION("IF(Z331 = """", """", GOOGLETRANSLATE(Z331, ""en"", ""gu""))"),"સંતાનની ચિંતાઓમાંથી રાહત")</f>
        <v>સંતાનની ચિંતાઓમાંથી રાહત</v>
      </c>
      <c r="AM331" s="5" t="str">
        <f ca="1">IFERROR(__xludf.DUMMYFUNCTION("IF(AA331 = """", """", GOOGLETRANSLATE(AA331, ""en"", ""gu""))")," શાંતિથી આયોજન કરો, ઉતાવળ ટાળો")</f>
        <v xml:space="preserve"> શાંતિથી આયોજન કરો, ઉતાવળ ટાળો</v>
      </c>
      <c r="AN331" s="5" t="str">
        <f ca="1">IFERROR(__xludf.DUMMYFUNCTION("IF(AB331 = """", """", GOOGLETRANSLATE(AB331, ""en"", ""gu""))"),"")</f>
        <v/>
      </c>
      <c r="AO331" s="5" t="str">
        <f ca="1">IFERROR(__xludf.DUMMYFUNCTION("IF(Y331 = """", """", GOOGLETRANSLATE(Y331, ""en"", ""bn""))"),"কেরিয়ার খোলা")</f>
        <v>কেরিয়ার খোলা</v>
      </c>
      <c r="AP331" s="5" t="str">
        <f ca="1">IFERROR(__xludf.DUMMYFUNCTION("IF(Z331 = """", """", GOOGLETRANSLATE(Z331, ""en"", ""bn""))"),"শিশুদের উদ্বেগ থেকে মুক্তি")</f>
        <v>শিশুদের উদ্বেগ থেকে মুক্তি</v>
      </c>
      <c r="AQ331" s="5" t="str">
        <f ca="1">IFERROR(__xludf.DUMMYFUNCTION("IF(AA331 = """", """", GOOGLETRANSLATE(AA331, ""en"", ""bn""))")," শান্তভাবে পরিকল্পনা করুন, তাড়াহুড়ো এড়িয়ে চলুন")</f>
        <v xml:space="preserve"> শান্তভাবে পরিকল্পনা করুন, তাড়াহুড়ো এড়িয়ে চলুন</v>
      </c>
      <c r="AR331" s="5" t="str">
        <f ca="1">IFERROR(__xludf.DUMMYFUNCTION("IF(AB331 = """", """", GOOGLETRANSLATE(AB331, ""en"", ""bn""))"),"")</f>
        <v/>
      </c>
      <c r="AU331" s="5" t="str">
        <f ca="1">IFERROR(__xludf.DUMMYFUNCTION("IF(Y331 = """", """", GOOGLETRANSLATE(Y331, ""en"", ""te""))"),"కెరీర్ ఓపెనింగ్స్")</f>
        <v>కెరీర్ ఓపెనింగ్స్</v>
      </c>
      <c r="AV331" s="5" t="str">
        <f ca="1">IFERROR(__xludf.DUMMYFUNCTION("IF(Z331 = """", """", GOOGLETRANSLATE(Z331, ""en"", ""te""))"),"పిల్లల ఆందోళనల నుంచి ఉపశమనం")</f>
        <v>పిల్లల ఆందోళనల నుంచి ఉపశమనం</v>
      </c>
      <c r="AW331" s="5" t="str">
        <f ca="1">IFERROR(__xludf.DUMMYFUNCTION("IF(AA331 = """", """", GOOGLETRANSLATE(AA331, ""en"", ""te""))")," ప్రశాంతంగా ప్లాన్ చేసుకోండి, తొందరపాటు మానుకోండి")</f>
        <v xml:space="preserve"> ప్రశాంతంగా ప్లాన్ చేసుకోండి, తొందరపాటు మానుకోండి</v>
      </c>
      <c r="AX331" s="5" t="str">
        <f ca="1">IFERROR(__xludf.DUMMYFUNCTION("IF(AB331 = """", """", GOOGLETRANSLATE(AB331, ""en"", ""te""))"),"")</f>
        <v/>
      </c>
    </row>
    <row r="332" spans="1:50" x14ac:dyDescent="0.25">
      <c r="A332" s="1">
        <v>347</v>
      </c>
      <c r="B332" s="1" t="s">
        <v>56</v>
      </c>
      <c r="C332" s="2">
        <v>45848</v>
      </c>
      <c r="D332" s="2">
        <v>45848</v>
      </c>
      <c r="E332" s="1">
        <v>13</v>
      </c>
      <c r="F332" s="1">
        <v>1</v>
      </c>
      <c r="G332" s="3" t="s">
        <v>902</v>
      </c>
      <c r="H332" s="4">
        <v>1.1377314814814814E-2</v>
      </c>
      <c r="I332" s="4">
        <v>6.7129629629629631E-3</v>
      </c>
      <c r="J332" s="4">
        <v>7.060185185185185E-3</v>
      </c>
      <c r="K332" s="1"/>
      <c r="L332" s="1" t="s">
        <v>81</v>
      </c>
      <c r="M332" s="1"/>
      <c r="N332" s="1"/>
      <c r="O332" s="1" t="s">
        <v>91</v>
      </c>
      <c r="P332" s="1" t="s">
        <v>61</v>
      </c>
      <c r="Q332" s="1" t="s">
        <v>61</v>
      </c>
      <c r="R332" s="1" t="s">
        <v>61</v>
      </c>
      <c r="S332" s="1" t="s">
        <v>61</v>
      </c>
      <c r="T332" s="1" t="s">
        <v>61</v>
      </c>
      <c r="U332" s="1" t="s">
        <v>61</v>
      </c>
      <c r="V332" s="1" t="s">
        <v>91</v>
      </c>
      <c r="W332" s="1" t="s">
        <v>61</v>
      </c>
      <c r="X332" s="1" t="s">
        <v>61</v>
      </c>
      <c r="Y332" s="1" t="s">
        <v>520</v>
      </c>
      <c r="Z332" s="1" t="s">
        <v>442</v>
      </c>
      <c r="AA332" s="1" t="s">
        <v>931</v>
      </c>
      <c r="AB332" s="1"/>
      <c r="AC332" s="5" t="str">
        <f ca="1">IFERROR(__xludf.DUMMYFUNCTION("IF(Y332 = """", """", GOOGLETRANSLATE(Y332, ""en"", ""hi""))
"),"आनंदमय दिन")</f>
        <v>आनंदमय दिन</v>
      </c>
      <c r="AD332" s="5" t="str">
        <f ca="1">IFERROR(__xludf.DUMMYFUNCTION("IF(Z332 = """", """", GOOGLETRANSLATE(Z332, ""en"", ""hi""))"),"महत्वपूर्ण निर्णयों के लिए अच्छा")</f>
        <v>महत्वपूर्ण निर्णयों के लिए अच्छा</v>
      </c>
      <c r="AE332" s="5" t="str">
        <f ca="1">IFERROR(__xludf.DUMMYFUNCTION("IF(AA332 = """", """", GOOGLETRANSLATE(AA332, ""en"", ""hi""))"),"उत्पादक और आशावादी")</f>
        <v>उत्पादक और आशावादी</v>
      </c>
      <c r="AF332" s="5" t="str">
        <f ca="1">IFERROR(__xludf.DUMMYFUNCTION("IF(AB332 = """", """", GOOGLETRANSLATE(AB332, ""en"", ""hi""))"),"")</f>
        <v/>
      </c>
      <c r="AG332" s="5" t="str">
        <f ca="1">IFERROR(__xludf.DUMMYFUNCTION("IF(Y332 = """", """", GOOGLETRANSLATE(Y332, ""en"", ""mr""))"),"आनंदाचा दिवस")</f>
        <v>आनंदाचा दिवस</v>
      </c>
      <c r="AH332" s="5" t="str">
        <f ca="1">IFERROR(__xludf.DUMMYFUNCTION("IF(Z332 = """", """", GOOGLETRANSLATE(Z332, ""en"", ""mr""))"),"महत्त्वाच्या निर्णयांसाठी चांगले")</f>
        <v>महत्त्वाच्या निर्णयांसाठी चांगले</v>
      </c>
      <c r="AI332" s="5" t="str">
        <f ca="1">IFERROR(__xludf.DUMMYFUNCTION("IF(AA332 = """", """", GOOGLETRANSLATE(AA332, ""en"", ""mr""))"),"उत्पादक आणि आशावादी")</f>
        <v>उत्पादक आणि आशावादी</v>
      </c>
      <c r="AJ332" s="5" t="str">
        <f ca="1">IFERROR(__xludf.DUMMYFUNCTION("IF(AB332 = """", """", GOOGLETRANSLATE(AB332, ""en"", ""mr""))"),"")</f>
        <v/>
      </c>
      <c r="AK332" s="5" t="str">
        <f ca="1">IFERROR(__xludf.DUMMYFUNCTION("IF(Y332 = """", """", GOOGLETRANSLATE(Y332, ""en"", ""gu""))"),"આનંદદાયક દિવસ")</f>
        <v>આનંદદાયક દિવસ</v>
      </c>
      <c r="AL332" s="5" t="str">
        <f ca="1">IFERROR(__xludf.DUMMYFUNCTION("IF(Z332 = """", """", GOOGLETRANSLATE(Z332, ""en"", ""gu""))"),"મહત્વપૂર્ણ નિર્ણયો માટે સારું")</f>
        <v>મહત્વપૂર્ણ નિર્ણયો માટે સારું</v>
      </c>
      <c r="AM332" s="5" t="str">
        <f ca="1">IFERROR(__xludf.DUMMYFUNCTION("IF(AA332 = """", """", GOOGLETRANSLATE(AA332, ""en"", ""gu""))"),"ઉત્પાદક અને આશાવાદી")</f>
        <v>ઉત્પાદક અને આશાવાદી</v>
      </c>
      <c r="AN332" s="5" t="str">
        <f ca="1">IFERROR(__xludf.DUMMYFUNCTION("IF(AB332 = """", """", GOOGLETRANSLATE(AB332, ""en"", ""gu""))"),"")</f>
        <v/>
      </c>
      <c r="AO332" s="5" t="str">
        <f ca="1">IFERROR(__xludf.DUMMYFUNCTION("IF(Y332 = """", """", GOOGLETRANSLATE(Y332, ""en"", ""bn""))"),"আনন্দের দিন")</f>
        <v>আনন্দের দিন</v>
      </c>
      <c r="AP332" s="5" t="str">
        <f ca="1">IFERROR(__xludf.DUMMYFUNCTION("IF(Z332 = """", """", GOOGLETRANSLATE(Z332, ""en"", ""bn""))"),"গুরুত্বপূর্ণ সিদ্ধান্তের জন্য ভাল")</f>
        <v>গুরুত্বপূর্ণ সিদ্ধান্তের জন্য ভাল</v>
      </c>
      <c r="AQ332" s="5" t="str">
        <f ca="1">IFERROR(__xludf.DUMMYFUNCTION("IF(AA332 = """", """", GOOGLETRANSLATE(AA332, ""en"", ""bn""))"),"উৎপাদনশীল এবং আশাবাদী")</f>
        <v>উৎপাদনশীল এবং আশাবাদী</v>
      </c>
      <c r="AR332" s="5" t="str">
        <f ca="1">IFERROR(__xludf.DUMMYFUNCTION("IF(AB332 = """", """", GOOGLETRANSLATE(AB332, ""en"", ""bn""))"),"")</f>
        <v/>
      </c>
      <c r="AU332" s="5" t="str">
        <f ca="1">IFERROR(__xludf.DUMMYFUNCTION("IF(Y332 = """", """", GOOGLETRANSLATE(Y332, ""en"", ""te""))"),"సంతోషకరమైన రోజు")</f>
        <v>సంతోషకరమైన రోజు</v>
      </c>
      <c r="AV332" s="5" t="str">
        <f ca="1">IFERROR(__xludf.DUMMYFUNCTION("IF(Z332 = """", """", GOOGLETRANSLATE(Z332, ""en"", ""te""))"),"ముఖ్యమైన నిర్ణయాలకు అనుకూలం")</f>
        <v>ముఖ్యమైన నిర్ణయాలకు అనుకూలం</v>
      </c>
      <c r="AW332" s="5" t="str">
        <f ca="1">IFERROR(__xludf.DUMMYFUNCTION("IF(AA332 = """", """", GOOGLETRANSLATE(AA332, ""en"", ""te""))"),"ఉత్పాదక మరియు ఆశావాద")</f>
        <v>ఉత్పాదక మరియు ఆశావాద</v>
      </c>
      <c r="AX332" s="5" t="str">
        <f ca="1">IFERROR(__xludf.DUMMYFUNCTION("IF(AB332 = """", """", GOOGLETRANSLATE(AB332, ""en"", ""te""))"),"")</f>
        <v/>
      </c>
    </row>
    <row r="333" spans="1:50" x14ac:dyDescent="0.25">
      <c r="A333" s="1">
        <v>348</v>
      </c>
      <c r="B333" s="1" t="s">
        <v>56</v>
      </c>
      <c r="C333" s="2">
        <v>45848</v>
      </c>
      <c r="D333" s="2">
        <v>45848</v>
      </c>
      <c r="E333" s="1">
        <v>14</v>
      </c>
      <c r="F333" s="1">
        <v>1</v>
      </c>
      <c r="G333" s="3" t="s">
        <v>902</v>
      </c>
      <c r="H333" s="4">
        <v>1.1377314814814814E-2</v>
      </c>
      <c r="I333" s="4">
        <v>7.060185185185185E-3</v>
      </c>
      <c r="J333" s="4">
        <v>1.1377314814814814E-2</v>
      </c>
      <c r="K333" s="1"/>
      <c r="L333" s="1" t="s">
        <v>137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 t="str">
        <f ca="1">IFERROR(__xludf.DUMMYFUNCTION("IF(Y333 = """", """", GOOGLETRANSLATE(Y333, ""en"", ""hi""))
"),"")</f>
        <v/>
      </c>
      <c r="AD333" s="5" t="str">
        <f ca="1">IFERROR(__xludf.DUMMYFUNCTION("IF(Z333 = """", """", GOOGLETRANSLATE(Z333, ""en"", ""hi""))"),"")</f>
        <v/>
      </c>
      <c r="AE333" s="5" t="str">
        <f ca="1">IFERROR(__xludf.DUMMYFUNCTION("IF(AA333 = """", """", GOOGLETRANSLATE(AA333, ""en"", ""hi""))"),"")</f>
        <v/>
      </c>
      <c r="AF333" s="5" t="str">
        <f ca="1">IFERROR(__xludf.DUMMYFUNCTION("IF(AB333 = """", """", GOOGLETRANSLATE(AB333, ""en"", ""hi""))"),"")</f>
        <v/>
      </c>
      <c r="AG333" s="5" t="str">
        <f ca="1">IFERROR(__xludf.DUMMYFUNCTION("IF(Y333 = """", """", GOOGLETRANSLATE(Y333, ""en"", ""mr""))"),"")</f>
        <v/>
      </c>
      <c r="AH333" s="5" t="str">
        <f ca="1">IFERROR(__xludf.DUMMYFUNCTION("IF(Z333 = """", """", GOOGLETRANSLATE(Z333, ""en"", ""mr""))"),"")</f>
        <v/>
      </c>
      <c r="AI333" s="5" t="str">
        <f ca="1">IFERROR(__xludf.DUMMYFUNCTION("IF(AA333 = """", """", GOOGLETRANSLATE(AA333, ""en"", ""mr""))"),"")</f>
        <v/>
      </c>
      <c r="AJ333" s="5" t="str">
        <f ca="1">IFERROR(__xludf.DUMMYFUNCTION("IF(AB333 = """", """", GOOGLETRANSLATE(AB333, ""en"", ""mr""))"),"")</f>
        <v/>
      </c>
      <c r="AK333" s="5" t="str">
        <f ca="1">IFERROR(__xludf.DUMMYFUNCTION("IF(Y333 = """", """", GOOGLETRANSLATE(Y333, ""en"", ""gu""))"),"")</f>
        <v/>
      </c>
      <c r="AL333" s="5" t="str">
        <f ca="1">IFERROR(__xludf.DUMMYFUNCTION("IF(Z333 = """", """", GOOGLETRANSLATE(Z333, ""en"", ""gu""))"),"")</f>
        <v/>
      </c>
      <c r="AM333" s="5" t="str">
        <f ca="1">IFERROR(__xludf.DUMMYFUNCTION("IF(AA333 = """", """", GOOGLETRANSLATE(AA333, ""en"", ""gu""))"),"")</f>
        <v/>
      </c>
      <c r="AN333" s="5" t="str">
        <f ca="1">IFERROR(__xludf.DUMMYFUNCTION("IF(AB333 = """", """", GOOGLETRANSLATE(AB333, ""en"", ""gu""))"),"")</f>
        <v/>
      </c>
      <c r="AO333" s="5" t="str">
        <f ca="1">IFERROR(__xludf.DUMMYFUNCTION("IF(Y333 = """", """", GOOGLETRANSLATE(Y333, ""en"", ""bn""))"),"")</f>
        <v/>
      </c>
      <c r="AP333" s="5" t="str">
        <f ca="1">IFERROR(__xludf.DUMMYFUNCTION("IF(Z333 = """", """", GOOGLETRANSLATE(Z333, ""en"", ""bn""))"),"")</f>
        <v/>
      </c>
      <c r="AQ333" s="5" t="str">
        <f ca="1">IFERROR(__xludf.DUMMYFUNCTION("IF(AA333 = """", """", GOOGLETRANSLATE(AA333, ""en"", ""bn""))"),"")</f>
        <v/>
      </c>
      <c r="AR333" s="5" t="str">
        <f ca="1">IFERROR(__xludf.DUMMYFUNCTION("IF(AB333 = """", """", GOOGLETRANSLATE(AB333, ""en"", ""bn""))"),"")</f>
        <v/>
      </c>
      <c r="AU333" s="5" t="str">
        <f ca="1">IFERROR(__xludf.DUMMYFUNCTION("IF(Y333 = """", """", GOOGLETRANSLATE(Y333, ""en"", ""te""))"),"")</f>
        <v/>
      </c>
      <c r="AV333" s="5" t="str">
        <f ca="1">IFERROR(__xludf.DUMMYFUNCTION("IF(Z333 = """", """", GOOGLETRANSLATE(Z333, ""en"", ""te""))"),"")</f>
        <v/>
      </c>
      <c r="AW333" s="5" t="str">
        <f ca="1">IFERROR(__xludf.DUMMYFUNCTION("IF(AA333 = """", """", GOOGLETRANSLATE(AA333, ""en"", ""te""))"),"")</f>
        <v/>
      </c>
      <c r="AX333" s="5" t="str">
        <f ca="1">IFERROR(__xludf.DUMMYFUNCTION("IF(AB333 = """", """", GOOGLETRANSLATE(AB333, ""en"", ""te""))"),"")</f>
        <v/>
      </c>
    </row>
    <row r="334" spans="1:50" x14ac:dyDescent="0.25">
      <c r="A334" s="1">
        <v>349</v>
      </c>
      <c r="B334" s="1" t="s">
        <v>56</v>
      </c>
      <c r="C334" s="2">
        <v>45849</v>
      </c>
      <c r="D334" s="2">
        <v>45849</v>
      </c>
      <c r="E334" s="1">
        <v>1</v>
      </c>
      <c r="F334" s="1">
        <v>1</v>
      </c>
      <c r="G334" s="3" t="s">
        <v>932</v>
      </c>
      <c r="H334" s="4">
        <v>9.3287037037037036E-3</v>
      </c>
      <c r="I334" s="4">
        <v>0</v>
      </c>
      <c r="J334" s="4">
        <v>1.3888888888888889E-3</v>
      </c>
      <c r="K334" s="1"/>
      <c r="L334" s="1" t="s">
        <v>59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 t="str">
        <f ca="1">IFERROR(__xludf.DUMMYFUNCTION("IF(Y334 = """", """", GOOGLETRANSLATE(Y334, ""en"", ""hi""))
"),"")</f>
        <v/>
      </c>
      <c r="AD334" s="5" t="str">
        <f ca="1">IFERROR(__xludf.DUMMYFUNCTION("IF(Z334 = """", """", GOOGLETRANSLATE(Z334, ""en"", ""hi""))"),"")</f>
        <v/>
      </c>
      <c r="AE334" s="5" t="str">
        <f ca="1">IFERROR(__xludf.DUMMYFUNCTION("IF(AA334 = """", """", GOOGLETRANSLATE(AA334, ""en"", ""hi""))"),"")</f>
        <v/>
      </c>
      <c r="AF334" s="5" t="str">
        <f ca="1">IFERROR(__xludf.DUMMYFUNCTION("IF(AB334 = """", """", GOOGLETRANSLATE(AB334, ""en"", ""hi""))"),"")</f>
        <v/>
      </c>
      <c r="AG334" s="5" t="str">
        <f ca="1">IFERROR(__xludf.DUMMYFUNCTION("IF(Y334 = """", """", GOOGLETRANSLATE(Y334, ""en"", ""mr""))"),"")</f>
        <v/>
      </c>
      <c r="AH334" s="5" t="str">
        <f ca="1">IFERROR(__xludf.DUMMYFUNCTION("IF(Z334 = """", """", GOOGLETRANSLATE(Z334, ""en"", ""mr""))"),"")</f>
        <v/>
      </c>
      <c r="AI334" s="5" t="str">
        <f ca="1">IFERROR(__xludf.DUMMYFUNCTION("IF(AA334 = """", """", GOOGLETRANSLATE(AA334, ""en"", ""mr""))"),"")</f>
        <v/>
      </c>
      <c r="AJ334" s="5" t="str">
        <f ca="1">IFERROR(__xludf.DUMMYFUNCTION("IF(AB334 = """", """", GOOGLETRANSLATE(AB334, ""en"", ""mr""))"),"")</f>
        <v/>
      </c>
      <c r="AK334" s="5" t="str">
        <f ca="1">IFERROR(__xludf.DUMMYFUNCTION("IF(Y334 = """", """", GOOGLETRANSLATE(Y334, ""en"", ""gu""))"),"")</f>
        <v/>
      </c>
      <c r="AL334" s="5" t="str">
        <f ca="1">IFERROR(__xludf.DUMMYFUNCTION("IF(Z334 = """", """", GOOGLETRANSLATE(Z334, ""en"", ""gu""))"),"")</f>
        <v/>
      </c>
      <c r="AM334" s="5" t="str">
        <f ca="1">IFERROR(__xludf.DUMMYFUNCTION("IF(AA334 = """", """", GOOGLETRANSLATE(AA334, ""en"", ""gu""))"),"")</f>
        <v/>
      </c>
      <c r="AN334" s="5" t="str">
        <f ca="1">IFERROR(__xludf.DUMMYFUNCTION("IF(AB334 = """", """", GOOGLETRANSLATE(AB334, ""en"", ""gu""))"),"")</f>
        <v/>
      </c>
      <c r="AO334" s="5" t="str">
        <f ca="1">IFERROR(__xludf.DUMMYFUNCTION("IF(Y334 = """", """", GOOGLETRANSLATE(Y334, ""en"", ""bn""))"),"")</f>
        <v/>
      </c>
      <c r="AP334" s="5" t="str">
        <f ca="1">IFERROR(__xludf.DUMMYFUNCTION("IF(Z334 = """", """", GOOGLETRANSLATE(Z334, ""en"", ""bn""))"),"")</f>
        <v/>
      </c>
      <c r="AQ334" s="5" t="str">
        <f ca="1">IFERROR(__xludf.DUMMYFUNCTION("IF(AA334 = """", """", GOOGLETRANSLATE(AA334, ""en"", ""bn""))"),"")</f>
        <v/>
      </c>
      <c r="AR334" s="5" t="str">
        <f ca="1">IFERROR(__xludf.DUMMYFUNCTION("IF(AB334 = """", """", GOOGLETRANSLATE(AB334, ""en"", ""bn""))"),"")</f>
        <v/>
      </c>
      <c r="AU334" s="5" t="str">
        <f ca="1">IFERROR(__xludf.DUMMYFUNCTION("IF(Y334 = """", """", GOOGLETRANSLATE(Y334, ""en"", ""te""))"),"")</f>
        <v/>
      </c>
      <c r="AV334" s="5" t="str">
        <f ca="1">IFERROR(__xludf.DUMMYFUNCTION("IF(Z334 = """", """", GOOGLETRANSLATE(Z334, ""en"", ""te""))"),"")</f>
        <v/>
      </c>
      <c r="AW334" s="5" t="str">
        <f ca="1">IFERROR(__xludf.DUMMYFUNCTION("IF(AA334 = """", """", GOOGLETRANSLATE(AA334, ""en"", ""te""))"),"")</f>
        <v/>
      </c>
      <c r="AX334" s="5" t="str">
        <f ca="1">IFERROR(__xludf.DUMMYFUNCTION("IF(AB334 = """", """", GOOGLETRANSLATE(AB334, ""en"", ""te""))"),"")</f>
        <v/>
      </c>
    </row>
    <row r="335" spans="1:50" x14ac:dyDescent="0.25">
      <c r="A335" s="1">
        <v>350</v>
      </c>
      <c r="B335" s="1" t="s">
        <v>56</v>
      </c>
      <c r="C335" s="2">
        <v>45849</v>
      </c>
      <c r="D335" s="2">
        <v>45849</v>
      </c>
      <c r="E335" s="1">
        <v>2</v>
      </c>
      <c r="F335" s="1">
        <v>1</v>
      </c>
      <c r="G335" s="3" t="s">
        <v>932</v>
      </c>
      <c r="H335" s="4">
        <v>9.3287037037037036E-3</v>
      </c>
      <c r="I335" s="4">
        <v>1.3888888888888889E-3</v>
      </c>
      <c r="J335" s="4">
        <v>1.6782407407407408E-3</v>
      </c>
      <c r="K335" s="1"/>
      <c r="L335" s="1" t="s">
        <v>142</v>
      </c>
      <c r="M335" s="1"/>
      <c r="N335" s="1" t="s">
        <v>61</v>
      </c>
      <c r="O335" s="1" t="s">
        <v>91</v>
      </c>
      <c r="P335" s="1" t="s">
        <v>61</v>
      </c>
      <c r="Q335" s="1" t="s">
        <v>61</v>
      </c>
      <c r="R335" s="1" t="s">
        <v>61</v>
      </c>
      <c r="S335" s="1" t="s">
        <v>61</v>
      </c>
      <c r="T335" s="1" t="s">
        <v>61</v>
      </c>
      <c r="U335" s="1" t="s">
        <v>61</v>
      </c>
      <c r="V335" s="1" t="s">
        <v>91</v>
      </c>
      <c r="W335" s="1" t="s">
        <v>61</v>
      </c>
      <c r="X335" s="1" t="s">
        <v>61</v>
      </c>
      <c r="Y335" s="1" t="s">
        <v>933</v>
      </c>
      <c r="Z335" s="1"/>
      <c r="AA335" s="1"/>
      <c r="AB335" s="1"/>
      <c r="AC335" s="5" t="str">
        <f ca="1">IFERROR(__xludf.DUMMYFUNCTION("IF(Y335 = """", """", GOOGLETRANSLATE(Y335, ""en"", ""hi""))
"),"तनाव धीरे-धीरे कम होगा / मानसिक रूप से तनावमुक्त महसूस होगा / परिवार के साथ अच्छा समय बिताएंगे / बकाया काम निपटाने में सहायक / अचानक पारिवारिक खर्च संभव")</f>
        <v>तनाव धीरे-धीरे कम होगा / मानसिक रूप से तनावमुक्त महसूस होगा / परिवार के साथ अच्छा समय बिताएंगे / बकाया काम निपटाने में सहायक / अचानक पारिवारिक खर्च संभव</v>
      </c>
      <c r="AD335" s="5" t="str">
        <f ca="1">IFERROR(__xludf.DUMMYFUNCTION("IF(Z335 = """", """", GOOGLETRANSLATE(Z335, ""en"", ""hi""))"),"")</f>
        <v/>
      </c>
      <c r="AE335" s="5" t="str">
        <f ca="1">IFERROR(__xludf.DUMMYFUNCTION("IF(AA335 = """", """", GOOGLETRANSLATE(AA335, ""en"", ""hi""))"),"")</f>
        <v/>
      </c>
      <c r="AF335" s="5" t="str">
        <f ca="1">IFERROR(__xludf.DUMMYFUNCTION("IF(AB335 = """", """", GOOGLETRANSLATE(AB335, ""en"", ""hi""))"),"")</f>
        <v/>
      </c>
      <c r="AG335" s="5" t="str">
        <f ca="1">IFERROR(__xludf.DUMMYFUNCTION("IF(Y335 = """", """", GOOGLETRANSLATE(Y335, ""en"", ""mr""))"),"तणाव हळूहळू कमी होतो / मानसिकदृष्ट्या आरामशीर वाटतो / कुटुंबासोबत दर्जेदार वेळ घालवणे / अनुशेष साफ करण्यासाठी चांगले / अचानक कुटुंब खर्च शक्य")</f>
        <v>तणाव हळूहळू कमी होतो / मानसिकदृष्ट्या आरामशीर वाटतो / कुटुंबासोबत दर्जेदार वेळ घालवणे / अनुशेष साफ करण्यासाठी चांगले / अचानक कुटुंब खर्च शक्य</v>
      </c>
      <c r="AH335" s="5" t="str">
        <f ca="1">IFERROR(__xludf.DUMMYFUNCTION("IF(Z335 = """", """", GOOGLETRANSLATE(Z335, ""en"", ""mr""))"),"")</f>
        <v/>
      </c>
      <c r="AI335" s="5" t="str">
        <f ca="1">IFERROR(__xludf.DUMMYFUNCTION("IF(AA335 = """", """", GOOGLETRANSLATE(AA335, ""en"", ""mr""))"),"")</f>
        <v/>
      </c>
      <c r="AJ335" s="5" t="str">
        <f ca="1">IFERROR(__xludf.DUMMYFUNCTION("IF(AB335 = """", """", GOOGLETRANSLATE(AB335, ""en"", ""mr""))"),"")</f>
        <v/>
      </c>
      <c r="AK335" s="5" t="str">
        <f ca="1">IFERROR(__xludf.DUMMYFUNCTION("IF(Y335 = """", """", GOOGLETRANSLATE(Y335, ""en"", ""gu""))"),"તણાવ ધીમે ધીમે ઘટે છે / માનસિક રીતે હળવાશ અનુભવો / કુટુંબ સાથે ગુણવત્તાયુક્ત સમય પસાર કરો / બેકલોગ સાફ કરવા માટે સારું / અચાનક કુટુંબ ખર્ચ શક્ય")</f>
        <v>તણાવ ધીમે ધીમે ઘટે છે / માનસિક રીતે હળવાશ અનુભવો / કુટુંબ સાથે ગુણવત્તાયુક્ત સમય પસાર કરો / બેકલોગ સાફ કરવા માટે સારું / અચાનક કુટુંબ ખર્ચ શક્ય</v>
      </c>
      <c r="AL335" s="5" t="str">
        <f ca="1">IFERROR(__xludf.DUMMYFUNCTION("IF(Z335 = """", """", GOOGLETRANSLATE(Z335, ""en"", ""gu""))"),"")</f>
        <v/>
      </c>
      <c r="AM335" s="5" t="str">
        <f ca="1">IFERROR(__xludf.DUMMYFUNCTION("IF(AA335 = """", """", GOOGLETRANSLATE(AA335, ""en"", ""gu""))"),"")</f>
        <v/>
      </c>
      <c r="AN335" s="5" t="str">
        <f ca="1">IFERROR(__xludf.DUMMYFUNCTION("IF(AB335 = """", """", GOOGLETRANSLATE(AB335, ""en"", ""gu""))"),"")</f>
        <v/>
      </c>
      <c r="AO335" s="5" t="str">
        <f ca="1">IFERROR(__xludf.DUMMYFUNCTION("IF(Y335 = """", """", GOOGLETRANSLATE(Y335, ""en"", ""bn""))"),"স্ট্রেস ধীরে ধীরে হ্রাস পায় / মানসিকভাবে স্বাচ্ছন্দ্য বোধ করুন / পরিবারের সাথে মানসম্পন্ন সময় কাটান / ব্যাকলগ পরিষ্কার করার জন্য ভাল / হঠাৎ পারিবারিক ব্যয় সম্ভব")</f>
        <v>স্ট্রেস ধীরে ধীরে হ্রাস পায় / মানসিকভাবে স্বাচ্ছন্দ্য বোধ করুন / পরিবারের সাথে মানসম্পন্ন সময় কাটান / ব্যাকলগ পরিষ্কার করার জন্য ভাল / হঠাৎ পারিবারিক ব্যয় সম্ভব</v>
      </c>
      <c r="AP335" s="5" t="str">
        <f ca="1">IFERROR(__xludf.DUMMYFUNCTION("IF(Z335 = """", """", GOOGLETRANSLATE(Z335, ""en"", ""bn""))"),"")</f>
        <v/>
      </c>
      <c r="AQ335" s="5" t="str">
        <f ca="1">IFERROR(__xludf.DUMMYFUNCTION("IF(AA335 = """", """", GOOGLETRANSLATE(AA335, ""en"", ""bn""))"),"")</f>
        <v/>
      </c>
      <c r="AR335" s="5" t="str">
        <f ca="1">IFERROR(__xludf.DUMMYFUNCTION("IF(AB335 = """", """", GOOGLETRANSLATE(AB335, ""en"", ""bn""))"),"")</f>
        <v/>
      </c>
      <c r="AU335" s="5" t="str">
        <f ca="1">IFERROR(__xludf.DUMMYFUNCTION("IF(Y335 = """", """", GOOGLETRANSLATE(Y335, ""en"", ""te""))"),"ఒత్తిడి క్రమంగా తగ్గుతుంది / మానసికంగా రిలాక్స్‌గా ఉంటుంది / కుటుంబంతో నాణ్యమైన సమయాన్ని గడపండి / బ్యాక్‌లాగ్‌ను క్లియర్ చేయడానికి మంచిది / ఆకస్మిక కుటుంబ ఖర్చులు సాధ్యమవుతాయి")</f>
        <v>ఒత్తిడి క్రమంగా తగ్గుతుంది / మానసికంగా రిలాక్స్‌గా ఉంటుంది / కుటుంబంతో నాణ్యమైన సమయాన్ని గడపండి / బ్యాక్‌లాగ్‌ను క్లియర్ చేయడానికి మంచిది / ఆకస్మిక కుటుంబ ఖర్చులు సాధ్యమవుతాయి</v>
      </c>
      <c r="AV335" s="5" t="str">
        <f ca="1">IFERROR(__xludf.DUMMYFUNCTION("IF(Z335 = """", """", GOOGLETRANSLATE(Z335, ""en"", ""te""))"),"")</f>
        <v/>
      </c>
      <c r="AW335" s="5" t="str">
        <f ca="1">IFERROR(__xludf.DUMMYFUNCTION("IF(AA335 = """", """", GOOGLETRANSLATE(AA335, ""en"", ""te""))"),"")</f>
        <v/>
      </c>
      <c r="AX335" s="5" t="str">
        <f ca="1">IFERROR(__xludf.DUMMYFUNCTION("IF(AB335 = """", """", GOOGLETRANSLATE(AB335, ""en"", ""te""))"),"")</f>
        <v/>
      </c>
    </row>
    <row r="336" spans="1:50" x14ac:dyDescent="0.25">
      <c r="A336" s="1">
        <v>351</v>
      </c>
      <c r="B336" s="1" t="s">
        <v>56</v>
      </c>
      <c r="C336" s="2">
        <v>45849</v>
      </c>
      <c r="D336" s="2">
        <v>45849</v>
      </c>
      <c r="E336" s="1">
        <v>3</v>
      </c>
      <c r="F336" s="1">
        <v>1</v>
      </c>
      <c r="G336" s="3" t="s">
        <v>932</v>
      </c>
      <c r="H336" s="4">
        <v>9.3287037037037036E-3</v>
      </c>
      <c r="I336" s="4">
        <v>1.6782407407407408E-3</v>
      </c>
      <c r="J336" s="4">
        <v>2.0833333333333333E-3</v>
      </c>
      <c r="K336" s="1"/>
      <c r="L336" s="1" t="s">
        <v>90</v>
      </c>
      <c r="M336" s="1"/>
      <c r="N336" s="1" t="s">
        <v>61</v>
      </c>
      <c r="O336" s="1" t="s">
        <v>61</v>
      </c>
      <c r="P336" s="1" t="s">
        <v>61</v>
      </c>
      <c r="Q336" s="1" t="s">
        <v>61</v>
      </c>
      <c r="R336" s="1" t="s">
        <v>61</v>
      </c>
      <c r="S336" s="1" t="s">
        <v>61</v>
      </c>
      <c r="T336" s="1" t="s">
        <v>91</v>
      </c>
      <c r="U336" s="1" t="s">
        <v>61</v>
      </c>
      <c r="V336" s="1" t="s">
        <v>61</v>
      </c>
      <c r="W336" s="1" t="s">
        <v>61</v>
      </c>
      <c r="X336" s="1" t="s">
        <v>91</v>
      </c>
      <c r="Y336" s="1" t="s">
        <v>934</v>
      </c>
      <c r="Z336" s="1"/>
      <c r="AA336" s="1"/>
      <c r="AB336" s="1"/>
      <c r="AC336" s="5" t="str">
        <f ca="1">IFERROR(__xludf.DUMMYFUNCTION("IF(Y336 = """", """", GOOGLETRANSLATE(Y336, ""en"", ""hi""))
"),"तनाव से स्वास्थ्य पर पड़ने वाले प्रभाव से बचें / शांति और धैर्य बनाए रखें / अत्यधिक परिश्रम से बचें")</f>
        <v>तनाव से स्वास्थ्य पर पड़ने वाले प्रभाव से बचें / शांति और धैर्य बनाए रखें / अत्यधिक परिश्रम से बचें</v>
      </c>
      <c r="AD336" s="5" t="str">
        <f ca="1">IFERROR(__xludf.DUMMYFUNCTION("IF(Z336 = """", """", GOOGLETRANSLATE(Z336, ""en"", ""hi""))"),"")</f>
        <v/>
      </c>
      <c r="AE336" s="5" t="str">
        <f ca="1">IFERROR(__xludf.DUMMYFUNCTION("IF(AA336 = """", """", GOOGLETRANSLATE(AA336, ""en"", ""hi""))"),"")</f>
        <v/>
      </c>
      <c r="AF336" s="5" t="str">
        <f ca="1">IFERROR(__xludf.DUMMYFUNCTION("IF(AB336 = """", """", GOOGLETRANSLATE(AB336, ""en"", ""hi""))"),"")</f>
        <v/>
      </c>
      <c r="AG336" s="5" t="str">
        <f ca="1">IFERROR(__xludf.DUMMYFUNCTION("IF(Y336 = """", """", GOOGLETRANSLATE(Y336, ""en"", ""mr""))"),"तणावामुळे आरोग्यावर होणारा परिणाम टाळा / शांतता आणि संयम ठेवा / अति श्रम टाळा")</f>
        <v>तणावामुळे आरोग्यावर होणारा परिणाम टाळा / शांतता आणि संयम ठेवा / अति श्रम टाळा</v>
      </c>
      <c r="AH336" s="5" t="str">
        <f ca="1">IFERROR(__xludf.DUMMYFUNCTION("IF(Z336 = """", """", GOOGLETRANSLATE(Z336, ""en"", ""mr""))"),"")</f>
        <v/>
      </c>
      <c r="AI336" s="5" t="str">
        <f ca="1">IFERROR(__xludf.DUMMYFUNCTION("IF(AA336 = """", """", GOOGLETRANSLATE(AA336, ""en"", ""mr""))"),"")</f>
        <v/>
      </c>
      <c r="AJ336" s="5" t="str">
        <f ca="1">IFERROR(__xludf.DUMMYFUNCTION("IF(AB336 = """", """", GOOGLETRANSLATE(AB336, ""en"", ""mr""))"),"")</f>
        <v/>
      </c>
      <c r="AK336" s="5" t="str">
        <f ca="1">IFERROR(__xludf.DUMMYFUNCTION("IF(Y336 = """", """", GOOGLETRANSLATE(Y336, ""en"", ""gu""))"),"તાણથી આરોગ્ય પર અસર ટાળો / શાંત અને ધીરજ જાળવી રાખો / વધુ પડતી મહેનત ટાળો")</f>
        <v>તાણથી આરોગ્ય પર અસર ટાળો / શાંત અને ધીરજ જાળવી રાખો / વધુ પડતી મહેનત ટાળો</v>
      </c>
      <c r="AL336" s="5" t="str">
        <f ca="1">IFERROR(__xludf.DUMMYFUNCTION("IF(Z336 = """", """", GOOGLETRANSLATE(Z336, ""en"", ""gu""))"),"")</f>
        <v/>
      </c>
      <c r="AM336" s="5" t="str">
        <f ca="1">IFERROR(__xludf.DUMMYFUNCTION("IF(AA336 = """", """", GOOGLETRANSLATE(AA336, ""en"", ""gu""))"),"")</f>
        <v/>
      </c>
      <c r="AN336" s="5" t="str">
        <f ca="1">IFERROR(__xludf.DUMMYFUNCTION("IF(AB336 = """", """", GOOGLETRANSLATE(AB336, ""en"", ""gu""))"),"")</f>
        <v/>
      </c>
      <c r="AO336" s="5" t="str">
        <f ca="1">IFERROR(__xludf.DUMMYFUNCTION("IF(Y336 = """", """", GOOGLETRANSLATE(Y336, ""en"", ""bn""))"),"মানসিক চাপ থেকে স্বাস্থ্যের প্রভাব এড়িয়ে চলুন / শান্ত এবং ধৈর্য বজায় রাখুন / অতিরিক্ত পরিশ্রম এড়িয়ে চলুন")</f>
        <v>মানসিক চাপ থেকে স্বাস্থ্যের প্রভাব এড়িয়ে চলুন / শান্ত এবং ধৈর্য বজায় রাখুন / অতিরিক্ত পরিশ্রম এড়িয়ে চলুন</v>
      </c>
      <c r="AP336" s="5" t="str">
        <f ca="1">IFERROR(__xludf.DUMMYFUNCTION("IF(Z336 = """", """", GOOGLETRANSLATE(Z336, ""en"", ""bn""))"),"")</f>
        <v/>
      </c>
      <c r="AQ336" s="5" t="str">
        <f ca="1">IFERROR(__xludf.DUMMYFUNCTION("IF(AA336 = """", """", GOOGLETRANSLATE(AA336, ""en"", ""bn""))"),"")</f>
        <v/>
      </c>
      <c r="AR336" s="5" t="str">
        <f ca="1">IFERROR(__xludf.DUMMYFUNCTION("IF(AB336 = """", """", GOOGLETRANSLATE(AB336, ""en"", ""bn""))"),"")</f>
        <v/>
      </c>
      <c r="AU336" s="5" t="str">
        <f ca="1">IFERROR(__xludf.DUMMYFUNCTION("IF(Y336 = """", """", GOOGLETRANSLATE(Y336, ""en"", ""te""))"),"ఒత్తిడి నుండి ఆరోగ్య ప్రభావాన్ని నివారించండి / ప్రశాంతత మరియు సహనాన్ని కొనసాగించండి / అధిక శ్రమను నివారించండి")</f>
        <v>ఒత్తిడి నుండి ఆరోగ్య ప్రభావాన్ని నివారించండి / ప్రశాంతత మరియు సహనాన్ని కొనసాగించండి / అధిక శ్రమను నివారించండి</v>
      </c>
      <c r="AV336" s="5" t="str">
        <f ca="1">IFERROR(__xludf.DUMMYFUNCTION("IF(Z336 = """", """", GOOGLETRANSLATE(Z336, ""en"", ""te""))"),"")</f>
        <v/>
      </c>
      <c r="AW336" s="5" t="str">
        <f ca="1">IFERROR(__xludf.DUMMYFUNCTION("IF(AA336 = """", """", GOOGLETRANSLATE(AA336, ""en"", ""te""))"),"")</f>
        <v/>
      </c>
      <c r="AX336" s="5" t="str">
        <f ca="1">IFERROR(__xludf.DUMMYFUNCTION("IF(AB336 = """", """", GOOGLETRANSLATE(AB336, ""en"", ""te""))"),"")</f>
        <v/>
      </c>
    </row>
    <row r="337" spans="1:50" x14ac:dyDescent="0.25">
      <c r="A337" s="1">
        <v>352</v>
      </c>
      <c r="B337" s="1" t="s">
        <v>56</v>
      </c>
      <c r="C337" s="2">
        <v>45849</v>
      </c>
      <c r="D337" s="2">
        <v>45849</v>
      </c>
      <c r="E337" s="1">
        <v>4</v>
      </c>
      <c r="F337" s="1">
        <v>1</v>
      </c>
      <c r="G337" s="3" t="s">
        <v>932</v>
      </c>
      <c r="H337" s="4">
        <v>9.3287037037037036E-3</v>
      </c>
      <c r="I337" s="4">
        <v>2.0833333333333333E-3</v>
      </c>
      <c r="J337" s="4">
        <v>2.4537037037037036E-3</v>
      </c>
      <c r="K337" s="1"/>
      <c r="L337" s="1" t="s">
        <v>97</v>
      </c>
      <c r="M337" s="1"/>
      <c r="N337" s="1" t="s">
        <v>61</v>
      </c>
      <c r="O337" s="1" t="s">
        <v>61</v>
      </c>
      <c r="P337" s="1" t="s">
        <v>61</v>
      </c>
      <c r="Q337" s="1" t="s">
        <v>61</v>
      </c>
      <c r="R337" s="1" t="s">
        <v>61</v>
      </c>
      <c r="S337" s="1" t="s">
        <v>91</v>
      </c>
      <c r="T337" s="1" t="s">
        <v>61</v>
      </c>
      <c r="U337" s="1" t="s">
        <v>61</v>
      </c>
      <c r="V337" s="1" t="s">
        <v>61</v>
      </c>
      <c r="W337" s="1" t="s">
        <v>91</v>
      </c>
      <c r="X337" s="1" t="s">
        <v>61</v>
      </c>
      <c r="Y337" s="1" t="s">
        <v>935</v>
      </c>
      <c r="Z337" s="1"/>
      <c r="AA337" s="1"/>
      <c r="AB337" s="1"/>
      <c r="AC337" s="5" t="str">
        <f ca="1">IFERROR(__xludf.DUMMYFUNCTION("IF(Y337 = """", """", GOOGLETRANSLATE(Y337, ""en"", ""hi""))
"),"महत्वपूर्ण निर्णय लेने से बचें / अनावश्यक बहस से बचें / शांतिपूर्वक दिनचर्या का पालन करें / बड़े कदम उठाने के लिए दिन शुभ नहीं है")</f>
        <v>महत्वपूर्ण निर्णय लेने से बचें / अनावश्यक बहस से बचें / शांतिपूर्वक दिनचर्या का पालन करें / बड़े कदम उठाने के लिए दिन शुभ नहीं है</v>
      </c>
      <c r="AD337" s="5" t="str">
        <f ca="1">IFERROR(__xludf.DUMMYFUNCTION("IF(Z337 = """", """", GOOGLETRANSLATE(Z337, ""en"", ""hi""))"),"")</f>
        <v/>
      </c>
      <c r="AE337" s="5" t="str">
        <f ca="1">IFERROR(__xludf.DUMMYFUNCTION("IF(AA337 = """", """", GOOGLETRANSLATE(AA337, ""en"", ""hi""))"),"")</f>
        <v/>
      </c>
      <c r="AF337" s="5" t="str">
        <f ca="1">IFERROR(__xludf.DUMMYFUNCTION("IF(AB337 = """", """", GOOGLETRANSLATE(AB337, ""en"", ""hi""))"),"")</f>
        <v/>
      </c>
      <c r="AG337" s="5" t="str">
        <f ca="1">IFERROR(__xludf.DUMMYFUNCTION("IF(Y337 = """", """", GOOGLETRANSLATE(Y337, ""en"", ""mr""))"),"महत्त्वाचे निर्णय टाळा/अनावश्यक वाद टाळा/शांतपणे नित्यक्रमाला चिकटून रहा/मोठ्या पावलांसाठी दिवस शुभ नाही")</f>
        <v>महत्त्वाचे निर्णय टाळा/अनावश्यक वाद टाळा/शांतपणे नित्यक्रमाला चिकटून रहा/मोठ्या पावलांसाठी दिवस शुभ नाही</v>
      </c>
      <c r="AH337" s="5" t="str">
        <f ca="1">IFERROR(__xludf.DUMMYFUNCTION("IF(Z337 = """", """", GOOGLETRANSLATE(Z337, ""en"", ""mr""))"),"")</f>
        <v/>
      </c>
      <c r="AI337" s="5" t="str">
        <f ca="1">IFERROR(__xludf.DUMMYFUNCTION("IF(AA337 = """", """", GOOGLETRANSLATE(AA337, ""en"", ""mr""))"),"")</f>
        <v/>
      </c>
      <c r="AJ337" s="5" t="str">
        <f ca="1">IFERROR(__xludf.DUMMYFUNCTION("IF(AB337 = """", """", GOOGLETRANSLATE(AB337, ""en"", ""mr""))"),"")</f>
        <v/>
      </c>
      <c r="AK337" s="5" t="str">
        <f ca="1">IFERROR(__xludf.DUMMYFUNCTION("IF(Y337 = """", """", GOOGLETRANSLATE(Y337, ""en"", ""gu""))"),"મહત્વપૂર્ણ નિર્ણયો ટાળો / બિનજરૂરી દલીલો ટાળો / નિત્યક્રમને શાંતિથી વળગી રહો / મોટા પગલાઓ માટે દિવસ શુભ નથી")</f>
        <v>મહત્વપૂર્ણ નિર્ણયો ટાળો / બિનજરૂરી દલીલો ટાળો / નિત્યક્રમને શાંતિથી વળગી રહો / મોટા પગલાઓ માટે દિવસ શુભ નથી</v>
      </c>
      <c r="AL337" s="5" t="str">
        <f ca="1">IFERROR(__xludf.DUMMYFUNCTION("IF(Z337 = """", """", GOOGLETRANSLATE(Z337, ""en"", ""gu""))"),"")</f>
        <v/>
      </c>
      <c r="AM337" s="5" t="str">
        <f ca="1">IFERROR(__xludf.DUMMYFUNCTION("IF(AA337 = """", """", GOOGLETRANSLATE(AA337, ""en"", ""gu""))"),"")</f>
        <v/>
      </c>
      <c r="AN337" s="5" t="str">
        <f ca="1">IFERROR(__xludf.DUMMYFUNCTION("IF(AB337 = """", """", GOOGLETRANSLATE(AB337, ""en"", ""gu""))"),"")</f>
        <v/>
      </c>
      <c r="AO337" s="5" t="str">
        <f ca="1">IFERROR(__xludf.DUMMYFUNCTION("IF(Y337 = """", """", GOOGLETRANSLATE(Y337, ""en"", ""bn""))"),"গুরুত্বপূর্ণ সিদ্ধান্ত এড়িয়ে চলুন / অপ্রয়োজনীয় তর্ক এড়িয়ে চলুন / শান্তভাবে রুটিনে লেগে থাকুন / বড় পদক্ষেপের জন্য দিনটি শুভ নয়")</f>
        <v>গুরুত্বপূর্ণ সিদ্ধান্ত এড়িয়ে চলুন / অপ্রয়োজনীয় তর্ক এড়িয়ে চলুন / শান্তভাবে রুটিনে লেগে থাকুন / বড় পদক্ষেপের জন্য দিনটি শুভ নয়</v>
      </c>
      <c r="AP337" s="5" t="str">
        <f ca="1">IFERROR(__xludf.DUMMYFUNCTION("IF(Z337 = """", """", GOOGLETRANSLATE(Z337, ""en"", ""bn""))"),"")</f>
        <v/>
      </c>
      <c r="AQ337" s="5" t="str">
        <f ca="1">IFERROR(__xludf.DUMMYFUNCTION("IF(AA337 = """", """", GOOGLETRANSLATE(AA337, ""en"", ""bn""))"),"")</f>
        <v/>
      </c>
      <c r="AR337" s="5" t="str">
        <f ca="1">IFERROR(__xludf.DUMMYFUNCTION("IF(AB337 = """", """", GOOGLETRANSLATE(AB337, ""en"", ""bn""))"),"")</f>
        <v/>
      </c>
      <c r="AU337" s="5" t="str">
        <f ca="1">IFERROR(__xludf.DUMMYFUNCTION("IF(Y337 = """", """", GOOGLETRANSLATE(Y337, ""en"", ""te""))"),"ముఖ్యమైన నిర్ణయాలకు దూరంగా ఉండండి / అనవసరమైన వాదనలకు దూరంగా ఉండండి / ప్రశాంతంగా దినచర్యకు కట్టుబడి ఉండండి / ప్రధాన దశలకు రోజు శ్రేయస్కరం కాదు")</f>
        <v>ముఖ్యమైన నిర్ణయాలకు దూరంగా ఉండండి / అనవసరమైన వాదనలకు దూరంగా ఉండండి / ప్రశాంతంగా దినచర్యకు కట్టుబడి ఉండండి / ప్రధాన దశలకు రోజు శ్రేయస్కరం కాదు</v>
      </c>
      <c r="AV337" s="5" t="str">
        <f ca="1">IFERROR(__xludf.DUMMYFUNCTION("IF(Z337 = """", """", GOOGLETRANSLATE(Z337, ""en"", ""te""))"),"")</f>
        <v/>
      </c>
      <c r="AW337" s="5" t="str">
        <f ca="1">IFERROR(__xludf.DUMMYFUNCTION("IF(AA337 = """", """", GOOGLETRANSLATE(AA337, ""en"", ""te""))"),"")</f>
        <v/>
      </c>
      <c r="AX337" s="5" t="str">
        <f ca="1">IFERROR(__xludf.DUMMYFUNCTION("IF(AB337 = """", """", GOOGLETRANSLATE(AB337, ""en"", ""te""))"),"")</f>
        <v/>
      </c>
    </row>
    <row r="338" spans="1:50" x14ac:dyDescent="0.25">
      <c r="A338" s="1">
        <v>353</v>
      </c>
      <c r="B338" s="1" t="s">
        <v>56</v>
      </c>
      <c r="C338" s="2">
        <v>45849</v>
      </c>
      <c r="D338" s="2">
        <v>45849</v>
      </c>
      <c r="E338" s="1">
        <v>5</v>
      </c>
      <c r="F338" s="1">
        <v>1</v>
      </c>
      <c r="G338" s="3" t="s">
        <v>932</v>
      </c>
      <c r="H338" s="4">
        <v>9.3287037037037036E-3</v>
      </c>
      <c r="I338" s="4">
        <v>2.4537037037037036E-3</v>
      </c>
      <c r="J338" s="4">
        <v>2.8935185185185184E-3</v>
      </c>
      <c r="K338" s="1"/>
      <c r="L338" s="1" t="s">
        <v>102</v>
      </c>
      <c r="M338" s="1"/>
      <c r="N338" s="1" t="s">
        <v>61</v>
      </c>
      <c r="O338" s="1" t="s">
        <v>61</v>
      </c>
      <c r="P338" s="1" t="s">
        <v>61</v>
      </c>
      <c r="Q338" s="1" t="s">
        <v>61</v>
      </c>
      <c r="R338" s="1" t="s">
        <v>91</v>
      </c>
      <c r="S338" s="1" t="s">
        <v>61</v>
      </c>
      <c r="T338" s="1" t="s">
        <v>61</v>
      </c>
      <c r="U338" s="1" t="s">
        <v>61</v>
      </c>
      <c r="V338" s="1" t="s">
        <v>61</v>
      </c>
      <c r="W338" s="1" t="s">
        <v>91</v>
      </c>
      <c r="X338" s="1" t="s">
        <v>61</v>
      </c>
      <c r="Y338" s="1" t="s">
        <v>936</v>
      </c>
      <c r="Z338" s="1"/>
      <c r="AA338" s="1"/>
      <c r="AB338" s="1"/>
      <c r="AC338" s="5" t="str">
        <f ca="1">IFERROR(__xludf.DUMMYFUNCTION("IF(Y338 = """", """", GOOGLETRANSLATE(Y338, ""en"", ""hi""))
"),"दिन की शुरुआत तनावपूर्ण / शाम तक हालात सुधर जाते हैं / काम पूरा होने पर संतुष्टि महसूस होती है / उत्साह से काम पूरा करने में मदद मिलती है")</f>
        <v>दिन की शुरुआत तनावपूर्ण / शाम तक हालात सुधर जाते हैं / काम पूरा होने पर संतुष्टि महसूस होती है / उत्साह से काम पूरा करने में मदद मिलती है</v>
      </c>
      <c r="AD338" s="5" t="str">
        <f ca="1">IFERROR(__xludf.DUMMYFUNCTION("IF(Z338 = """", """", GOOGLETRANSLATE(Z338, ""en"", ""hi""))"),"")</f>
        <v/>
      </c>
      <c r="AE338" s="5" t="str">
        <f ca="1">IFERROR(__xludf.DUMMYFUNCTION("IF(AA338 = """", """", GOOGLETRANSLATE(AA338, ""en"", ""hi""))"),"")</f>
        <v/>
      </c>
      <c r="AF338" s="5" t="str">
        <f ca="1">IFERROR(__xludf.DUMMYFUNCTION("IF(AB338 = """", """", GOOGLETRANSLATE(AB338, ""en"", ""hi""))"),"")</f>
        <v/>
      </c>
      <c r="AG338" s="5" t="str">
        <f ca="1">IFERROR(__xludf.DUMMYFUNCTION("IF(Y338 = """", """", GOOGLETRANSLATE(Y338, ""en"", ""mr""))"),"दिवसाची सुरुवात तणावपूर्ण होते / संध्याकाळपर्यंत गोष्टी सुधारतात / कार्य पूर्ण झाल्यानंतर समाधान वाटते / उत्साह कार्य पूर्ण करण्यात मदत करतो")</f>
        <v>दिवसाची सुरुवात तणावपूर्ण होते / संध्याकाळपर्यंत गोष्टी सुधारतात / कार्य पूर्ण झाल्यानंतर समाधान वाटते / उत्साह कार्य पूर्ण करण्यात मदत करतो</v>
      </c>
      <c r="AH338" s="5" t="str">
        <f ca="1">IFERROR(__xludf.DUMMYFUNCTION("IF(Z338 = """", """", GOOGLETRANSLATE(Z338, ""en"", ""mr""))"),"")</f>
        <v/>
      </c>
      <c r="AI338" s="5" t="str">
        <f ca="1">IFERROR(__xludf.DUMMYFUNCTION("IF(AA338 = """", """", GOOGLETRANSLATE(AA338, ""en"", ""mr""))"),"")</f>
        <v/>
      </c>
      <c r="AJ338" s="5" t="str">
        <f ca="1">IFERROR(__xludf.DUMMYFUNCTION("IF(AB338 = """", """", GOOGLETRANSLATE(AB338, ""en"", ""mr""))"),"")</f>
        <v/>
      </c>
      <c r="AK338" s="5" t="str">
        <f ca="1">IFERROR(__xludf.DUMMYFUNCTION("IF(Y338 = """", """", GOOGLETRANSLATE(Y338, ""en"", ""gu""))"),"દિવસ તણાવપૂર્ણ શરૂ થાય છે / સાંજ સુધીમાં વસ્તુઓ સુધરે છે / કાર્ય પૂર્ણ થયા પછી સંતોષની લાગણી / ઉત્સાહ કાર્યો પૂર્ણ કરવામાં મદદ કરે છે")</f>
        <v>દિવસ તણાવપૂર્ણ શરૂ થાય છે / સાંજ સુધીમાં વસ્તુઓ સુધરે છે / કાર્ય પૂર્ણ થયા પછી સંતોષની લાગણી / ઉત્સાહ કાર્યો પૂર્ણ કરવામાં મદદ કરે છે</v>
      </c>
      <c r="AL338" s="5" t="str">
        <f ca="1">IFERROR(__xludf.DUMMYFUNCTION("IF(Z338 = """", """", GOOGLETRANSLATE(Z338, ""en"", ""gu""))"),"")</f>
        <v/>
      </c>
      <c r="AM338" s="5" t="str">
        <f ca="1">IFERROR(__xludf.DUMMYFUNCTION("IF(AA338 = """", """", GOOGLETRANSLATE(AA338, ""en"", ""gu""))"),"")</f>
        <v/>
      </c>
      <c r="AN338" s="5" t="str">
        <f ca="1">IFERROR(__xludf.DUMMYFUNCTION("IF(AB338 = """", """", GOOGLETRANSLATE(AB338, ""en"", ""gu""))"),"")</f>
        <v/>
      </c>
      <c r="AO338" s="5" t="str">
        <f ca="1">IFERROR(__xludf.DUMMYFUNCTION("IF(Y338 = """", """", GOOGLETRANSLATE(Y338, ""en"", ""bn""))"),"দিন শুরু হয় চাপের / সন্ধ্যার মধ্যে জিনিসগুলির উন্নতি হয় / কাজ শেষ হওয়ার পরে সন্তুষ্টি অনুভব করে / উত্সাহ কাজগুলি সম্পূর্ণ করতে সহায়তা করে")</f>
        <v>দিন শুরু হয় চাপের / সন্ধ্যার মধ্যে জিনিসগুলির উন্নতি হয় / কাজ শেষ হওয়ার পরে সন্তুষ্টি অনুভব করে / উত্সাহ কাজগুলি সম্পূর্ণ করতে সহায়তা করে</v>
      </c>
      <c r="AP338" s="5" t="str">
        <f ca="1">IFERROR(__xludf.DUMMYFUNCTION("IF(Z338 = """", """", GOOGLETRANSLATE(Z338, ""en"", ""bn""))"),"")</f>
        <v/>
      </c>
      <c r="AQ338" s="5" t="str">
        <f ca="1">IFERROR(__xludf.DUMMYFUNCTION("IF(AA338 = """", """", GOOGLETRANSLATE(AA338, ""en"", ""bn""))"),"")</f>
        <v/>
      </c>
      <c r="AR338" s="5" t="str">
        <f ca="1">IFERROR(__xludf.DUMMYFUNCTION("IF(AB338 = """", """", GOOGLETRANSLATE(AB338, ""en"", ""bn""))"),"")</f>
        <v/>
      </c>
      <c r="AU338" s="5" t="str">
        <f ca="1">IFERROR(__xludf.DUMMYFUNCTION("IF(Y338 = """", """", GOOGLETRANSLATE(Y338, ""en"", ""te""))"),"రోజు ఒత్తిడితో మొదలవుతుంది / సాయంత్రం నాటికి విషయాలు మెరుగుపడతాయి / పని పూర్తయిన తర్వాత సంతృప్తి అనుభూతి / ఉత్సాహం పనులు పూర్తి చేయడంలో సహాయపడుతుంది")</f>
        <v>రోజు ఒత్తిడితో మొదలవుతుంది / సాయంత్రం నాటికి విషయాలు మెరుగుపడతాయి / పని పూర్తయిన తర్వాత సంతృప్తి అనుభూతి / ఉత్సాహం పనులు పూర్తి చేయడంలో సహాయపడుతుంది</v>
      </c>
      <c r="AV338" s="5" t="str">
        <f ca="1">IFERROR(__xludf.DUMMYFUNCTION("IF(Z338 = """", """", GOOGLETRANSLATE(Z338, ""en"", ""te""))"),"")</f>
        <v/>
      </c>
      <c r="AW338" s="5" t="str">
        <f ca="1">IFERROR(__xludf.DUMMYFUNCTION("IF(AA338 = """", """", GOOGLETRANSLATE(AA338, ""en"", ""te""))"),"")</f>
        <v/>
      </c>
      <c r="AX338" s="5" t="str">
        <f ca="1">IFERROR(__xludf.DUMMYFUNCTION("IF(AB338 = """", """", GOOGLETRANSLATE(AB338, ""en"", ""te""))"),"")</f>
        <v/>
      </c>
    </row>
    <row r="339" spans="1:50" x14ac:dyDescent="0.25">
      <c r="A339" s="1">
        <v>354</v>
      </c>
      <c r="B339" s="1" t="s">
        <v>56</v>
      </c>
      <c r="C339" s="2">
        <v>45849</v>
      </c>
      <c r="D339" s="2">
        <v>45849</v>
      </c>
      <c r="E339" s="1">
        <v>6</v>
      </c>
      <c r="F339" s="1">
        <v>1</v>
      </c>
      <c r="G339" s="3" t="s">
        <v>932</v>
      </c>
      <c r="H339" s="4">
        <v>9.3287037037037036E-3</v>
      </c>
      <c r="I339" s="4">
        <v>2.8935185185185184E-3</v>
      </c>
      <c r="J339" s="4">
        <v>3.2638888888888891E-3</v>
      </c>
      <c r="K339" s="1"/>
      <c r="L339" s="1" t="s">
        <v>108</v>
      </c>
      <c r="M339" s="1"/>
      <c r="N339" s="1" t="s">
        <v>61</v>
      </c>
      <c r="O339" s="1" t="s">
        <v>91</v>
      </c>
      <c r="P339" s="1" t="s">
        <v>61</v>
      </c>
      <c r="Q339" s="1" t="s">
        <v>61</v>
      </c>
      <c r="R339" s="1" t="s">
        <v>61</v>
      </c>
      <c r="S339" s="1" t="s">
        <v>61</v>
      </c>
      <c r="T339" s="1" t="s">
        <v>61</v>
      </c>
      <c r="U339" s="1" t="s">
        <v>61</v>
      </c>
      <c r="V339" s="1" t="s">
        <v>91</v>
      </c>
      <c r="W339" s="1" t="s">
        <v>61</v>
      </c>
      <c r="X339" s="1" t="s">
        <v>61</v>
      </c>
      <c r="Y339" s="1" t="s">
        <v>937</v>
      </c>
      <c r="Z339" s="1"/>
      <c r="AA339" s="1"/>
      <c r="AB339" s="1"/>
      <c r="AC339" s="5" t="str">
        <f ca="1">IFERROR(__xludf.DUMMYFUNCTION("IF(Y339 = """", """", GOOGLETRANSLATE(Y339, ""en"", ""hi""))
"),"पुराने काम निपटाएँ / महत्वपूर्ण निर्णय लें / मीठी वाणी से चुनौतियों का समाधान होगा / पारिवारिक सहयोग का आश्वासन")</f>
        <v>पुराने काम निपटाएँ / महत्वपूर्ण निर्णय लें / मीठी वाणी से चुनौतियों का समाधान होगा / पारिवारिक सहयोग का आश्वासन</v>
      </c>
      <c r="AD339" s="5" t="str">
        <f ca="1">IFERROR(__xludf.DUMMYFUNCTION("IF(Z339 = """", """", GOOGLETRANSLATE(Z339, ""en"", ""hi""))"),"")</f>
        <v/>
      </c>
      <c r="AE339" s="5" t="str">
        <f ca="1">IFERROR(__xludf.DUMMYFUNCTION("IF(AA339 = """", """", GOOGLETRANSLATE(AA339, ""en"", ""hi""))"),"")</f>
        <v/>
      </c>
      <c r="AF339" s="5" t="str">
        <f ca="1">IFERROR(__xludf.DUMMYFUNCTION("IF(AB339 = """", """", GOOGLETRANSLATE(AB339, ""en"", ""hi""))"),"")</f>
        <v/>
      </c>
      <c r="AG339" s="5" t="str">
        <f ca="1">IFERROR(__xludf.DUMMYFUNCTION("IF(Y339 = """", """", GOOGLETRANSLATE(Y339, ""en"", ""mr""))"),"जुनी कामे पूर्ण करा / महत्वाचे निर्णय घ्या / गोड बोलणे आव्हाने सोडवण्यास मदत करते / कौटुंबिक समर्थन निश्चित")</f>
        <v>जुनी कामे पूर्ण करा / महत्वाचे निर्णय घ्या / गोड बोलणे आव्हाने सोडवण्यास मदत करते / कौटुंबिक समर्थन निश्चित</v>
      </c>
      <c r="AH339" s="5" t="str">
        <f ca="1">IFERROR(__xludf.DUMMYFUNCTION("IF(Z339 = """", """", GOOGLETRANSLATE(Z339, ""en"", ""mr""))"),"")</f>
        <v/>
      </c>
      <c r="AI339" s="5" t="str">
        <f ca="1">IFERROR(__xludf.DUMMYFUNCTION("IF(AA339 = """", """", GOOGLETRANSLATE(AA339, ""en"", ""mr""))"),"")</f>
        <v/>
      </c>
      <c r="AJ339" s="5" t="str">
        <f ca="1">IFERROR(__xludf.DUMMYFUNCTION("IF(AB339 = """", """", GOOGLETRANSLATE(AB339, ""en"", ""mr""))"),"")</f>
        <v/>
      </c>
      <c r="AK339" s="5" t="str">
        <f ca="1">IFERROR(__xludf.DUMMYFUNCTION("IF(Y339 = """", """", GOOGLETRANSLATE(Y339, ""en"", ""gu""))"),"જૂના કાર્યો પૂર્ણ કરો / મહત્વપૂર્ણ નિર્ણયો લો / મીઠી વાણી પડકારોને ઉકેલવામાં મદદ કરે છે / કુટુંબની ખાતરી ખાતરી આપે છે")</f>
        <v>જૂના કાર્યો પૂર્ણ કરો / મહત્વપૂર્ણ નિર્ણયો લો / મીઠી વાણી પડકારોને ઉકેલવામાં મદદ કરે છે / કુટુંબની ખાતરી ખાતરી આપે છે</v>
      </c>
      <c r="AL339" s="5" t="str">
        <f ca="1">IFERROR(__xludf.DUMMYFUNCTION("IF(Z339 = """", """", GOOGLETRANSLATE(Z339, ""en"", ""gu""))"),"")</f>
        <v/>
      </c>
      <c r="AM339" s="5" t="str">
        <f ca="1">IFERROR(__xludf.DUMMYFUNCTION("IF(AA339 = """", """", GOOGLETRANSLATE(AA339, ""en"", ""gu""))"),"")</f>
        <v/>
      </c>
      <c r="AN339" s="5" t="str">
        <f ca="1">IFERROR(__xludf.DUMMYFUNCTION("IF(AB339 = """", """", GOOGLETRANSLATE(AB339, ""en"", ""gu""))"),"")</f>
        <v/>
      </c>
      <c r="AO339" s="5" t="str">
        <f ca="1">IFERROR(__xludf.DUMMYFUNCTION("IF(Y339 = """", """", GOOGLETRANSLATE(Y339, ""en"", ""bn""))"),"পুরানো কাজগুলি সম্পূর্ণ করুন / গুরুত্বপূর্ণ সিদ্ধান্ত নিন / মিষ্টি বক্তৃতা চ্যালেঞ্জগুলি সমাধান করতে সহায়তা করে / পারিবারিক সমর্থন নিশ্চিত")</f>
        <v>পুরানো কাজগুলি সম্পূর্ণ করুন / গুরুত্বপূর্ণ সিদ্ধান্ত নিন / মিষ্টি বক্তৃতা চ্যালেঞ্জগুলি সমাধান করতে সহায়তা করে / পারিবারিক সমর্থন নিশ্চিত</v>
      </c>
      <c r="AP339" s="5" t="str">
        <f ca="1">IFERROR(__xludf.DUMMYFUNCTION("IF(Z339 = """", """", GOOGLETRANSLATE(Z339, ""en"", ""bn""))"),"")</f>
        <v/>
      </c>
      <c r="AQ339" s="5" t="str">
        <f ca="1">IFERROR(__xludf.DUMMYFUNCTION("IF(AA339 = """", """", GOOGLETRANSLATE(AA339, ""en"", ""bn""))"),"")</f>
        <v/>
      </c>
      <c r="AR339" s="5" t="str">
        <f ca="1">IFERROR(__xludf.DUMMYFUNCTION("IF(AB339 = """", """", GOOGLETRANSLATE(AB339, ""en"", ""bn""))"),"")</f>
        <v/>
      </c>
      <c r="AU339" s="5" t="str">
        <f ca="1">IFERROR(__xludf.DUMMYFUNCTION("IF(Y339 = """", """", GOOGLETRANSLATE(Y339, ""en"", ""te""))"),"పాత పనులను పూర్తి చేయడం / ముఖ్యమైన నిర్ణయాలు తీసుకోవడం / మధురమైన ప్రసంగం సవాళ్లను పరిష్కరించడంలో సహాయపడుతుంది / కుటుంబ మద్దతు హామీ")</f>
        <v>పాత పనులను పూర్తి చేయడం / ముఖ్యమైన నిర్ణయాలు తీసుకోవడం / మధురమైన ప్రసంగం సవాళ్లను పరిష్కరించడంలో సహాయపడుతుంది / కుటుంబ మద్దతు హామీ</v>
      </c>
      <c r="AV339" s="5" t="str">
        <f ca="1">IFERROR(__xludf.DUMMYFUNCTION("IF(Z339 = """", """", GOOGLETRANSLATE(Z339, ""en"", ""te""))"),"")</f>
        <v/>
      </c>
      <c r="AW339" s="5" t="str">
        <f ca="1">IFERROR(__xludf.DUMMYFUNCTION("IF(AA339 = """", """", GOOGLETRANSLATE(AA339, ""en"", ""te""))"),"")</f>
        <v/>
      </c>
      <c r="AX339" s="5" t="str">
        <f ca="1">IFERROR(__xludf.DUMMYFUNCTION("IF(AB339 = """", """", GOOGLETRANSLATE(AB339, ""en"", ""te""))"),"")</f>
        <v/>
      </c>
    </row>
    <row r="340" spans="1:50" x14ac:dyDescent="0.25">
      <c r="A340" s="1">
        <v>355</v>
      </c>
      <c r="B340" s="1" t="s">
        <v>56</v>
      </c>
      <c r="C340" s="2">
        <v>45849</v>
      </c>
      <c r="D340" s="2">
        <v>45849</v>
      </c>
      <c r="E340" s="1">
        <v>7</v>
      </c>
      <c r="F340" s="1">
        <v>1</v>
      </c>
      <c r="G340" s="3" t="s">
        <v>932</v>
      </c>
      <c r="H340" s="4">
        <v>9.3287037037037036E-3</v>
      </c>
      <c r="I340" s="4">
        <v>3.2638888888888891E-3</v>
      </c>
      <c r="J340" s="4">
        <v>3.5763888888888889E-3</v>
      </c>
      <c r="K340" s="1"/>
      <c r="L340" s="1" t="s">
        <v>113</v>
      </c>
      <c r="M340" s="1"/>
      <c r="N340" s="1" t="s">
        <v>61</v>
      </c>
      <c r="O340" s="1" t="s">
        <v>61</v>
      </c>
      <c r="P340" s="1" t="s">
        <v>61</v>
      </c>
      <c r="Q340" s="1" t="s">
        <v>61</v>
      </c>
      <c r="R340" s="1" t="s">
        <v>91</v>
      </c>
      <c r="S340" s="1" t="s">
        <v>61</v>
      </c>
      <c r="T340" s="1" t="s">
        <v>61</v>
      </c>
      <c r="U340" s="1" t="s">
        <v>61</v>
      </c>
      <c r="V340" s="1" t="s">
        <v>61</v>
      </c>
      <c r="W340" s="1" t="s">
        <v>61</v>
      </c>
      <c r="X340" s="1" t="s">
        <v>91</v>
      </c>
      <c r="Y340" s="1" t="s">
        <v>938</v>
      </c>
      <c r="Z340" s="1"/>
      <c r="AA340" s="1"/>
      <c r="AB340" s="1"/>
      <c r="AC340" s="5" t="str">
        <f ca="1">IFERROR(__xludf.DUMMYFUNCTION("IF(Y340 = """", """", GOOGLETRANSLATE(Y340, ""en"", ""hi""))
"),"तनाव का अनुभव / बुद्धि और योजना का प्रयोग कर तनाव पर काबू पा सकते हैं / यात्रा या सामाजिक कार्यक्रमों की योजना बना सकते हैं / तैयारी और खर्च अपेक्षित")</f>
        <v>तनाव का अनुभव / बुद्धि और योजना का प्रयोग कर तनाव पर काबू पा सकते हैं / यात्रा या सामाजिक कार्यक्रमों की योजना बना सकते हैं / तैयारी और खर्च अपेक्षित</v>
      </c>
      <c r="AD340" s="5" t="str">
        <f ca="1">IFERROR(__xludf.DUMMYFUNCTION("IF(Z340 = """", """", GOOGLETRANSLATE(Z340, ""en"", ""hi""))"),"")</f>
        <v/>
      </c>
      <c r="AE340" s="5" t="str">
        <f ca="1">IFERROR(__xludf.DUMMYFUNCTION("IF(AA340 = """", """", GOOGLETRANSLATE(AA340, ""en"", ""hi""))"),"")</f>
        <v/>
      </c>
      <c r="AF340" s="5" t="str">
        <f ca="1">IFERROR(__xludf.DUMMYFUNCTION("IF(AB340 = """", """", GOOGLETRANSLATE(AB340, ""en"", ""hi""))"),"")</f>
        <v/>
      </c>
      <c r="AG340" s="5" t="str">
        <f ca="1">IFERROR(__xludf.DUMMYFUNCTION("IF(Y340 = """", """", GOOGLETRANSLATE(Y340, ""en"", ""mr""))"),"तणाव अनुभवा / हुशारी वापरा आणि त्यावर मात करण्यासाठी नियोजन करा / प्रवास किंवा सामाजिक कार्यक्रमांची योजना / तयारी आणि खर्च अपेक्षित")</f>
        <v>तणाव अनुभवा / हुशारी वापरा आणि त्यावर मात करण्यासाठी नियोजन करा / प्रवास किंवा सामाजिक कार्यक्रमांची योजना / तयारी आणि खर्च अपेक्षित</v>
      </c>
      <c r="AH340" s="5" t="str">
        <f ca="1">IFERROR(__xludf.DUMMYFUNCTION("IF(Z340 = """", """", GOOGLETRANSLATE(Z340, ""en"", ""mr""))"),"")</f>
        <v/>
      </c>
      <c r="AI340" s="5" t="str">
        <f ca="1">IFERROR(__xludf.DUMMYFUNCTION("IF(AA340 = """", """", GOOGLETRANSLATE(AA340, ""en"", ""mr""))"),"")</f>
        <v/>
      </c>
      <c r="AJ340" s="5" t="str">
        <f ca="1">IFERROR(__xludf.DUMMYFUNCTION("IF(AB340 = """", """", GOOGLETRANSLATE(AB340, ""en"", ""mr""))"),"")</f>
        <v/>
      </c>
      <c r="AK340" s="5" t="str">
        <f ca="1">IFERROR(__xludf.DUMMYFUNCTION("IF(Y340 = """", """", GOOGLETRANSLATE(Y340, ""en"", ""gu""))"),"તણાવ અનુભવો / બુદ્ધિમત્તાનો ઉપયોગ કરો અને તેને દૂર કરવા માટે આયોજન કરો / મુસાફરી અથવા સામાજિક કાર્યક્રમોની યોજના બનાવી શકો છો / તૈયારી અને ખર્ચની અપેક્ષા")</f>
        <v>તણાવ અનુભવો / બુદ્ધિમત્તાનો ઉપયોગ કરો અને તેને દૂર કરવા માટે આયોજન કરો / મુસાફરી અથવા સામાજિક કાર્યક્રમોની યોજના બનાવી શકો છો / તૈયારી અને ખર્ચની અપેક્ષા</v>
      </c>
      <c r="AL340" s="5" t="str">
        <f ca="1">IFERROR(__xludf.DUMMYFUNCTION("IF(Z340 = """", """", GOOGLETRANSLATE(Z340, ""en"", ""gu""))"),"")</f>
        <v/>
      </c>
      <c r="AM340" s="5" t="str">
        <f ca="1">IFERROR(__xludf.DUMMYFUNCTION("IF(AA340 = """", """", GOOGLETRANSLATE(AA340, ""en"", ""gu""))"),"")</f>
        <v/>
      </c>
      <c r="AN340" s="5" t="str">
        <f ca="1">IFERROR(__xludf.DUMMYFUNCTION("IF(AB340 = """", """", GOOGLETRANSLATE(AB340, ""en"", ""gu""))"),"")</f>
        <v/>
      </c>
      <c r="AO340" s="5" t="str">
        <f ca="1">IFERROR(__xludf.DUMMYFUNCTION("IF(Y340 = """", """", GOOGLETRANSLATE(Y340, ""en"", ""bn""))"),"মানসিক চাপ অনুভব করুন / কাটিয়ে উঠতে বুদ্ধিমত্তা এবং পরিকল্পনা ব্যবহার করুন / ভ্রমণ বা সামাজিক অনুষ্ঠানের পরিকল্পনা করতে পারেন / প্রস্তুতি এবং ব্যয় প্রত্যাশিত")</f>
        <v>মানসিক চাপ অনুভব করুন / কাটিয়ে উঠতে বুদ্ধিমত্তা এবং পরিকল্পনা ব্যবহার করুন / ভ্রমণ বা সামাজিক অনুষ্ঠানের পরিকল্পনা করতে পারেন / প্রস্তুতি এবং ব্যয় প্রত্যাশিত</v>
      </c>
      <c r="AP340" s="5" t="str">
        <f ca="1">IFERROR(__xludf.DUMMYFUNCTION("IF(Z340 = """", """", GOOGLETRANSLATE(Z340, ""en"", ""bn""))"),"")</f>
        <v/>
      </c>
      <c r="AQ340" s="5" t="str">
        <f ca="1">IFERROR(__xludf.DUMMYFUNCTION("IF(AA340 = """", """", GOOGLETRANSLATE(AA340, ""en"", ""bn""))"),"")</f>
        <v/>
      </c>
      <c r="AR340" s="5" t="str">
        <f ca="1">IFERROR(__xludf.DUMMYFUNCTION("IF(AB340 = """", """", GOOGLETRANSLATE(AB340, ""en"", ""bn""))"),"")</f>
        <v/>
      </c>
      <c r="AU340" s="5" t="str">
        <f ca="1">IFERROR(__xludf.DUMMYFUNCTION("IF(Y340 = """", """", GOOGLETRANSLATE(Y340, ""en"", ""te""))"),"ఒత్తిడిని అనుభవించండి / అధిగమించడానికి తెలివితేటలు మరియు ప్రణాళికను ఉపయోగించండి / ప్రయాణం లేదా సామాజిక ఈవెంట్‌లను ప్లాన్ చేయవచ్చు / సిద్ధం మరియు ఖర్చు అంచనా")</f>
        <v>ఒత్తిడిని అనుభవించండి / అధిగమించడానికి తెలివితేటలు మరియు ప్రణాళికను ఉపయోగించండి / ప్రయాణం లేదా సామాజిక ఈవెంట్‌లను ప్లాన్ చేయవచ్చు / సిద్ధం మరియు ఖర్చు అంచనా</v>
      </c>
      <c r="AV340" s="5" t="str">
        <f ca="1">IFERROR(__xludf.DUMMYFUNCTION("IF(Z340 = """", """", GOOGLETRANSLATE(Z340, ""en"", ""te""))"),"")</f>
        <v/>
      </c>
      <c r="AW340" s="5" t="str">
        <f ca="1">IFERROR(__xludf.DUMMYFUNCTION("IF(AA340 = """", """", GOOGLETRANSLATE(AA340, ""en"", ""te""))"),"")</f>
        <v/>
      </c>
      <c r="AX340" s="5" t="str">
        <f ca="1">IFERROR(__xludf.DUMMYFUNCTION("IF(AB340 = """", """", GOOGLETRANSLATE(AB340, ""en"", ""te""))"),"")</f>
        <v/>
      </c>
    </row>
    <row r="341" spans="1:50" x14ac:dyDescent="0.25">
      <c r="A341" s="1">
        <v>356</v>
      </c>
      <c r="B341" s="1" t="s">
        <v>56</v>
      </c>
      <c r="C341" s="2">
        <v>45849</v>
      </c>
      <c r="D341" s="2">
        <v>45849</v>
      </c>
      <c r="E341" s="1">
        <v>8</v>
      </c>
      <c r="F341" s="1">
        <v>1</v>
      </c>
      <c r="G341" s="3" t="s">
        <v>932</v>
      </c>
      <c r="H341" s="4">
        <v>9.3287037037037036E-3</v>
      </c>
      <c r="I341" s="4">
        <v>3.5763888888888889E-3</v>
      </c>
      <c r="J341" s="4">
        <v>4.0277777777777777E-3</v>
      </c>
      <c r="K341" s="1"/>
      <c r="L341" s="1" t="s">
        <v>64</v>
      </c>
      <c r="M341" s="1"/>
      <c r="N341" s="1" t="s">
        <v>61</v>
      </c>
      <c r="O341" s="1" t="s">
        <v>91</v>
      </c>
      <c r="P341" s="1" t="s">
        <v>61</v>
      </c>
      <c r="Q341" s="1" t="s">
        <v>61</v>
      </c>
      <c r="R341" s="1" t="s">
        <v>61</v>
      </c>
      <c r="S341" s="1" t="s">
        <v>61</v>
      </c>
      <c r="T341" s="1" t="s">
        <v>61</v>
      </c>
      <c r="U341" s="1" t="s">
        <v>61</v>
      </c>
      <c r="V341" s="1" t="s">
        <v>91</v>
      </c>
      <c r="W341" s="1" t="s">
        <v>61</v>
      </c>
      <c r="X341" s="1" t="s">
        <v>61</v>
      </c>
      <c r="Y341" s="1" t="s">
        <v>939</v>
      </c>
      <c r="Z341" s="1"/>
      <c r="AA341" s="1"/>
      <c r="AB341" s="1"/>
      <c r="AC341" s="5" t="str">
        <f ca="1">IFERROR(__xludf.DUMMYFUNCTION("IF(Y341 = """", """", GOOGLETRANSLATE(Y341, ""en"", ""hi""))
"),"बेतरतीब कार्यों से बचें / योजना बनाकर चलें / आलस्य से बचें / अनुशासित रहें तो दिन अच्छा रहेगा")</f>
        <v>बेतरतीब कार्यों से बचें / योजना बनाकर चलें / आलस्य से बचें / अनुशासित रहें तो दिन अच्छा रहेगा</v>
      </c>
      <c r="AD341" s="5" t="str">
        <f ca="1">IFERROR(__xludf.DUMMYFUNCTION("IF(Z341 = """", """", GOOGLETRANSLATE(Z341, ""en"", ""hi""))"),"")</f>
        <v/>
      </c>
      <c r="AE341" s="5" t="str">
        <f ca="1">IFERROR(__xludf.DUMMYFUNCTION("IF(AA341 = """", """", GOOGLETRANSLATE(AA341, ""en"", ""hi""))"),"")</f>
        <v/>
      </c>
      <c r="AF341" s="5" t="str">
        <f ca="1">IFERROR(__xludf.DUMMYFUNCTION("IF(AB341 = """", """", GOOGLETRANSLATE(AB341, ""en"", ""hi""))"),"")</f>
        <v/>
      </c>
      <c r="AG341" s="5" t="str">
        <f ca="1">IFERROR(__xludf.DUMMYFUNCTION("IF(Y341 = """", """", GOOGLETRANSLATE(Y341, ""en"", ""mr""))"),"यादृच्छिक कृती टाळा / नियोजनाला चिकटून राहा / आळशीपणा टाळा / शिस्तबद्ध असल्यास चांगला दिवस")</f>
        <v>यादृच्छिक कृती टाळा / नियोजनाला चिकटून राहा / आळशीपणा टाळा / शिस्तबद्ध असल्यास चांगला दिवस</v>
      </c>
      <c r="AH341" s="5" t="str">
        <f ca="1">IFERROR(__xludf.DUMMYFUNCTION("IF(Z341 = """", """", GOOGLETRANSLATE(Z341, ""en"", ""mr""))"),"")</f>
        <v/>
      </c>
      <c r="AI341" s="5" t="str">
        <f ca="1">IFERROR(__xludf.DUMMYFUNCTION("IF(AA341 = """", """", GOOGLETRANSLATE(AA341, ""en"", ""mr""))"),"")</f>
        <v/>
      </c>
      <c r="AJ341" s="5" t="str">
        <f ca="1">IFERROR(__xludf.DUMMYFUNCTION("IF(AB341 = """", """", GOOGLETRANSLATE(AB341, ""en"", ""mr""))"),"")</f>
        <v/>
      </c>
      <c r="AK341" s="5" t="str">
        <f ca="1">IFERROR(__xludf.DUMMYFUNCTION("IF(Y341 = """", """", GOOGLETRANSLATE(Y341, ""en"", ""gu""))"),"અવ્યવસ્થિત ક્રિયાઓ ટાળો / આયોજનને વળગી રહો / આળસ ટાળો / જો શિસ્તબદ્ધ હોય તો સારો દિવસ")</f>
        <v>અવ્યવસ્થિત ક્રિયાઓ ટાળો / આયોજનને વળગી રહો / આળસ ટાળો / જો શિસ્તબદ્ધ હોય તો સારો દિવસ</v>
      </c>
      <c r="AL341" s="5" t="str">
        <f ca="1">IFERROR(__xludf.DUMMYFUNCTION("IF(Z341 = """", """", GOOGLETRANSLATE(Z341, ""en"", ""gu""))"),"")</f>
        <v/>
      </c>
      <c r="AM341" s="5" t="str">
        <f ca="1">IFERROR(__xludf.DUMMYFUNCTION("IF(AA341 = """", """", GOOGLETRANSLATE(AA341, ""en"", ""gu""))"),"")</f>
        <v/>
      </c>
      <c r="AN341" s="5" t="str">
        <f ca="1">IFERROR(__xludf.DUMMYFUNCTION("IF(AB341 = """", """", GOOGLETRANSLATE(AB341, ""en"", ""gu""))"),"")</f>
        <v/>
      </c>
      <c r="AO341" s="5" t="str">
        <f ca="1">IFERROR(__xludf.DUMMYFUNCTION("IF(Y341 = """", """", GOOGLETRANSLATE(Y341, ""en"", ""bn""))"),"এলোমেলো কাজগুলি এড়িয়ে চলুন / পরিকল্পনায় লেগে থাকুন / অলসতা এড়িয়ে চলুন / সুশৃঙ্খল থাকলে শুভ দিন")</f>
        <v>এলোমেলো কাজগুলি এড়িয়ে চলুন / পরিকল্পনায় লেগে থাকুন / অলসতা এড়িয়ে চলুন / সুশৃঙ্খল থাকলে শুভ দিন</v>
      </c>
      <c r="AP341" s="5" t="str">
        <f ca="1">IFERROR(__xludf.DUMMYFUNCTION("IF(Z341 = """", """", GOOGLETRANSLATE(Z341, ""en"", ""bn""))"),"")</f>
        <v/>
      </c>
      <c r="AQ341" s="5" t="str">
        <f ca="1">IFERROR(__xludf.DUMMYFUNCTION("IF(AA341 = """", """", GOOGLETRANSLATE(AA341, ""en"", ""bn""))"),"")</f>
        <v/>
      </c>
      <c r="AR341" s="5" t="str">
        <f ca="1">IFERROR(__xludf.DUMMYFUNCTION("IF(AB341 = """", """", GOOGLETRANSLATE(AB341, ""en"", ""bn""))"),"")</f>
        <v/>
      </c>
      <c r="AU341" s="5" t="str">
        <f ca="1">IFERROR(__xludf.DUMMYFUNCTION("IF(Y341 = """", """", GOOGLETRANSLATE(Y341, ""en"", ""te""))"),"యాదృచ్ఛిక చర్యలను నివారించండి / ప్రణాళికకు కట్టుబడి ఉండండి / సోమరితనం మానుకోండి / క్రమశిక్షణతో ఉంటే మంచి రోజు")</f>
        <v>యాదృచ్ఛిక చర్యలను నివారించండి / ప్రణాళికకు కట్టుబడి ఉండండి / సోమరితనం మానుకోండి / క్రమశిక్షణతో ఉంటే మంచి రోజు</v>
      </c>
      <c r="AV341" s="5" t="str">
        <f ca="1">IFERROR(__xludf.DUMMYFUNCTION("IF(Z341 = """", """", GOOGLETRANSLATE(Z341, ""en"", ""te""))"),"")</f>
        <v/>
      </c>
      <c r="AW341" s="5" t="str">
        <f ca="1">IFERROR(__xludf.DUMMYFUNCTION("IF(AA341 = """", """", GOOGLETRANSLATE(AA341, ""en"", ""te""))"),"")</f>
        <v/>
      </c>
      <c r="AX341" s="5" t="str">
        <f ca="1">IFERROR(__xludf.DUMMYFUNCTION("IF(AB341 = """", """", GOOGLETRANSLATE(AB341, ""en"", ""te""))"),"")</f>
        <v/>
      </c>
    </row>
    <row r="342" spans="1:50" x14ac:dyDescent="0.25">
      <c r="A342" s="1">
        <v>357</v>
      </c>
      <c r="B342" s="1" t="s">
        <v>56</v>
      </c>
      <c r="C342" s="2">
        <v>45849</v>
      </c>
      <c r="D342" s="2">
        <v>45849</v>
      </c>
      <c r="E342" s="1">
        <v>9</v>
      </c>
      <c r="F342" s="1">
        <v>1</v>
      </c>
      <c r="G342" s="3" t="s">
        <v>932</v>
      </c>
      <c r="H342" s="4">
        <v>9.3287037037037036E-3</v>
      </c>
      <c r="I342" s="4">
        <v>4.0277777777777777E-3</v>
      </c>
      <c r="J342" s="4">
        <v>4.2824074074074075E-3</v>
      </c>
      <c r="K342" s="1"/>
      <c r="L342" s="1" t="s">
        <v>68</v>
      </c>
      <c r="M342" s="1"/>
      <c r="N342" s="1" t="s">
        <v>61</v>
      </c>
      <c r="O342" s="1" t="s">
        <v>61</v>
      </c>
      <c r="P342" s="1" t="s">
        <v>91</v>
      </c>
      <c r="Q342" s="1" t="s">
        <v>61</v>
      </c>
      <c r="R342" s="1" t="s">
        <v>61</v>
      </c>
      <c r="S342" s="1" t="s">
        <v>61</v>
      </c>
      <c r="T342" s="1" t="s">
        <v>61</v>
      </c>
      <c r="U342" s="1" t="s">
        <v>61</v>
      </c>
      <c r="V342" s="1" t="s">
        <v>91</v>
      </c>
      <c r="W342" s="1" t="s">
        <v>61</v>
      </c>
      <c r="X342" s="1" t="s">
        <v>61</v>
      </c>
      <c r="Y342" s="1" t="s">
        <v>940</v>
      </c>
      <c r="Z342" s="1"/>
      <c r="AA342" s="1"/>
      <c r="AB342" s="1"/>
      <c r="AC342" s="5" t="str">
        <f ca="1">IFERROR(__xludf.DUMMYFUNCTION("IF(Y342 = """", """", GOOGLETRANSLATE(Y342, ""en"", ""hi""))
"),"अधिक सामाजिक और पारिवारिक जिम्मेदारियां / भाग्यशाली दिन / शेयर बाजार की गणना सफल हो सकती है / वित्तीय लाभ संभव")</f>
        <v>अधिक सामाजिक और पारिवारिक जिम्मेदारियां / भाग्यशाली दिन / शेयर बाजार की गणना सफल हो सकती है / वित्तीय लाभ संभव</v>
      </c>
      <c r="AD342" s="5" t="str">
        <f ca="1">IFERROR(__xludf.DUMMYFUNCTION("IF(Z342 = """", """", GOOGLETRANSLATE(Z342, ""en"", ""hi""))"),"")</f>
        <v/>
      </c>
      <c r="AE342" s="5" t="str">
        <f ca="1">IFERROR(__xludf.DUMMYFUNCTION("IF(AA342 = """", """", GOOGLETRANSLATE(AA342, ""en"", ""hi""))"),"")</f>
        <v/>
      </c>
      <c r="AF342" s="5" t="str">
        <f ca="1">IFERROR(__xludf.DUMMYFUNCTION("IF(AB342 = """", """", GOOGLETRANSLATE(AB342, ""en"", ""hi""))"),"")</f>
        <v/>
      </c>
      <c r="AG342" s="5" t="str">
        <f ca="1">IFERROR(__xludf.DUMMYFUNCTION("IF(Y342 = """", """", GOOGLETRANSLATE(Y342, ""en"", ""mr""))"),"अधिक सामाजिक आणि कौटुंबिक जबाबदाऱ्या / भाग्यवान दिवस / शेअर बाजारातील गणिते यशस्वी होऊ शकतात / आर्थिक लाभ शक्य")</f>
        <v>अधिक सामाजिक आणि कौटुंबिक जबाबदाऱ्या / भाग्यवान दिवस / शेअर बाजारातील गणिते यशस्वी होऊ शकतात / आर्थिक लाभ शक्य</v>
      </c>
      <c r="AH342" s="5" t="str">
        <f ca="1">IFERROR(__xludf.DUMMYFUNCTION("IF(Z342 = """", """", GOOGLETRANSLATE(Z342, ""en"", ""mr""))"),"")</f>
        <v/>
      </c>
      <c r="AI342" s="5" t="str">
        <f ca="1">IFERROR(__xludf.DUMMYFUNCTION("IF(AA342 = """", """", GOOGLETRANSLATE(AA342, ""en"", ""mr""))"),"")</f>
        <v/>
      </c>
      <c r="AJ342" s="5" t="str">
        <f ca="1">IFERROR(__xludf.DUMMYFUNCTION("IF(AB342 = """", """", GOOGLETRANSLATE(AB342, ""en"", ""mr""))"),"")</f>
        <v/>
      </c>
      <c r="AK342" s="5" t="str">
        <f ca="1">IFERROR(__xludf.DUMMYFUNCTION("IF(Y342 = """", """", GOOGLETRANSLATE(Y342, ""en"", ""gu""))"),"વધુ સામાજિક અને પારિવારિક જવાબદારીઓ / નસીબદાર દિવસ / શેરબજારની ગણતરીઓ સફળ થઈ શકે છે / નાણાકીય લાભ શક્ય")</f>
        <v>વધુ સામાજિક અને પારિવારિક જવાબદારીઓ / નસીબદાર દિવસ / શેરબજારની ગણતરીઓ સફળ થઈ શકે છે / નાણાકીય લાભ શક્ય</v>
      </c>
      <c r="AL342" s="5" t="str">
        <f ca="1">IFERROR(__xludf.DUMMYFUNCTION("IF(Z342 = """", """", GOOGLETRANSLATE(Z342, ""en"", ""gu""))"),"")</f>
        <v/>
      </c>
      <c r="AM342" s="5" t="str">
        <f ca="1">IFERROR(__xludf.DUMMYFUNCTION("IF(AA342 = """", """", GOOGLETRANSLATE(AA342, ""en"", ""gu""))"),"")</f>
        <v/>
      </c>
      <c r="AN342" s="5" t="str">
        <f ca="1">IFERROR(__xludf.DUMMYFUNCTION("IF(AB342 = """", """", GOOGLETRANSLATE(AB342, ""en"", ""gu""))"),"")</f>
        <v/>
      </c>
      <c r="AO342" s="5" t="str">
        <f ca="1">IFERROR(__xludf.DUMMYFUNCTION("IF(Y342 = """", """", GOOGLETRANSLATE(Y342, ""en"", ""bn""))"),"আরও সামাজিক এবং পারিবারিক দায়িত্ব / ভাগ্যবান দিন / শেয়ার বাজারের হিসাব সফল হতে পারে / আর্থিক লাভ সম্ভব")</f>
        <v>আরও সামাজিক এবং পারিবারিক দায়িত্ব / ভাগ্যবান দিন / শেয়ার বাজারের হিসাব সফল হতে পারে / আর্থিক লাভ সম্ভব</v>
      </c>
      <c r="AP342" s="5" t="str">
        <f ca="1">IFERROR(__xludf.DUMMYFUNCTION("IF(Z342 = """", """", GOOGLETRANSLATE(Z342, ""en"", ""bn""))"),"")</f>
        <v/>
      </c>
      <c r="AQ342" s="5" t="str">
        <f ca="1">IFERROR(__xludf.DUMMYFUNCTION("IF(AA342 = """", """", GOOGLETRANSLATE(AA342, ""en"", ""bn""))"),"")</f>
        <v/>
      </c>
      <c r="AR342" s="5" t="str">
        <f ca="1">IFERROR(__xludf.DUMMYFUNCTION("IF(AB342 = """", """", GOOGLETRANSLATE(AB342, ""en"", ""bn""))"),"")</f>
        <v/>
      </c>
      <c r="AU342" s="5" t="str">
        <f ca="1">IFERROR(__xludf.DUMMYFUNCTION("IF(Y342 = """", """", GOOGLETRANSLATE(Y342, ""en"", ""te""))"),"మరిన్ని సామాజిక మరియు కుటుంబ బాధ్యతలు / లక్కీ డే / స్టాక్ మార్కెట్ లెక్కలు విజయవంతం కావచ్చు / ఆర్థిక లాభం సాధ్యమవుతుంది")</f>
        <v>మరిన్ని సామాజిక మరియు కుటుంబ బాధ్యతలు / లక్కీ డే / స్టాక్ మార్కెట్ లెక్కలు విజయవంతం కావచ్చు / ఆర్థిక లాభం సాధ్యమవుతుంది</v>
      </c>
      <c r="AV342" s="5" t="str">
        <f ca="1">IFERROR(__xludf.DUMMYFUNCTION("IF(Z342 = """", """", GOOGLETRANSLATE(Z342, ""en"", ""te""))"),"")</f>
        <v/>
      </c>
      <c r="AW342" s="5" t="str">
        <f ca="1">IFERROR(__xludf.DUMMYFUNCTION("IF(AA342 = """", """", GOOGLETRANSLATE(AA342, ""en"", ""te""))"),"")</f>
        <v/>
      </c>
      <c r="AX342" s="5" t="str">
        <f ca="1">IFERROR(__xludf.DUMMYFUNCTION("IF(AB342 = """", """", GOOGLETRANSLATE(AB342, ""en"", ""te""))"),"")</f>
        <v/>
      </c>
    </row>
    <row r="343" spans="1:50" x14ac:dyDescent="0.25">
      <c r="A343" s="1">
        <v>358</v>
      </c>
      <c r="B343" s="1" t="s">
        <v>56</v>
      </c>
      <c r="C343" s="2">
        <v>45849</v>
      </c>
      <c r="D343" s="2">
        <v>45849</v>
      </c>
      <c r="E343" s="1">
        <v>10</v>
      </c>
      <c r="F343" s="1">
        <v>1</v>
      </c>
      <c r="G343" s="3" t="s">
        <v>932</v>
      </c>
      <c r="H343" s="4">
        <v>9.3287037037037036E-3</v>
      </c>
      <c r="I343" s="4">
        <v>4.2824074074074075E-3</v>
      </c>
      <c r="J343" s="4">
        <v>4.5949074074074078E-3</v>
      </c>
      <c r="K343" s="1"/>
      <c r="L343" s="1" t="s">
        <v>72</v>
      </c>
      <c r="M343" s="1"/>
      <c r="N343" s="1" t="s">
        <v>91</v>
      </c>
      <c r="O343" s="1" t="s">
        <v>61</v>
      </c>
      <c r="P343" s="1" t="s">
        <v>61</v>
      </c>
      <c r="Q343" s="1" t="s">
        <v>61</v>
      </c>
      <c r="R343" s="1" t="s">
        <v>61</v>
      </c>
      <c r="S343" s="1" t="s">
        <v>61</v>
      </c>
      <c r="T343" s="1" t="s">
        <v>61</v>
      </c>
      <c r="U343" s="1" t="s">
        <v>61</v>
      </c>
      <c r="V343" s="1" t="s">
        <v>91</v>
      </c>
      <c r="W343" s="1" t="s">
        <v>61</v>
      </c>
      <c r="X343" s="1" t="s">
        <v>61</v>
      </c>
      <c r="Y343" s="1" t="s">
        <v>941</v>
      </c>
      <c r="Z343" s="1"/>
      <c r="AA343" s="1"/>
      <c r="AB343" s="1"/>
      <c r="AC343" s="5" t="str">
        <f ca="1">IFERROR(__xludf.DUMMYFUNCTION("IF(Y343 = """", """", GOOGLETRANSLATE(Y343, ""en"", ""hi""))
"),"बहुत सकारात्मक दिन / सभी बकाया राशि निपटाएँ / महत्वपूर्ण निर्णय लें / परिवार का भरपूर सहयोग / कार्य गणनाओं से मेल खाते हैं")</f>
        <v>बहुत सकारात्मक दिन / सभी बकाया राशि निपटाएँ / महत्वपूर्ण निर्णय लें / परिवार का भरपूर सहयोग / कार्य गणनाओं से मेल खाते हैं</v>
      </c>
      <c r="AD343" s="5" t="str">
        <f ca="1">IFERROR(__xludf.DUMMYFUNCTION("IF(Z343 = """", """", GOOGLETRANSLATE(Z343, ""en"", ""hi""))"),"")</f>
        <v/>
      </c>
      <c r="AE343" s="5" t="str">
        <f ca="1">IFERROR(__xludf.DUMMYFUNCTION("IF(AA343 = """", """", GOOGLETRANSLATE(AA343, ""en"", ""hi""))"),"")</f>
        <v/>
      </c>
      <c r="AF343" s="5" t="str">
        <f ca="1">IFERROR(__xludf.DUMMYFUNCTION("IF(AB343 = """", """", GOOGLETRANSLATE(AB343, ""en"", ""hi""))"),"")</f>
        <v/>
      </c>
      <c r="AG343" s="5" t="str">
        <f ca="1">IFERROR(__xludf.DUMMYFUNCTION("IF(Y343 = """", """", GOOGLETRANSLATE(Y343, ""en"", ""mr""))"),"सुपर पॉझिटिव्ह दिवस / सर्व अनुशेष साफ करा / मुख्य निर्णय घ्या / उत्कृष्ट कौटुंबिक समर्थन / क्रिया जुळणी गणना")</f>
        <v>सुपर पॉझिटिव्ह दिवस / सर्व अनुशेष साफ करा / मुख्य निर्णय घ्या / उत्कृष्ट कौटुंबिक समर्थन / क्रिया जुळणी गणना</v>
      </c>
      <c r="AH343" s="5" t="str">
        <f ca="1">IFERROR(__xludf.DUMMYFUNCTION("IF(Z343 = """", """", GOOGLETRANSLATE(Z343, ""en"", ""mr""))"),"")</f>
        <v/>
      </c>
      <c r="AI343" s="5" t="str">
        <f ca="1">IFERROR(__xludf.DUMMYFUNCTION("IF(AA343 = """", """", GOOGLETRANSLATE(AA343, ""en"", ""mr""))"),"")</f>
        <v/>
      </c>
      <c r="AJ343" s="5" t="str">
        <f ca="1">IFERROR(__xludf.DUMMYFUNCTION("IF(AB343 = """", """", GOOGLETRANSLATE(AB343, ""en"", ""mr""))"),"")</f>
        <v/>
      </c>
      <c r="AK343" s="5" t="str">
        <f ca="1">IFERROR(__xludf.DUMMYFUNCTION("IF(Y343 = """", """", GOOGLETRANSLATE(Y343, ""en"", ""gu""))"),"સુપર પોઝિટિવ દિવસ / તમામ બેકલોગ સાફ કરો / મુખ્ય નિર્ણયો લો / મહાન કુટુંબ સમર્થન / ક્રિયાઓ ગણતરીઓ સાથે મેળ ખાય છે")</f>
        <v>સુપર પોઝિટિવ દિવસ / તમામ બેકલોગ સાફ કરો / મુખ્ય નિર્ણયો લો / મહાન કુટુંબ સમર્થન / ક્રિયાઓ ગણતરીઓ સાથે મેળ ખાય છે</v>
      </c>
      <c r="AL343" s="5" t="str">
        <f ca="1">IFERROR(__xludf.DUMMYFUNCTION("IF(Z343 = """", """", GOOGLETRANSLATE(Z343, ""en"", ""gu""))"),"")</f>
        <v/>
      </c>
      <c r="AM343" s="5" t="str">
        <f ca="1">IFERROR(__xludf.DUMMYFUNCTION("IF(AA343 = """", """", GOOGLETRANSLATE(AA343, ""en"", ""gu""))"),"")</f>
        <v/>
      </c>
      <c r="AN343" s="5" t="str">
        <f ca="1">IFERROR(__xludf.DUMMYFUNCTION("IF(AB343 = """", """", GOOGLETRANSLATE(AB343, ""en"", ""gu""))"),"")</f>
        <v/>
      </c>
      <c r="AO343" s="5" t="str">
        <f ca="1">IFERROR(__xludf.DUMMYFUNCTION("IF(Y343 = """", """", GOOGLETRANSLATE(Y343, ""en"", ""bn""))"),"সুপার ইতিবাচক দিন / সমস্ত ব্যাকলগ সাফ করুন / মূল সিদ্ধান্ত নিন / দুর্দান্ত পারিবারিক সমর্থন / ক্রিয়াকলাপ মিলে গণনা")</f>
        <v>সুপার ইতিবাচক দিন / সমস্ত ব্যাকলগ সাফ করুন / মূল সিদ্ধান্ত নিন / দুর্দান্ত পারিবারিক সমর্থন / ক্রিয়াকলাপ মিলে গণনা</v>
      </c>
      <c r="AP343" s="5" t="str">
        <f ca="1">IFERROR(__xludf.DUMMYFUNCTION("IF(Z343 = """", """", GOOGLETRANSLATE(Z343, ""en"", ""bn""))"),"")</f>
        <v/>
      </c>
      <c r="AQ343" s="5" t="str">
        <f ca="1">IFERROR(__xludf.DUMMYFUNCTION("IF(AA343 = """", """", GOOGLETRANSLATE(AA343, ""en"", ""bn""))"),"")</f>
        <v/>
      </c>
      <c r="AR343" s="5" t="str">
        <f ca="1">IFERROR(__xludf.DUMMYFUNCTION("IF(AB343 = """", """", GOOGLETRANSLATE(AB343, ""en"", ""bn""))"),"")</f>
        <v/>
      </c>
      <c r="AU343" s="5" t="str">
        <f ca="1">IFERROR(__xludf.DUMMYFUNCTION("IF(Y343 = """", """", GOOGLETRANSLATE(Y343, ""en"", ""te""))"),"సూపర్ పాజిటివ్ డే / అన్ని బ్యాక్‌లాగ్‌లను క్లియర్ చేయండి / కీలక నిర్ణయాలు తీసుకోండి / గొప్ప కుటుంబ మద్దతు / చర్యలు సరిపోలే లెక్కలు")</f>
        <v>సూపర్ పాజిటివ్ డే / అన్ని బ్యాక్‌లాగ్‌లను క్లియర్ చేయండి / కీలక నిర్ణయాలు తీసుకోండి / గొప్ప కుటుంబ మద్దతు / చర్యలు సరిపోలే లెక్కలు</v>
      </c>
      <c r="AV343" s="5" t="str">
        <f ca="1">IFERROR(__xludf.DUMMYFUNCTION("IF(Z343 = """", """", GOOGLETRANSLATE(Z343, ""en"", ""te""))"),"")</f>
        <v/>
      </c>
      <c r="AW343" s="5" t="str">
        <f ca="1">IFERROR(__xludf.DUMMYFUNCTION("IF(AA343 = """", """", GOOGLETRANSLATE(AA343, ""en"", ""te""))"),"")</f>
        <v/>
      </c>
      <c r="AX343" s="5" t="str">
        <f ca="1">IFERROR(__xludf.DUMMYFUNCTION("IF(AB343 = """", """", GOOGLETRANSLATE(AB343, ""en"", ""te""))"),"")</f>
        <v/>
      </c>
    </row>
    <row r="344" spans="1:50" x14ac:dyDescent="0.25">
      <c r="A344" s="1">
        <v>359</v>
      </c>
      <c r="B344" s="1" t="s">
        <v>56</v>
      </c>
      <c r="C344" s="2">
        <v>45849</v>
      </c>
      <c r="D344" s="2">
        <v>45849</v>
      </c>
      <c r="E344" s="1">
        <v>11</v>
      </c>
      <c r="F344" s="1">
        <v>1</v>
      </c>
      <c r="G344" s="3" t="s">
        <v>932</v>
      </c>
      <c r="H344" s="4">
        <v>9.3287037037037036E-3</v>
      </c>
      <c r="I344" s="4">
        <v>4.5949074074074078E-3</v>
      </c>
      <c r="J344" s="4">
        <v>4.9189814814814816E-3</v>
      </c>
      <c r="K344" s="1"/>
      <c r="L344" s="1" t="s">
        <v>76</v>
      </c>
      <c r="M344" s="1"/>
      <c r="N344" s="1" t="s">
        <v>61</v>
      </c>
      <c r="O344" s="1" t="s">
        <v>61</v>
      </c>
      <c r="P344" s="1" t="s">
        <v>61</v>
      </c>
      <c r="Q344" s="1" t="s">
        <v>61</v>
      </c>
      <c r="R344" s="1" t="s">
        <v>61</v>
      </c>
      <c r="S344" s="1" t="s">
        <v>61</v>
      </c>
      <c r="T344" s="1" t="s">
        <v>91</v>
      </c>
      <c r="U344" s="1" t="s">
        <v>61</v>
      </c>
      <c r="V344" s="1" t="s">
        <v>61</v>
      </c>
      <c r="W344" s="1" t="s">
        <v>61</v>
      </c>
      <c r="X344" s="1" t="s">
        <v>91</v>
      </c>
      <c r="Y344" s="1" t="s">
        <v>942</v>
      </c>
      <c r="Z344" s="1"/>
      <c r="AA344" s="1"/>
      <c r="AB344" s="1"/>
      <c r="AC344" s="5" t="str">
        <f ca="1">IFERROR(__xludf.DUMMYFUNCTION("IF(Y344 = """", """", GOOGLETRANSLATE(Y344, ""en"", ""hi""))
"),"विपरीत परिस्थितियां हावी / वित्तीय प्रबंधन आवश्यक / अनावश्यक खर्च से बचें / धन के मामले में सावधानी बरतें")</f>
        <v>विपरीत परिस्थितियां हावी / वित्तीय प्रबंधन आवश्यक / अनावश्यक खर्च से बचें / धन के मामले में सावधानी बरतें</v>
      </c>
      <c r="AD344" s="5" t="str">
        <f ca="1">IFERROR(__xludf.DUMMYFUNCTION("IF(Z344 = """", """", GOOGLETRANSLATE(Z344, ""en"", ""hi""))"),"")</f>
        <v/>
      </c>
      <c r="AE344" s="5" t="str">
        <f ca="1">IFERROR(__xludf.DUMMYFUNCTION("IF(AA344 = """", """", GOOGLETRANSLATE(AA344, ""en"", ""hi""))"),"")</f>
        <v/>
      </c>
      <c r="AF344" s="5" t="str">
        <f ca="1">IFERROR(__xludf.DUMMYFUNCTION("IF(AB344 = """", """", GOOGLETRANSLATE(AB344, ""en"", ""hi""))"),"")</f>
        <v/>
      </c>
      <c r="AG344" s="5" t="str">
        <f ca="1">IFERROR(__xludf.DUMMYFUNCTION("IF(Y344 = """", """", GOOGLETRANSLATE(Y344, ""en"", ""mr""))"),"प्रतिकूल परिस्थितीचे वर्चस्व / आर्थिक व्यवस्थापन आवश्यक / अनावश्यक खर्च टाळा / पैशाबाबत सावध रहा")</f>
        <v>प्रतिकूल परिस्थितीचे वर्चस्व / आर्थिक व्यवस्थापन आवश्यक / अनावश्यक खर्च टाळा / पैशाबाबत सावध रहा</v>
      </c>
      <c r="AH344" s="5" t="str">
        <f ca="1">IFERROR(__xludf.DUMMYFUNCTION("IF(Z344 = """", """", GOOGLETRANSLATE(Z344, ""en"", ""mr""))"),"")</f>
        <v/>
      </c>
      <c r="AI344" s="5" t="str">
        <f ca="1">IFERROR(__xludf.DUMMYFUNCTION("IF(AA344 = """", """", GOOGLETRANSLATE(AA344, ""en"", ""mr""))"),"")</f>
        <v/>
      </c>
      <c r="AJ344" s="5" t="str">
        <f ca="1">IFERROR(__xludf.DUMMYFUNCTION("IF(AB344 = """", """", GOOGLETRANSLATE(AB344, ""en"", ""mr""))"),"")</f>
        <v/>
      </c>
      <c r="AK344" s="5" t="str">
        <f ca="1">IFERROR(__xludf.DUMMYFUNCTION("IF(Y344 = """", """", GOOGLETRANSLATE(Y344, ""en"", ""gu""))"),"પ્રતિકૂળ પરિસ્થિતિઓ વર્ચસ્વ ધરાવે છે / નાણાકીય વ્યવસ્થાપનની જરૂર છે / બિનજરૂરી ખર્ચ ટાળો / પૈસા પ્રત્યે સાવચેત રહો")</f>
        <v>પ્રતિકૂળ પરિસ્થિતિઓ વર્ચસ્વ ધરાવે છે / નાણાકીય વ્યવસ્થાપનની જરૂર છે / બિનજરૂરી ખર્ચ ટાળો / પૈસા પ્રત્યે સાવચેત રહો</v>
      </c>
      <c r="AL344" s="5" t="str">
        <f ca="1">IFERROR(__xludf.DUMMYFUNCTION("IF(Z344 = """", """", GOOGLETRANSLATE(Z344, ""en"", ""gu""))"),"")</f>
        <v/>
      </c>
      <c r="AM344" s="5" t="str">
        <f ca="1">IFERROR(__xludf.DUMMYFUNCTION("IF(AA344 = """", """", GOOGLETRANSLATE(AA344, ""en"", ""gu""))"),"")</f>
        <v/>
      </c>
      <c r="AN344" s="5" t="str">
        <f ca="1">IFERROR(__xludf.DUMMYFUNCTION("IF(AB344 = """", """", GOOGLETRANSLATE(AB344, ""en"", ""gu""))"),"")</f>
        <v/>
      </c>
      <c r="AO344" s="5" t="str">
        <f ca="1">IFERROR(__xludf.DUMMYFUNCTION("IF(Y344 = """", """", GOOGLETRANSLATE(Y344, ""en"", ""bn""))"),"প্রতিকূল পরিস্থিতি প্রাধান্য পায় / আর্থিক ব্যবস্থাপনা প্রয়োজন / অপ্রয়োজনীয় ব্যয় এড়িয়ে চলুন / অর্থের ব্যাপারে সতর্ক থাকুন")</f>
        <v>প্রতিকূল পরিস্থিতি প্রাধান্য পায় / আর্থিক ব্যবস্থাপনা প্রয়োজন / অপ্রয়োজনীয় ব্যয় এড়িয়ে চলুন / অর্থের ব্যাপারে সতর্ক থাকুন</v>
      </c>
      <c r="AP344" s="5" t="str">
        <f ca="1">IFERROR(__xludf.DUMMYFUNCTION("IF(Z344 = """", """", GOOGLETRANSLATE(Z344, ""en"", ""bn""))"),"")</f>
        <v/>
      </c>
      <c r="AQ344" s="5" t="str">
        <f ca="1">IFERROR(__xludf.DUMMYFUNCTION("IF(AA344 = """", """", GOOGLETRANSLATE(AA344, ""en"", ""bn""))"),"")</f>
        <v/>
      </c>
      <c r="AR344" s="5" t="str">
        <f ca="1">IFERROR(__xludf.DUMMYFUNCTION("IF(AB344 = """", """", GOOGLETRANSLATE(AB344, ""en"", ""bn""))"),"")</f>
        <v/>
      </c>
      <c r="AU344" s="5" t="str">
        <f ca="1">IFERROR(__xludf.DUMMYFUNCTION("IF(Y344 = """", """", GOOGLETRANSLATE(Y344, ""en"", ""te""))"),"ప్రతికూల పరిస్థితులు ఆధిపత్యం / ఆర్థిక నిర్వహణ అవసరం / అనవసర ఖర్చులు మానుకోండి / డబ్బు విషయంలో జాగ్రత్తగా ఉండండి")</f>
        <v>ప్రతికూల పరిస్థితులు ఆధిపత్యం / ఆర్థిక నిర్వహణ అవసరం / అనవసర ఖర్చులు మానుకోండి / డబ్బు విషయంలో జాగ్రత్తగా ఉండండి</v>
      </c>
      <c r="AV344" s="5" t="str">
        <f ca="1">IFERROR(__xludf.DUMMYFUNCTION("IF(Z344 = """", """", GOOGLETRANSLATE(Z344, ""en"", ""te""))"),"")</f>
        <v/>
      </c>
      <c r="AW344" s="5" t="str">
        <f ca="1">IFERROR(__xludf.DUMMYFUNCTION("IF(AA344 = """", """", GOOGLETRANSLATE(AA344, ""en"", ""te""))"),"")</f>
        <v/>
      </c>
      <c r="AX344" s="5" t="str">
        <f ca="1">IFERROR(__xludf.DUMMYFUNCTION("IF(AB344 = """", """", GOOGLETRANSLATE(AB344, ""en"", ""te""))"),"")</f>
        <v/>
      </c>
    </row>
    <row r="345" spans="1:50" x14ac:dyDescent="0.25">
      <c r="A345" s="1">
        <v>360</v>
      </c>
      <c r="B345" s="1" t="s">
        <v>56</v>
      </c>
      <c r="C345" s="2">
        <v>45849</v>
      </c>
      <c r="D345" s="2">
        <v>45849</v>
      </c>
      <c r="E345" s="1">
        <v>12</v>
      </c>
      <c r="F345" s="1">
        <v>1</v>
      </c>
      <c r="G345" s="3" t="s">
        <v>932</v>
      </c>
      <c r="H345" s="4">
        <v>9.3287037037037036E-3</v>
      </c>
      <c r="I345" s="4">
        <v>4.9189814814814816E-3</v>
      </c>
      <c r="J345" s="4">
        <v>5.208333333333333E-3</v>
      </c>
      <c r="K345" s="1"/>
      <c r="L345" s="1" t="s">
        <v>79</v>
      </c>
      <c r="M345" s="1"/>
      <c r="N345" s="1" t="s">
        <v>61</v>
      </c>
      <c r="O345" s="1" t="s">
        <v>91</v>
      </c>
      <c r="P345" s="1" t="s">
        <v>61</v>
      </c>
      <c r="Q345" s="1" t="s">
        <v>61</v>
      </c>
      <c r="R345" s="1" t="s">
        <v>61</v>
      </c>
      <c r="S345" s="1" t="s">
        <v>61</v>
      </c>
      <c r="T345" s="1" t="s">
        <v>61</v>
      </c>
      <c r="U345" s="1" t="s">
        <v>61</v>
      </c>
      <c r="V345" s="1" t="s">
        <v>91</v>
      </c>
      <c r="W345" s="1" t="s">
        <v>61</v>
      </c>
      <c r="X345" s="1" t="s">
        <v>61</v>
      </c>
      <c r="Y345" s="1" t="s">
        <v>943</v>
      </c>
      <c r="Z345" s="1"/>
      <c r="AA345" s="1"/>
      <c r="AB345" s="1"/>
      <c r="AC345" s="5" t="str">
        <f ca="1">IFERROR(__xludf.DUMMYFUNCTION("IF(Y345 = """", """", GOOGLETRANSLATE(Y345, ""en"", ""hi""))
"),"बच्चों की चिंता कम होगी / जल्दबाजी से बचें / शांति से योजना बनाएं / धैर्य से अधिक लाभ")</f>
        <v>बच्चों की चिंता कम होगी / जल्दबाजी से बचें / शांति से योजना बनाएं / धैर्य से अधिक लाभ</v>
      </c>
      <c r="AD345" s="5" t="str">
        <f ca="1">IFERROR(__xludf.DUMMYFUNCTION("IF(Z345 = """", """", GOOGLETRANSLATE(Z345, ""en"", ""hi""))"),"")</f>
        <v/>
      </c>
      <c r="AE345" s="5" t="str">
        <f ca="1">IFERROR(__xludf.DUMMYFUNCTION("IF(AA345 = """", """", GOOGLETRANSLATE(AA345, ""en"", ""hi""))"),"")</f>
        <v/>
      </c>
      <c r="AF345" s="5" t="str">
        <f ca="1">IFERROR(__xludf.DUMMYFUNCTION("IF(AB345 = """", """", GOOGLETRANSLATE(AB345, ""en"", ""hi""))"),"")</f>
        <v/>
      </c>
      <c r="AG345" s="5" t="str">
        <f ca="1">IFERROR(__xludf.DUMMYFUNCTION("IF(Y345 = """", """", GOOGLETRANSLATE(Y345, ""en"", ""mr""))"),"मुलांच्या चिंता कमी होतात / घाई टाळा / शांतपणे योजना करा / संयमाने अधिक फायदे")</f>
        <v>मुलांच्या चिंता कमी होतात / घाई टाळा / शांतपणे योजना करा / संयमाने अधिक फायदे</v>
      </c>
      <c r="AH345" s="5" t="str">
        <f ca="1">IFERROR(__xludf.DUMMYFUNCTION("IF(Z345 = """", """", GOOGLETRANSLATE(Z345, ""en"", ""mr""))"),"")</f>
        <v/>
      </c>
      <c r="AI345" s="5" t="str">
        <f ca="1">IFERROR(__xludf.DUMMYFUNCTION("IF(AA345 = """", """", GOOGLETRANSLATE(AA345, ""en"", ""mr""))"),"")</f>
        <v/>
      </c>
      <c r="AJ345" s="5" t="str">
        <f ca="1">IFERROR(__xludf.DUMMYFUNCTION("IF(AB345 = """", """", GOOGLETRANSLATE(AB345, ""en"", ""mr""))"),"")</f>
        <v/>
      </c>
      <c r="AK345" s="5" t="str">
        <f ca="1">IFERROR(__xludf.DUMMYFUNCTION("IF(Y345 = """", """", GOOGLETRANSLATE(Y345, ""en"", ""gu""))"),"બાળકોની ચિંતાઓ ઓછી થાય છે / ઉતાવળ ટાળો / શાંતિથી આયોજન કરો / ધીરજ સાથે વધુ ફાયદા")</f>
        <v>બાળકોની ચિંતાઓ ઓછી થાય છે / ઉતાવળ ટાળો / શાંતિથી આયોજન કરો / ધીરજ સાથે વધુ ફાયદા</v>
      </c>
      <c r="AL345" s="5" t="str">
        <f ca="1">IFERROR(__xludf.DUMMYFUNCTION("IF(Z345 = """", """", GOOGLETRANSLATE(Z345, ""en"", ""gu""))"),"")</f>
        <v/>
      </c>
      <c r="AM345" s="5" t="str">
        <f ca="1">IFERROR(__xludf.DUMMYFUNCTION("IF(AA345 = """", """", GOOGLETRANSLATE(AA345, ""en"", ""gu""))"),"")</f>
        <v/>
      </c>
      <c r="AN345" s="5" t="str">
        <f ca="1">IFERROR(__xludf.DUMMYFUNCTION("IF(AB345 = """", """", GOOGLETRANSLATE(AB345, ""en"", ""gu""))"),"")</f>
        <v/>
      </c>
      <c r="AO345" s="5" t="str">
        <f ca="1">IFERROR(__xludf.DUMMYFUNCTION("IF(Y345 = """", """", GOOGLETRANSLATE(Y345, ""en"", ""bn""))"),"বাচ্চাদের দুশ্চিন্তা কমায় / তাড়াহুড়ো এড়িয়ে চলুন / শান্তভাবে পরিকল্পনা করুন / ধৈর্যের সাথে আরও সুবিধা")</f>
        <v>বাচ্চাদের দুশ্চিন্তা কমায় / তাড়াহুড়ো এড়িয়ে চলুন / শান্তভাবে পরিকল্পনা করুন / ধৈর্যের সাথে আরও সুবিধা</v>
      </c>
      <c r="AP345" s="5" t="str">
        <f ca="1">IFERROR(__xludf.DUMMYFUNCTION("IF(Z345 = """", """", GOOGLETRANSLATE(Z345, ""en"", ""bn""))"),"")</f>
        <v/>
      </c>
      <c r="AQ345" s="5" t="str">
        <f ca="1">IFERROR(__xludf.DUMMYFUNCTION("IF(AA345 = """", """", GOOGLETRANSLATE(AA345, ""en"", ""bn""))"),"")</f>
        <v/>
      </c>
      <c r="AR345" s="5" t="str">
        <f ca="1">IFERROR(__xludf.DUMMYFUNCTION("IF(AB345 = """", """", GOOGLETRANSLATE(AB345, ""en"", ""bn""))"),"")</f>
        <v/>
      </c>
      <c r="AU345" s="5" t="str">
        <f ca="1">IFERROR(__xludf.DUMMYFUNCTION("IF(Y345 = """", """", GOOGLETRANSLATE(Y345, ""en"", ""te""))"),"పిల్లల ఆందోళనలను తగ్గించడం / తొందరపాటు మానుకోండి / ప్రశాంతంగా ప్లాన్ చేయండి / ఓర్పుతో మరిన్ని ప్రయోజనాలు")</f>
        <v>పిల్లల ఆందోళనలను తగ్గించడం / తొందరపాటు మానుకోండి / ప్రశాంతంగా ప్లాన్ చేయండి / ఓర్పుతో మరిన్ని ప్రయోజనాలు</v>
      </c>
      <c r="AV345" s="5" t="str">
        <f ca="1">IFERROR(__xludf.DUMMYFUNCTION("IF(Z345 = """", """", GOOGLETRANSLATE(Z345, ""en"", ""te""))"),"")</f>
        <v/>
      </c>
      <c r="AW345" s="5" t="str">
        <f ca="1">IFERROR(__xludf.DUMMYFUNCTION("IF(AA345 = """", """", GOOGLETRANSLATE(AA345, ""en"", ""te""))"),"")</f>
        <v/>
      </c>
      <c r="AX345" s="5" t="str">
        <f ca="1">IFERROR(__xludf.DUMMYFUNCTION("IF(AB345 = """", """", GOOGLETRANSLATE(AB345, ""en"", ""te""))"),"")</f>
        <v/>
      </c>
    </row>
    <row r="346" spans="1:50" x14ac:dyDescent="0.25">
      <c r="A346" s="1">
        <v>361</v>
      </c>
      <c r="B346" s="1" t="s">
        <v>56</v>
      </c>
      <c r="C346" s="2">
        <v>45849</v>
      </c>
      <c r="D346" s="2">
        <v>45849</v>
      </c>
      <c r="E346" s="1">
        <v>13</v>
      </c>
      <c r="F346" s="1">
        <v>1</v>
      </c>
      <c r="G346" s="3" t="s">
        <v>932</v>
      </c>
      <c r="H346" s="4">
        <v>9.3287037037037036E-3</v>
      </c>
      <c r="I346" s="4">
        <v>5.208333333333333E-3</v>
      </c>
      <c r="J346" s="4">
        <v>5.5092592592592589E-3</v>
      </c>
      <c r="K346" s="1"/>
      <c r="L346" s="1" t="s">
        <v>81</v>
      </c>
      <c r="M346" s="1"/>
      <c r="N346" s="1" t="s">
        <v>61</v>
      </c>
      <c r="O346" s="1" t="s">
        <v>91</v>
      </c>
      <c r="P346" s="1" t="s">
        <v>61</v>
      </c>
      <c r="Q346" s="1" t="s">
        <v>61</v>
      </c>
      <c r="R346" s="1" t="s">
        <v>61</v>
      </c>
      <c r="S346" s="1" t="s">
        <v>61</v>
      </c>
      <c r="T346" s="1" t="s">
        <v>61</v>
      </c>
      <c r="U346" s="1" t="s">
        <v>61</v>
      </c>
      <c r="V346" s="1" t="s">
        <v>91</v>
      </c>
      <c r="W346" s="1" t="s">
        <v>61</v>
      </c>
      <c r="X346" s="1" t="s">
        <v>61</v>
      </c>
      <c r="Y346" s="1" t="s">
        <v>944</v>
      </c>
      <c r="Z346" s="1"/>
      <c r="AA346" s="1"/>
      <c r="AB346" s="1"/>
      <c r="AC346" s="5" t="str">
        <f ca="1">IFERROR(__xludf.DUMMYFUNCTION("IF(Y346 = """", """", GOOGLETRANSLATE(Y346, ""en"", ""hi""))
"),"संघर्ष में कमी / मित्रों और परिवार से सहयोग / विदेश से संबंधित कार्यों के लिए अनुकूल / भावनात्मक रूप से सतर्क रहें")</f>
        <v>संघर्ष में कमी / मित्रों और परिवार से सहयोग / विदेश से संबंधित कार्यों के लिए अनुकूल / भावनात्मक रूप से सतर्क रहें</v>
      </c>
      <c r="AD346" s="5" t="str">
        <f ca="1">IFERROR(__xludf.DUMMYFUNCTION("IF(Z346 = """", """", GOOGLETRANSLATE(Z346, ""en"", ""hi""))"),"")</f>
        <v/>
      </c>
      <c r="AE346" s="5" t="str">
        <f ca="1">IFERROR(__xludf.DUMMYFUNCTION("IF(AA346 = """", """", GOOGLETRANSLATE(AA346, ""en"", ""hi""))"),"")</f>
        <v/>
      </c>
      <c r="AF346" s="5" t="str">
        <f ca="1">IFERROR(__xludf.DUMMYFUNCTION("IF(AB346 = """", """", GOOGLETRANSLATE(AB346, ""en"", ""hi""))"),"")</f>
        <v/>
      </c>
      <c r="AG346" s="5" t="str">
        <f ca="1">IFERROR(__xludf.DUMMYFUNCTION("IF(Y346 = """", """", GOOGLETRANSLATE(Y346, ""en"", ""mr""))"),"कमी संघर्ष / मित्र आणि कुटुंबाकडून पाठिंबा / परदेशी-संबंधित कार्यांसाठी अनुकूल / भावनिकदृष्ट्या सावध रहा")</f>
        <v>कमी संघर्ष / मित्र आणि कुटुंबाकडून पाठिंबा / परदेशी-संबंधित कार्यांसाठी अनुकूल / भावनिकदृष्ट्या सावध रहा</v>
      </c>
      <c r="AH346" s="5" t="str">
        <f ca="1">IFERROR(__xludf.DUMMYFUNCTION("IF(Z346 = """", """", GOOGLETRANSLATE(Z346, ""en"", ""mr""))"),"")</f>
        <v/>
      </c>
      <c r="AI346" s="5" t="str">
        <f ca="1">IFERROR(__xludf.DUMMYFUNCTION("IF(AA346 = """", """", GOOGLETRANSLATE(AA346, ""en"", ""mr""))"),"")</f>
        <v/>
      </c>
      <c r="AJ346" s="5" t="str">
        <f ca="1">IFERROR(__xludf.DUMMYFUNCTION("IF(AB346 = """", """", GOOGLETRANSLATE(AB346, ""en"", ""mr""))"),"")</f>
        <v/>
      </c>
      <c r="AK346" s="5" t="str">
        <f ca="1">IFERROR(__xludf.DUMMYFUNCTION("IF(Y346 = """", """", GOOGLETRANSLATE(Y346, ""en"", ""gu""))"),"સંઘર્ષમાં ઘટાડો / મિત્રો અને કુટુંબીજનો તરફથી સમર્થન / વિદેશી સંબંધિત કાર્યો માટે અનુકૂળ / ભાવનાત્મક રીતે સાવચેત રહો")</f>
        <v>સંઘર્ષમાં ઘટાડો / મિત્રો અને કુટુંબીજનો તરફથી સમર્થન / વિદેશી સંબંધિત કાર્યો માટે અનુકૂળ / ભાવનાત્મક રીતે સાવચેત રહો</v>
      </c>
      <c r="AL346" s="5" t="str">
        <f ca="1">IFERROR(__xludf.DUMMYFUNCTION("IF(Z346 = """", """", GOOGLETRANSLATE(Z346, ""en"", ""gu""))"),"")</f>
        <v/>
      </c>
      <c r="AM346" s="5" t="str">
        <f ca="1">IFERROR(__xludf.DUMMYFUNCTION("IF(AA346 = """", """", GOOGLETRANSLATE(AA346, ""en"", ""gu""))"),"")</f>
        <v/>
      </c>
      <c r="AN346" s="5" t="str">
        <f ca="1">IFERROR(__xludf.DUMMYFUNCTION("IF(AB346 = """", """", GOOGLETRANSLATE(AB346, ""en"", ""gu""))"),"")</f>
        <v/>
      </c>
      <c r="AO346" s="5" t="str">
        <f ca="1">IFERROR(__xludf.DUMMYFUNCTION("IF(Y346 = """", """", GOOGLETRANSLATE(Y346, ""en"", ""bn""))"),"হ্রাস সংগ্রাম / বন্ধু এবং পরিবারের কাছ থেকে সমর্থন / বিদেশী-সম্পর্কিত কাজের জন্য অনুকূল / আবেগগতভাবে সতর্ক থাকুন")</f>
        <v>হ্রাস সংগ্রাম / বন্ধু এবং পরিবারের কাছ থেকে সমর্থন / বিদেশী-সম্পর্কিত কাজের জন্য অনুকূল / আবেগগতভাবে সতর্ক থাকুন</v>
      </c>
      <c r="AP346" s="5" t="str">
        <f ca="1">IFERROR(__xludf.DUMMYFUNCTION("IF(Z346 = """", """", GOOGLETRANSLATE(Z346, ""en"", ""bn""))"),"")</f>
        <v/>
      </c>
      <c r="AQ346" s="5" t="str">
        <f ca="1">IFERROR(__xludf.DUMMYFUNCTION("IF(AA346 = """", """", GOOGLETRANSLATE(AA346, ""en"", ""bn""))"),"")</f>
        <v/>
      </c>
      <c r="AR346" s="5" t="str">
        <f ca="1">IFERROR(__xludf.DUMMYFUNCTION("IF(AB346 = """", """", GOOGLETRANSLATE(AB346, ""en"", ""bn""))"),"")</f>
        <v/>
      </c>
      <c r="AU346" s="5" t="str">
        <f ca="1">IFERROR(__xludf.DUMMYFUNCTION("IF(Y346 = """", """", GOOGLETRANSLATE(Y346, ""en"", ""te""))"),"తగ్గిన పోరాటం / స్నేహితులు మరియు కుటుంబ సభ్యుల నుండి మద్దతు / విదేశీ సంబంధిత పనులకు అనుకూలం / మానసికంగా జాగ్రత్తగా ఉండండి")</f>
        <v>తగ్గిన పోరాటం / స్నేహితులు మరియు కుటుంబ సభ్యుల నుండి మద్దతు / విదేశీ సంబంధిత పనులకు అనుకూలం / మానసికంగా జాగ్రత్తగా ఉండండి</v>
      </c>
      <c r="AV346" s="5" t="str">
        <f ca="1">IFERROR(__xludf.DUMMYFUNCTION("IF(Z346 = """", """", GOOGLETRANSLATE(Z346, ""en"", ""te""))"),"")</f>
        <v/>
      </c>
      <c r="AW346" s="5" t="str">
        <f ca="1">IFERROR(__xludf.DUMMYFUNCTION("IF(AA346 = """", """", GOOGLETRANSLATE(AA346, ""en"", ""te""))"),"")</f>
        <v/>
      </c>
      <c r="AX346" s="5" t="str">
        <f ca="1">IFERROR(__xludf.DUMMYFUNCTION("IF(AB346 = """", """", GOOGLETRANSLATE(AB346, ""en"", ""te""))"),"")</f>
        <v/>
      </c>
    </row>
    <row r="347" spans="1:50" x14ac:dyDescent="0.25">
      <c r="A347" s="1">
        <v>2</v>
      </c>
      <c r="B347" s="1" t="s">
        <v>56</v>
      </c>
      <c r="C347" s="2">
        <v>45819</v>
      </c>
      <c r="D347" s="2">
        <v>45819</v>
      </c>
      <c r="E347" s="1">
        <v>1</v>
      </c>
      <c r="F347" s="1">
        <v>1</v>
      </c>
      <c r="G347" s="3" t="s">
        <v>57</v>
      </c>
      <c r="H347" s="4">
        <v>7.4305555555555557E-3</v>
      </c>
      <c r="I347" s="4">
        <v>1.2037037037037038E-3</v>
      </c>
      <c r="J347" s="4">
        <v>1.9791666666666668E-3</v>
      </c>
      <c r="K347" s="1" t="s">
        <v>58</v>
      </c>
      <c r="L347" s="1" t="s">
        <v>142</v>
      </c>
      <c r="O347" s="1" t="s">
        <v>61</v>
      </c>
      <c r="P347" s="1" t="s">
        <v>61</v>
      </c>
      <c r="Q347" s="1" t="s">
        <v>61</v>
      </c>
      <c r="R347" s="1" t="s">
        <v>61</v>
      </c>
      <c r="S347" s="1" t="s">
        <v>61</v>
      </c>
      <c r="T347" s="1" t="s">
        <v>61</v>
      </c>
      <c r="V347" s="1" t="s">
        <v>61</v>
      </c>
      <c r="W347" s="1" t="s">
        <v>61</v>
      </c>
      <c r="X347" s="1" t="s">
        <v>61</v>
      </c>
      <c r="Y347" s="1" t="s">
        <v>945</v>
      </c>
      <c r="AB347" s="1"/>
      <c r="AC347" s="5" t="str">
        <f ca="1">IFERROR(__xludf.DUMMYFUNCTION("IF(Y347 = """", """", GOOGLETRANSLATE(Y347, ""en"", ""hi""))
"),"कोई बड़ा निर्णय नहीं")</f>
        <v>कोई बड़ा निर्णय नहीं</v>
      </c>
      <c r="AD347" s="5" t="str">
        <f ca="1">IFERROR(__xludf.DUMMYFUNCTION("IF(Z347 = """", """", GOOGLETRANSLATE(Z347, ""en"", ""hi""))"),"")</f>
        <v/>
      </c>
      <c r="AE347" s="5" t="str">
        <f ca="1">IFERROR(__xludf.DUMMYFUNCTION("IF(AA347 = """", """", GOOGLETRANSLATE(AA347, ""en"", ""hi""))"),"")</f>
        <v/>
      </c>
      <c r="AF347" s="5" t="str">
        <f ca="1">IFERROR(__xludf.DUMMYFUNCTION("IF(AB347 = """", """", GOOGLETRANSLATE(AB347, ""en"", ""hi""))"),"")</f>
        <v/>
      </c>
      <c r="AG347" s="5" t="str">
        <f ca="1">IFERROR(__xludf.DUMMYFUNCTION("IF(Y347 = """", """", GOOGLETRANSLATE(Y347, ""en"", ""mr""))"),"मोठा निर्णय नाही")</f>
        <v>मोठा निर्णय नाही</v>
      </c>
      <c r="AH347" s="5" t="str">
        <f ca="1">IFERROR(__xludf.DUMMYFUNCTION("IF(Z347 = """", """", GOOGLETRANSLATE(Z347, ""en"", ""mr""))"),"")</f>
        <v/>
      </c>
      <c r="AI347" s="5" t="str">
        <f ca="1">IFERROR(__xludf.DUMMYFUNCTION("IF(AA347 = """", """", GOOGLETRANSLATE(AA347, ""en"", ""mr""))"),"")</f>
        <v/>
      </c>
      <c r="AJ347" s="5" t="str">
        <f ca="1">IFERROR(__xludf.DUMMYFUNCTION("IF(AB347 = """", """", GOOGLETRANSLATE(AB347, ""en"", ""mr""))"),"")</f>
        <v/>
      </c>
      <c r="AK347" s="5" t="str">
        <f ca="1">IFERROR(__xludf.DUMMYFUNCTION("IF(Y347 = """", """", GOOGLETRANSLATE(Y347, ""en"", ""gu""))"),"કોઈ મોટો નિર્ણય નથી")</f>
        <v>કોઈ મોટો નિર્ણય નથી</v>
      </c>
      <c r="AL347" s="5" t="str">
        <f ca="1">IFERROR(__xludf.DUMMYFUNCTION("IF(Z347 = """", """", GOOGLETRANSLATE(Z347, ""en"", ""gu""))"),"")</f>
        <v/>
      </c>
      <c r="AM347" s="5" t="str">
        <f ca="1">IFERROR(__xludf.DUMMYFUNCTION("IF(AA347 = """", """", GOOGLETRANSLATE(AA347, ""en"", ""gu""))"),"")</f>
        <v/>
      </c>
      <c r="AN347" s="5" t="str">
        <f ca="1">IFERROR(__xludf.DUMMYFUNCTION("IF(AB347 = """", """", GOOGLETRANSLATE(AB347, ""en"", ""gu""))"),"")</f>
        <v/>
      </c>
      <c r="AO347" s="5" t="str">
        <f ca="1">IFERROR(__xludf.DUMMYFUNCTION("IF(Y347 = """", """", GOOGLETRANSLATE(Y347, ""en"", ""bn""))"),"কোন বড় সিদ্ধান্ত নেই")</f>
        <v>কোন বড় সিদ্ধান্ত নেই</v>
      </c>
      <c r="AP347" s="5" t="str">
        <f ca="1">IFERROR(__xludf.DUMMYFUNCTION("IF(Z347 = """", """", GOOGLETRANSLATE(Z347, ""en"", ""bn""))"),"")</f>
        <v/>
      </c>
      <c r="AQ347" s="5" t="str">
        <f ca="1">IFERROR(__xludf.DUMMYFUNCTION("IF(AA347 = """", """", GOOGLETRANSLATE(AA347, ""en"", ""bn""))"),"")</f>
        <v/>
      </c>
      <c r="AR347" s="5" t="str">
        <f ca="1">IFERROR(__xludf.DUMMYFUNCTION("IF(AB347 = """", """", GOOGLETRANSLATE(AB347, ""en"", ""bn""))"),"")</f>
        <v/>
      </c>
      <c r="AU347" s="5" t="str">
        <f ca="1">IFERROR(__xludf.DUMMYFUNCTION("IF(Y347 = """", """", GOOGLETRANSLATE(Y347, ""en"", ""te""))"),"పెద్ద నిర్ణయం లేదు")</f>
        <v>పెద్ద నిర్ణయం లేదు</v>
      </c>
      <c r="AV347" s="5" t="str">
        <f ca="1">IFERROR(__xludf.DUMMYFUNCTION("IF(Z347 = """", """", GOOGLETRANSLATE(Z347, ""en"", ""te""))"),"")</f>
        <v/>
      </c>
      <c r="AW347" s="5" t="str">
        <f ca="1">IFERROR(__xludf.DUMMYFUNCTION("IF(AA347 = """", """", GOOGLETRANSLATE(AA347, ""en"", ""te""))"),"")</f>
        <v/>
      </c>
      <c r="AX347" s="5" t="str">
        <f ca="1">IFERROR(__xludf.DUMMYFUNCTION("IF(AB347 = """", """", GOOGLETRANSLATE(AB347, ""en"", ""te""))"),"")</f>
        <v/>
      </c>
    </row>
    <row r="348" spans="1:50" x14ac:dyDescent="0.25">
      <c r="A348" s="1">
        <v>72</v>
      </c>
      <c r="B348" s="1" t="s">
        <v>56</v>
      </c>
      <c r="C348" s="8">
        <v>45828</v>
      </c>
      <c r="D348" s="8">
        <v>45828</v>
      </c>
      <c r="E348" s="1">
        <v>2</v>
      </c>
      <c r="F348" s="1">
        <v>1</v>
      </c>
      <c r="G348" s="3" t="s">
        <v>263</v>
      </c>
      <c r="H348" s="4">
        <v>1.1041666666666667E-2</v>
      </c>
      <c r="I348" s="4">
        <v>1.736111111111111E-3</v>
      </c>
      <c r="J348" s="4">
        <v>2.2222222222222222E-3</v>
      </c>
      <c r="K348" s="1" t="s">
        <v>58</v>
      </c>
      <c r="L348" s="1" t="s">
        <v>90</v>
      </c>
      <c r="M348" s="1" t="s">
        <v>14</v>
      </c>
      <c r="O348" s="1" t="s">
        <v>61</v>
      </c>
      <c r="P348" s="1" t="s">
        <v>61</v>
      </c>
      <c r="Q348" s="1" t="s">
        <v>61</v>
      </c>
      <c r="R348" s="1" t="s">
        <v>61</v>
      </c>
      <c r="S348" s="1" t="s">
        <v>61</v>
      </c>
      <c r="T348" s="1" t="s">
        <v>61</v>
      </c>
      <c r="V348" s="1" t="s">
        <v>61</v>
      </c>
      <c r="W348" s="1" t="s">
        <v>61</v>
      </c>
      <c r="X348" s="1" t="s">
        <v>61</v>
      </c>
      <c r="Y348" s="1" t="s">
        <v>946</v>
      </c>
      <c r="Z348" s="1" t="s">
        <v>947</v>
      </c>
      <c r="AA348" s="1" t="s">
        <v>948</v>
      </c>
      <c r="AB348" s="1" t="s">
        <v>949</v>
      </c>
      <c r="AC348" s="5" t="str">
        <f ca="1">IFERROR(__xludf.DUMMYFUNCTION("IF(Y348 = """", """", GOOGLETRANSLATE(Y348, ""en"", ""hi""))
"),"खुशी और उत्साह से भरा दिन")</f>
        <v>खुशी और उत्साह से भरा दिन</v>
      </c>
      <c r="AD348" s="5" t="str">
        <f ca="1">IFERROR(__xludf.DUMMYFUNCTION("IF(Z348 = """", """", GOOGLETRANSLATE(Z348, ""en"", ""hi""))"),"लंबित कार्य को पूरा करने के लिए बढ़िया")</f>
        <v>लंबित कार्य को पूरा करने के लिए बढ़िया</v>
      </c>
      <c r="AE348" s="5" t="str">
        <f ca="1">IFERROR(__xludf.DUMMYFUNCTION("IF(AA348 = """", """", GOOGLETRANSLATE(AA348, ""en"", ""hi""))"),"परिवार और मित्र सहायक होंगे")</f>
        <v>परिवार और मित्र सहायक होंगे</v>
      </c>
      <c r="AF348" s="5" t="str">
        <f ca="1">IFERROR(__xludf.DUMMYFUNCTION("IF(AB348 = """", """", GOOGLETRANSLATE(AB348, ""en"", ""hi""))"),"नए करियर के अवसर उत्पन्न हो सकते हैं")</f>
        <v>नए करियर के अवसर उत्पन्न हो सकते हैं</v>
      </c>
      <c r="AG348" s="5" t="str">
        <f ca="1">IFERROR(__xludf.DUMMYFUNCTION("IF(Y348 = """", """", GOOGLETRANSLATE(Y348, ""en"", ""mr""))"),"आनंद आणि उत्साहाने भरलेला दिवस")</f>
        <v>आनंद आणि उत्साहाने भरलेला दिवस</v>
      </c>
      <c r="AH348" s="5" t="str">
        <f ca="1">IFERROR(__xludf.DUMMYFUNCTION("IF(Z348 = """", """", GOOGLETRANSLATE(Z348, ""en"", ""mr""))"),"प्रलंबित काम पूर्ण करण्यासाठी उत्तम")</f>
        <v>प्रलंबित काम पूर्ण करण्यासाठी उत्तम</v>
      </c>
      <c r="AI348" s="5" t="str">
        <f ca="1">IFERROR(__xludf.DUMMYFUNCTION("IF(AA348 = """", """", GOOGLETRANSLATE(AA348, ""en"", ""mr""))"),"कुटुंब आणि मित्रांचे सहकार्य मिळेल")</f>
        <v>कुटुंब आणि मित्रांचे सहकार्य मिळेल</v>
      </c>
      <c r="AJ348" s="5" t="str">
        <f ca="1">IFERROR(__xludf.DUMMYFUNCTION("IF(AB348 = """", """", GOOGLETRANSLATE(AB348, ""en"", ""mr""))"),"करिअरमध्ये नवीन संधी मिळू शकतात")</f>
        <v>करिअरमध्ये नवीन संधी मिळू शकतात</v>
      </c>
      <c r="AK348" s="5" t="str">
        <f ca="1">IFERROR(__xludf.DUMMYFUNCTION("IF(Y348 = """", """", GOOGLETRANSLATE(Y348, ""en"", ""gu""))"),"આનંદ અને ઉત્સાહથી ભરેલો દિવસ")</f>
        <v>આનંદ અને ઉત્સાહથી ભરેલો દિવસ</v>
      </c>
      <c r="AL348" s="5" t="str">
        <f ca="1">IFERROR(__xludf.DUMMYFUNCTION("IF(Z348 = """", """", GOOGLETRANSLATE(Z348, ""en"", ""gu""))"),"બાકી કામ પૂરું કરવા માટે સરસ")</f>
        <v>બાકી કામ પૂરું કરવા માટે સરસ</v>
      </c>
      <c r="AM348" s="5" t="str">
        <f ca="1">IFERROR(__xludf.DUMMYFUNCTION("IF(AA348 = """", """", GOOGLETRANSLATE(AA348, ""en"", ""gu""))"),"પરિવાર અને મિત્રોનો સહયોગ મળશે")</f>
        <v>પરિવાર અને મિત્રોનો સહયોગ મળશે</v>
      </c>
      <c r="AN348" s="5" t="str">
        <f ca="1">IFERROR(__xludf.DUMMYFUNCTION("IF(AB348 = """", """", GOOGLETRANSLATE(AB348, ""en"", ""gu""))"),"કરિયરમાં નવી તકો આવી શકે છે")</f>
        <v>કરિયરમાં નવી તકો આવી શકે છે</v>
      </c>
      <c r="AO348" s="5" t="str">
        <f ca="1">IFERROR(__xludf.DUMMYFUNCTION("IF(Y348 = """", """", GOOGLETRANSLATE(Y348, ""en"", ""bn""))"),"আনন্দ আর উদ্দীপনায় ভরা দিন")</f>
        <v>আনন্দ আর উদ্দীপনায় ভরা দিন</v>
      </c>
      <c r="AP348" s="5" t="str">
        <f ca="1">IFERROR(__xludf.DUMMYFUNCTION("IF(Z348 = """", """", GOOGLETRANSLATE(Z348, ""en"", ""bn""))"),"মুলতুবি কাজ শেষ করার জন্য দুর্দান্ত")</f>
        <v>মুলতুবি কাজ শেষ করার জন্য দুর্দান্ত</v>
      </c>
      <c r="AQ348" s="5" t="str">
        <f ca="1">IFERROR(__xludf.DUMMYFUNCTION("IF(AA348 = """", """", GOOGLETRANSLATE(AA348, ""en"", ""bn""))"),"পরিবার এবং বন্ধুরা সাহায্য করবে")</f>
        <v>পরিবার এবং বন্ধুরা সাহায্য করবে</v>
      </c>
      <c r="AR348" s="5" t="str">
        <f ca="1">IFERROR(__xludf.DUMMYFUNCTION("IF(AB348 = """", """", GOOGLETRANSLATE(AB348, ""en"", ""bn""))"),"কর্মজীবনে নতুন সুযোগ আসতে পারে")</f>
        <v>কর্মজীবনে নতুন সুযোগ আসতে পারে</v>
      </c>
      <c r="AU348" s="5" t="str">
        <f ca="1">IFERROR(__xludf.DUMMYFUNCTION("IF(Y348 = """", """", GOOGLETRANSLATE(Y348, ""en"", ""te""))"),"ఆనందం మరియు ఉత్సాహంతో నిండిన రోజు")</f>
        <v>ఆనందం మరియు ఉత్సాహంతో నిండిన రోజు</v>
      </c>
      <c r="AV348" s="5" t="str">
        <f ca="1">IFERROR(__xludf.DUMMYFUNCTION("IF(Z348 = """", """", GOOGLETRANSLATE(Z348, ""en"", ""te""))"),"పెండింగ్‌లో ఉన్న పనిని పూర్తి చేయడం మంచిది")</f>
        <v>పెండింగ్‌లో ఉన్న పనిని పూర్తి చేయడం మంచిది</v>
      </c>
      <c r="AW348" s="5" t="str">
        <f ca="1">IFERROR(__xludf.DUMMYFUNCTION("IF(AA348 = """", """", GOOGLETRANSLATE(AA348, ""en"", ""te""))"),"కుటుంబ సభ్యులు మరియు స్నేహితులు సహకరిస్తారు")</f>
        <v>కుటుంబ సభ్యులు మరియు స్నేహితులు సహకరిస్తారు</v>
      </c>
      <c r="AX348" s="5" t="str">
        <f ca="1">IFERROR(__xludf.DUMMYFUNCTION("IF(AB348 = """", """", GOOGLETRANSLATE(AB348, ""en"", ""te""))"),"కొత్త కెరీర్ అవకాశాలు రావచ్చు")</f>
        <v>కొత్త కెరీర్ అవకాశాలు రావచ్చు</v>
      </c>
    </row>
    <row r="349" spans="1:50" x14ac:dyDescent="0.25">
      <c r="A349" s="1">
        <v>5</v>
      </c>
      <c r="B349" s="1" t="s">
        <v>56</v>
      </c>
      <c r="C349" s="2">
        <v>45819</v>
      </c>
      <c r="D349" s="2">
        <v>45819</v>
      </c>
      <c r="E349" s="1">
        <v>4</v>
      </c>
      <c r="F349" s="1">
        <v>1</v>
      </c>
      <c r="G349" s="3" t="s">
        <v>57</v>
      </c>
      <c r="H349" s="4">
        <v>7.4305555555555557E-3</v>
      </c>
      <c r="I349" s="4">
        <v>2.8703703703703703E-3</v>
      </c>
      <c r="J349" s="4">
        <v>3.3217592592592591E-3</v>
      </c>
      <c r="K349" s="1" t="s">
        <v>58</v>
      </c>
      <c r="L349" s="1" t="s">
        <v>102</v>
      </c>
      <c r="M349" s="1" t="s">
        <v>14</v>
      </c>
      <c r="O349" s="1" t="s">
        <v>61</v>
      </c>
      <c r="P349" s="1" t="s">
        <v>61</v>
      </c>
      <c r="Q349" s="1" t="s">
        <v>61</v>
      </c>
      <c r="R349" s="1" t="s">
        <v>61</v>
      </c>
      <c r="S349" s="1" t="s">
        <v>61</v>
      </c>
      <c r="T349" s="1" t="s">
        <v>61</v>
      </c>
      <c r="V349" s="1" t="s">
        <v>61</v>
      </c>
      <c r="W349" s="1" t="s">
        <v>61</v>
      </c>
      <c r="X349" s="1" t="s">
        <v>61</v>
      </c>
      <c r="Y349" s="1" t="s">
        <v>950</v>
      </c>
      <c r="Z349" s="1" t="s">
        <v>951</v>
      </c>
      <c r="AA349" s="1" t="s">
        <v>952</v>
      </c>
      <c r="AB349" s="1" t="s">
        <v>953</v>
      </c>
      <c r="AC349" s="5" t="str">
        <f ca="1">IFERROR(__xludf.DUMMYFUNCTION("IF(Y349 = """", """", GOOGLETRANSLATE(Y349, ""en"", ""hi""))
"),"ऊर्जावान मुद्दे")</f>
        <v>ऊर्जावान मुद्दे</v>
      </c>
      <c r="AD349" s="5" t="str">
        <f ca="1">IFERROR(__xludf.DUMMYFUNCTION("IF(Z349 = """", """", GOOGLETRANSLATE(Z349, ""en"", ""hi""))"),"बच्चों के समाधान")</f>
        <v>बच्चों के समाधान</v>
      </c>
      <c r="AE349" s="5" t="str">
        <f ca="1">IFERROR(__xludf.DUMMYFUNCTION("IF(AA349 = """", """", GOOGLETRANSLATE(AA349, ""en"", ""hi""))"),"अप्रत्याशित समाधान")</f>
        <v>अप्रत्याशित समाधान</v>
      </c>
      <c r="AF349" s="5" t="str">
        <f ca="1">IFERROR(__xludf.DUMMYFUNCTION("IF(AB349 = """", """", GOOGLETRANSLATE(AB349, ""en"", ""hi""))"),"अपनी ज़ुबान मीठी रखो")</f>
        <v>अपनी ज़ुबान मीठी रखो</v>
      </c>
      <c r="AG349" s="5" t="str">
        <f ca="1">IFERROR(__xludf.DUMMYFUNCTION("IF(Y349 = """", """", GOOGLETRANSLATE(Y349, ""en"", ""mr""))"),"ऊर्जावान समस्या")</f>
        <v>ऊर्जावान समस्या</v>
      </c>
      <c r="AH349" s="5" t="str">
        <f ca="1">IFERROR(__xludf.DUMMYFUNCTION("IF(Z349 = """", """", GOOGLETRANSLATE(Z349, ""en"", ""mr""))"),"मुलांसाठी उपाय")</f>
        <v>मुलांसाठी उपाय</v>
      </c>
      <c r="AI349" s="5" t="str">
        <f ca="1">IFERROR(__xludf.DUMMYFUNCTION("IF(AA349 = """", """", GOOGLETRANSLATE(AA349, ""en"", ""mr""))"),"अनपेक्षित उपाय")</f>
        <v>अनपेक्षित उपाय</v>
      </c>
      <c r="AJ349" s="5" t="str">
        <f ca="1">IFERROR(__xludf.DUMMYFUNCTION("IF(AB349 = """", """", GOOGLETRANSLATE(AB349, ""en"", ""mr""))"),"जीभ गोड ठेवा")</f>
        <v>जीभ गोड ठेवा</v>
      </c>
      <c r="AK349" s="5" t="str">
        <f ca="1">IFERROR(__xludf.DUMMYFUNCTION("IF(Y349 = """", """", GOOGLETRANSLATE(Y349, ""en"", ""gu""))"),"ઊર્જાસભર મુદ્દાઓ")</f>
        <v>ઊર્જાસભર મુદ્દાઓ</v>
      </c>
      <c r="AL349" s="5" t="str">
        <f ca="1">IFERROR(__xludf.DUMMYFUNCTION("IF(Z349 = """", """", GOOGLETRANSLATE(Z349, ""en"", ""gu""))"),"બાળકોના ઉકેલો")</f>
        <v>બાળકોના ઉકેલો</v>
      </c>
      <c r="AM349" s="5" t="str">
        <f ca="1">IFERROR(__xludf.DUMMYFUNCTION("IF(AA349 = """", """", GOOGLETRANSLATE(AA349, ""en"", ""gu""))"),"અનપેક્ષિત ઉકેલ")</f>
        <v>અનપેક્ષિત ઉકેલ</v>
      </c>
      <c r="AN349" s="5" t="str">
        <f ca="1">IFERROR(__xludf.DUMMYFUNCTION("IF(AB349 = """", """", GOOGLETRANSLATE(AB349, ""en"", ""gu""))"),"તમારી જીભ મીઠી રાખો")</f>
        <v>તમારી જીભ મીઠી રાખો</v>
      </c>
      <c r="AO349" s="5" t="str">
        <f ca="1">IFERROR(__xludf.DUMMYFUNCTION("IF(Y349 = """", """", GOOGLETRANSLATE(Y349, ""en"", ""bn""))"),"অনলস সমস্যা")</f>
        <v>অনলস সমস্যা</v>
      </c>
      <c r="AP349" s="5" t="str">
        <f ca="1">IFERROR(__xludf.DUMMYFUNCTION("IF(Z349 = """", """", GOOGLETRANSLATE(Z349, ""en"", ""bn""))"),"শিশুদের সমাধান")</f>
        <v>শিশুদের সমাধান</v>
      </c>
      <c r="AQ349" s="5" t="str">
        <f ca="1">IFERROR(__xludf.DUMMYFUNCTION("IF(AA349 = """", """", GOOGLETRANSLATE(AA349, ""en"", ""bn""))"),"অপ্রত্যাশিত সমাধান")</f>
        <v>অপ্রত্যাশিত সমাধান</v>
      </c>
      <c r="AR349" s="5" t="str">
        <f ca="1">IFERROR(__xludf.DUMMYFUNCTION("IF(AB349 = """", """", GOOGLETRANSLATE(AB349, ""en"", ""bn""))"),"আপনার জিহ্বা মিষ্টি রাখুন")</f>
        <v>আপনার জিহ্বা মিষ্টি রাখুন</v>
      </c>
      <c r="AU349" s="5" t="str">
        <f ca="1">IFERROR(__xludf.DUMMYFUNCTION("IF(Y349 = """", """", GOOGLETRANSLATE(Y349, ""en"", ""te""))"),"శక్తి సమస్యలు")</f>
        <v>శక్తి సమస్యలు</v>
      </c>
      <c r="AV349" s="5" t="str">
        <f ca="1">IFERROR(__xludf.DUMMYFUNCTION("IF(Z349 = """", """", GOOGLETRANSLATE(Z349, ""en"", ""te""))"),"పిల్లల పరిష్కారాలు")</f>
        <v>పిల్లల పరిష్కారాలు</v>
      </c>
      <c r="AW349" s="5" t="str">
        <f ca="1">IFERROR(__xludf.DUMMYFUNCTION("IF(AA349 = """", """", GOOGLETRANSLATE(AA349, ""en"", ""te""))"),"ఊహించని పరిష్కారం")</f>
        <v>ఊహించని పరిష్కారం</v>
      </c>
      <c r="AX349" s="5" t="str">
        <f ca="1">IFERROR(__xludf.DUMMYFUNCTION("IF(AB349 = """", """", GOOGLETRANSLATE(AB349, ""en"", ""te""))"),"మీ నాలుకను మధురంగా ​​ఉంచుకోండి")</f>
        <v>మీ నాలుకను మధురంగా ​​ఉంచుకోండి</v>
      </c>
    </row>
    <row r="350" spans="1:50" x14ac:dyDescent="0.25">
      <c r="A350" s="1">
        <v>7</v>
      </c>
      <c r="B350" s="1" t="s">
        <v>56</v>
      </c>
      <c r="C350" s="2">
        <v>45819</v>
      </c>
      <c r="D350" s="2">
        <v>45819</v>
      </c>
      <c r="E350" s="1">
        <v>6</v>
      </c>
      <c r="F350" s="1">
        <v>1</v>
      </c>
      <c r="G350" s="3" t="s">
        <v>57</v>
      </c>
      <c r="H350" s="4">
        <v>7.4305555555555557E-3</v>
      </c>
      <c r="I350" s="4">
        <v>3.8194444444444443E-3</v>
      </c>
      <c r="J350" s="4">
        <v>4.3750000000000004E-3</v>
      </c>
      <c r="K350" s="1" t="s">
        <v>58</v>
      </c>
      <c r="L350" s="1" t="s">
        <v>113</v>
      </c>
      <c r="M350" s="1" t="s">
        <v>14</v>
      </c>
      <c r="O350" s="1" t="s">
        <v>61</v>
      </c>
      <c r="P350" s="1" t="s">
        <v>61</v>
      </c>
      <c r="Q350" s="1" t="s">
        <v>61</v>
      </c>
      <c r="R350" s="1" t="s">
        <v>61</v>
      </c>
      <c r="S350" s="1" t="s">
        <v>61</v>
      </c>
      <c r="T350" s="1" t="s">
        <v>61</v>
      </c>
      <c r="V350" s="1" t="s">
        <v>61</v>
      </c>
      <c r="W350" s="1" t="s">
        <v>61</v>
      </c>
      <c r="X350" s="1" t="s">
        <v>61</v>
      </c>
      <c r="Y350" s="1" t="s">
        <v>70</v>
      </c>
      <c r="Z350" s="1" t="s">
        <v>80</v>
      </c>
      <c r="AB350" s="1"/>
      <c r="AC350" s="5" t="str">
        <f ca="1">IFERROR(__xludf.DUMMYFUNCTION("IF(Y350 = """", """", GOOGLETRANSLATE(Y350, ""en"", ""hi""))
"),"अतिरिक्त कार्यभार")</f>
        <v>अतिरिक्त कार्यभार</v>
      </c>
      <c r="AD350" s="5" t="str">
        <f ca="1">IFERROR(__xludf.DUMMYFUNCTION("IF(Z350 = """", """", GOOGLETRANSLATE(Z350, ""en"", ""hi""))"),"संतुष्टि के साथ थका देने वाला दिन")</f>
        <v>संतुष्टि के साथ थका देने वाला दिन</v>
      </c>
      <c r="AE350" s="5" t="str">
        <f ca="1">IFERROR(__xludf.DUMMYFUNCTION("IF(AA350 = """", """", GOOGLETRANSLATE(AA350, ""en"", ""hi""))"),"")</f>
        <v/>
      </c>
      <c r="AF350" s="5" t="str">
        <f ca="1">IFERROR(__xludf.DUMMYFUNCTION("IF(AB350 = """", """", GOOGLETRANSLATE(AB350, ""en"", ""hi""))"),"")</f>
        <v/>
      </c>
      <c r="AG350" s="5" t="str">
        <f ca="1">IFERROR(__xludf.DUMMYFUNCTION("IF(Y350 = """", """", GOOGLETRANSLATE(Y350, ""en"", ""mr""))"),"अतिरिक्त कामाचा ताण")</f>
        <v>अतिरिक्त कामाचा ताण</v>
      </c>
      <c r="AH350" s="5" t="str">
        <f ca="1">IFERROR(__xludf.DUMMYFUNCTION("IF(Z350 = """", """", GOOGLETRANSLATE(Z350, ""en"", ""mr""))"),"समाधानाने थकवणारा दिवस")</f>
        <v>समाधानाने थकवणारा दिवस</v>
      </c>
      <c r="AI350" s="5" t="str">
        <f ca="1">IFERROR(__xludf.DUMMYFUNCTION("IF(AA350 = """", """", GOOGLETRANSLATE(AA350, ""en"", ""mr""))"),"")</f>
        <v/>
      </c>
      <c r="AJ350" s="5" t="str">
        <f ca="1">IFERROR(__xludf.DUMMYFUNCTION("IF(AB350 = """", """", GOOGLETRANSLATE(AB350, ""en"", ""mr""))"),"")</f>
        <v/>
      </c>
      <c r="AK350" s="5" t="str">
        <f ca="1">IFERROR(__xludf.DUMMYFUNCTION("IF(Y350 = """", """", GOOGLETRANSLATE(Y350, ""en"", ""gu""))"),"વધારાના વર્કલોડ")</f>
        <v>વધારાના વર્કલોડ</v>
      </c>
      <c r="AL350" s="5" t="str">
        <f ca="1">IFERROR(__xludf.DUMMYFUNCTION("IF(Z350 = """", """", GOOGLETRANSLATE(Z350, ""en"", ""gu""))"),"સંતોષ સાથે કંટાળાજનક દિવસ")</f>
        <v>સંતોષ સાથે કંટાળાજનક દિવસ</v>
      </c>
      <c r="AM350" s="5" t="str">
        <f ca="1">IFERROR(__xludf.DUMMYFUNCTION("IF(AA350 = """", """", GOOGLETRANSLATE(AA350, ""en"", ""gu""))"),"")</f>
        <v/>
      </c>
      <c r="AN350" s="5" t="str">
        <f ca="1">IFERROR(__xludf.DUMMYFUNCTION("IF(AB350 = """", """", GOOGLETRANSLATE(AB350, ""en"", ""gu""))"),"")</f>
        <v/>
      </c>
      <c r="AO350" s="5" t="str">
        <f ca="1">IFERROR(__xludf.DUMMYFUNCTION("IF(Y350 = """", """", GOOGLETRANSLATE(Y350, ""en"", ""bn""))"),"অতিরিক্ত কাজের চাপ")</f>
        <v>অতিরিক্ত কাজের চাপ</v>
      </c>
      <c r="AP350" s="5" t="str">
        <f ca="1">IFERROR(__xludf.DUMMYFUNCTION("IF(Z350 = """", """", GOOGLETRANSLATE(Z350, ""en"", ""bn""))"),"তৃপ্তির সাথে ক্লান্তিকর দিন")</f>
        <v>তৃপ্তির সাথে ক্লান্তিকর দিন</v>
      </c>
      <c r="AQ350" s="5" t="str">
        <f ca="1">IFERROR(__xludf.DUMMYFUNCTION("IF(AA350 = """", """", GOOGLETRANSLATE(AA350, ""en"", ""bn""))"),"")</f>
        <v/>
      </c>
      <c r="AR350" s="5" t="str">
        <f ca="1">IFERROR(__xludf.DUMMYFUNCTION("IF(AB350 = """", """", GOOGLETRANSLATE(AB350, ""en"", ""bn""))"),"")</f>
        <v/>
      </c>
      <c r="AS350" s="1" t="s">
        <v>62</v>
      </c>
      <c r="AT350" s="1" t="s">
        <v>63</v>
      </c>
      <c r="AU350" s="5" t="str">
        <f ca="1">IFERROR(__xludf.DUMMYFUNCTION("IF(Y350 = """", """", GOOGLETRANSLATE(Y350, ""en"", ""te""))"),"అదనపు పనిభారం")</f>
        <v>అదనపు పనిభారం</v>
      </c>
      <c r="AV350" s="5" t="str">
        <f ca="1">IFERROR(__xludf.DUMMYFUNCTION("IF(Z350 = """", """", GOOGLETRANSLATE(Z350, ""en"", ""te""))"),"సంతృప్తితో అలసిపోయే రోజు")</f>
        <v>సంతృప్తితో అలసిపోయే రోజు</v>
      </c>
      <c r="AW350" s="5" t="str">
        <f ca="1">IFERROR(__xludf.DUMMYFUNCTION("IF(AA350 = """", """", GOOGLETRANSLATE(AA350, ""en"", ""te""))"),"")</f>
        <v/>
      </c>
      <c r="AX350" s="5" t="str">
        <f ca="1">IFERROR(__xludf.DUMMYFUNCTION("IF(AB350 = """", """", GOOGLETRANSLATE(AB350, ""en"", ""te""))"),"")</f>
        <v/>
      </c>
    </row>
    <row r="351" spans="1:50" x14ac:dyDescent="0.25">
      <c r="A351" s="1">
        <v>15</v>
      </c>
      <c r="B351" s="1" t="s">
        <v>56</v>
      </c>
      <c r="C351" s="6">
        <v>45823</v>
      </c>
      <c r="D351" s="6">
        <v>45823</v>
      </c>
      <c r="E351" s="1">
        <v>1</v>
      </c>
      <c r="F351" s="1">
        <v>1</v>
      </c>
      <c r="G351" s="3" t="s">
        <v>85</v>
      </c>
      <c r="H351" s="4">
        <v>8.2291666666666659E-3</v>
      </c>
      <c r="I351" s="7" t="s">
        <v>86</v>
      </c>
      <c r="J351" s="7" t="s">
        <v>88</v>
      </c>
      <c r="K351" s="1" t="s">
        <v>58</v>
      </c>
      <c r="L351" s="1" t="s">
        <v>142</v>
      </c>
      <c r="O351" s="1" t="s">
        <v>91</v>
      </c>
      <c r="P351" s="1" t="s">
        <v>61</v>
      </c>
      <c r="Q351" s="1" t="s">
        <v>61</v>
      </c>
      <c r="R351" s="1" t="s">
        <v>61</v>
      </c>
      <c r="S351" s="1" t="s">
        <v>61</v>
      </c>
      <c r="T351" s="1" t="s">
        <v>61</v>
      </c>
      <c r="V351" s="1" t="s">
        <v>61</v>
      </c>
      <c r="W351" s="1" t="s">
        <v>61</v>
      </c>
      <c r="X351" s="1" t="s">
        <v>61</v>
      </c>
      <c r="Y351" s="1" t="s">
        <v>954</v>
      </c>
      <c r="Z351" s="1" t="s">
        <v>955</v>
      </c>
      <c r="AA351" s="1" t="s">
        <v>956</v>
      </c>
      <c r="AB351" s="1" t="s">
        <v>92</v>
      </c>
      <c r="AC351" s="5" t="str">
        <f ca="1">IFERROR(__xludf.DUMMYFUNCTION("IF(Y351 = """", """", GOOGLETRANSLATE(Y351, ""en"", ""hi""))
"),"दिन में इधर-उधर भागना")</f>
        <v>दिन में इधर-उधर भागना</v>
      </c>
      <c r="AD351" s="5" t="str">
        <f ca="1">IFERROR(__xludf.DUMMYFUNCTION("IF(Z351 = """", """", GOOGLETRANSLATE(Z351, ""en"", ""hi""))"),"कार्यभार/ बोझ भी कम महसूस होगा क्योंकि आपका लंबित कार्य समाप्त हो जाएगा")</f>
        <v>कार्यभार/ बोझ भी कम महसूस होगा क्योंकि आपका लंबित कार्य समाप्त हो जाएगा</v>
      </c>
      <c r="AE351" s="5" t="str">
        <f ca="1">IFERROR(__xludf.DUMMYFUNCTION("IF(AA351 = """", """", GOOGLETRANSLATE(AA351, ""en"", ""hi""))"),"पारिवारिक जिम्मेदारी")</f>
        <v>पारिवारिक जिम्मेदारी</v>
      </c>
      <c r="AF351" s="5" t="str">
        <f ca="1">IFERROR(__xludf.DUMMYFUNCTION("IF(AB351 = """", """", GOOGLETRANSLATE(AB351, ""en"", ""hi""))"),"दोस्तों और परिवार के साथ सैर")</f>
        <v>दोस्तों और परिवार के साथ सैर</v>
      </c>
      <c r="AG351" s="5" t="str">
        <f ca="1">IFERROR(__xludf.DUMMYFUNCTION("IF(Y351 = """", """", GOOGLETRANSLATE(Y351, ""en"", ""mr""))"),"दिवसभर धावणे")</f>
        <v>दिवसभर धावणे</v>
      </c>
      <c r="AH351" s="5" t="str">
        <f ca="1">IFERROR(__xludf.DUMMYFUNCTION("IF(Z351 = """", """", GOOGLETRANSLATE(Z351, ""en"", ""mr""))"),"तुमचे प्रलंबित काम संपुष्टात आल्याने कामाचा ताण/ कमी ओझे वाटेल")</f>
        <v>तुमचे प्रलंबित काम संपुष्टात आल्याने कामाचा ताण/ कमी ओझे वाटेल</v>
      </c>
      <c r="AI351" s="5" t="str">
        <f ca="1">IFERROR(__xludf.DUMMYFUNCTION("IF(AA351 = """", """", GOOGLETRANSLATE(AA351, ""en"", ""mr""))"),"कौटुंबिक जबाबदारी")</f>
        <v>कौटुंबिक जबाबदारी</v>
      </c>
      <c r="AJ351" s="5" t="str">
        <f ca="1">IFERROR(__xludf.DUMMYFUNCTION("IF(AB351 = """", """", GOOGLETRANSLATE(AB351, ""en"", ""mr""))"),"मित्र आणि कुटुंबासह बाहेर फिरणे")</f>
        <v>मित्र आणि कुटुंबासह बाहेर फिरणे</v>
      </c>
      <c r="AK351" s="5" t="str">
        <f ca="1">IFERROR(__xludf.DUMMYFUNCTION("IF(Y351 = """", """", GOOGLETRANSLATE(Y351, ""en"", ""gu""))"),"દિવસભર દોડવું")</f>
        <v>દિવસભર દોડવું</v>
      </c>
      <c r="AL351" s="5" t="str">
        <f ca="1">IFERROR(__xludf.DUMMYFUNCTION("IF(Z351 = """", """", GOOGLETRANSLATE(Z351, ""en"", ""gu""))"),"વર્કલોડ/ પણ ઓછો બોજ અનુભવો કારણ કે તમારું પેન્ડિંગ કામ સમાપ્ત થઈ જશે")</f>
        <v>વર્કલોડ/ પણ ઓછો બોજ અનુભવો કારણ કે તમારું પેન્ડિંગ કામ સમાપ્ત થઈ જશે</v>
      </c>
      <c r="AM351" s="5" t="str">
        <f ca="1">IFERROR(__xludf.DUMMYFUNCTION("IF(AA351 = """", """", GOOGLETRANSLATE(AA351, ""en"", ""gu""))"),"કૌટુંબિક જવાબદારી")</f>
        <v>કૌટુંબિક જવાબદારી</v>
      </c>
      <c r="AN351" s="5" t="str">
        <f ca="1">IFERROR(__xludf.DUMMYFUNCTION("IF(AB351 = """", """", GOOGLETRANSLATE(AB351, ""en"", ""gu""))"),"મિત્રો અને પરિવાર સાથે ફરવા જવું")</f>
        <v>મિત્રો અને પરિવાર સાથે ફરવા જવું</v>
      </c>
      <c r="AO351" s="5" t="str">
        <f ca="1">IFERROR(__xludf.DUMMYFUNCTION("IF(Y351 = """", """", GOOGLETRANSLATE(Y351, ""en"", ""bn""))"),"দিনে দৌড়াচ্ছে")</f>
        <v>দিনে দৌড়াচ্ছে</v>
      </c>
      <c r="AP351" s="5" t="str">
        <f ca="1">IFERROR(__xludf.DUMMYFUNCTION("IF(Z351 = """", """", GOOGLETRANSLATE(Z351, ""en"", ""bn""))"),"আপনার মুলতুবি কাজ শেষ হয়ে যাওয়ায় কাজের চাপ/ও কম বোঝা অনুভব করুন")</f>
        <v>আপনার মুলতুবি কাজ শেষ হয়ে যাওয়ায় কাজের চাপ/ও কম বোঝা অনুভব করুন</v>
      </c>
      <c r="AQ351" s="5" t="str">
        <f ca="1">IFERROR(__xludf.DUMMYFUNCTION("IF(AA351 = """", """", GOOGLETRANSLATE(AA351, ""en"", ""bn""))"),"পারিবারিক দায়িত্ব")</f>
        <v>পারিবারিক দায়িত্ব</v>
      </c>
      <c r="AR351" s="5" t="str">
        <f ca="1">IFERROR(__xludf.DUMMYFUNCTION("IF(AB351 = """", """", GOOGLETRANSLATE(AB351, ""en"", ""bn""))"),"বন্ধু এবং পরিবারের সাথে আউটিং")</f>
        <v>বন্ধু এবং পরিবারের সাথে আউটিং</v>
      </c>
      <c r="AS351" s="1" t="s">
        <v>62</v>
      </c>
      <c r="AT351" s="1" t="s">
        <v>63</v>
      </c>
      <c r="AU351" s="5" t="str">
        <f ca="1">IFERROR(__xludf.DUMMYFUNCTION("IF(Y351 = """", """", GOOGLETRANSLATE(Y351, ""en"", ""te""))"),"రోజు చుట్టూ పరిగెడుతోంది")</f>
        <v>రోజు చుట్టూ పరిగెడుతోంది</v>
      </c>
      <c r="AV351" s="5" t="str">
        <f ca="1">IFERROR(__xludf.DUMMYFUNCTION("IF(Z351 = """", """", GOOGLETRANSLATE(Z351, ""en"", ""te""))"),"పనిభారం/ మీ పెండింగ్‌లో ఉన్న పని ముగుస్తుంది కాబట్టి తక్కువ భారం కూడా అనిపిస్తుంది")</f>
        <v>పనిభారం/ మీ పెండింగ్‌లో ఉన్న పని ముగుస్తుంది కాబట్టి తక్కువ భారం కూడా అనిపిస్తుంది</v>
      </c>
      <c r="AW351" s="5" t="str">
        <f ca="1">IFERROR(__xludf.DUMMYFUNCTION("IF(AA351 = """", """", GOOGLETRANSLATE(AA351, ""en"", ""te""))"),"కుటుంబ బాధ్యత")</f>
        <v>కుటుంబ బాధ్యత</v>
      </c>
      <c r="AX351" s="5" t="str">
        <f ca="1">IFERROR(__xludf.DUMMYFUNCTION("IF(AB351 = """", """", GOOGLETRANSLATE(AB351, ""en"", ""te""))"),"స్నేహితులు మరియు కుటుంబ సభ్యులతో విహారయాత్ర")</f>
        <v>స్నేహితులు మరియు కుటుంబ సభ్యులతో విహారయాత్ర</v>
      </c>
    </row>
    <row r="352" spans="1:50" x14ac:dyDescent="0.25">
      <c r="A352" s="1">
        <v>23</v>
      </c>
      <c r="B352" s="1" t="s">
        <v>56</v>
      </c>
      <c r="C352" s="6">
        <v>45823</v>
      </c>
      <c r="D352" s="6">
        <v>45823</v>
      </c>
      <c r="E352" s="1">
        <v>9</v>
      </c>
      <c r="F352" s="1">
        <v>1</v>
      </c>
      <c r="G352" s="3" t="s">
        <v>957</v>
      </c>
      <c r="H352" s="4">
        <v>8.2291666666666659E-3</v>
      </c>
      <c r="I352" s="7" t="s">
        <v>122</v>
      </c>
      <c r="J352" s="7" t="s">
        <v>125</v>
      </c>
      <c r="K352" s="1" t="s">
        <v>58</v>
      </c>
      <c r="L352" s="1" t="s">
        <v>72</v>
      </c>
      <c r="O352" s="1" t="s">
        <v>61</v>
      </c>
      <c r="P352" s="1" t="s">
        <v>61</v>
      </c>
      <c r="Q352" s="1" t="s">
        <v>61</v>
      </c>
      <c r="R352" s="1" t="s">
        <v>61</v>
      </c>
      <c r="S352" s="1" t="s">
        <v>61</v>
      </c>
      <c r="T352" s="1" t="s">
        <v>91</v>
      </c>
      <c r="V352" s="1" t="s">
        <v>61</v>
      </c>
      <c r="W352" s="1" t="s">
        <v>61</v>
      </c>
      <c r="X352" s="1" t="s">
        <v>61</v>
      </c>
      <c r="Y352" s="1" t="s">
        <v>136</v>
      </c>
      <c r="Z352" s="1" t="s">
        <v>958</v>
      </c>
      <c r="AA352" s="1" t="s">
        <v>959</v>
      </c>
      <c r="AB352" s="1" t="s">
        <v>960</v>
      </c>
      <c r="AC352" s="5" t="str">
        <f ca="1">IFERROR(__xludf.DUMMYFUNCTION("IF(Y352 = """", """", GOOGLETRANSLATE(Y352, ""en"", ""hi""))
"),"तनाव महसूस करना")</f>
        <v>तनाव महसूस करना</v>
      </c>
      <c r="AD352" s="5" t="str">
        <f ca="1">IFERROR(__xludf.DUMMYFUNCTION("IF(Z352 = """", """", GOOGLETRANSLATE(Z352, ""en"", ""hi""))"),"दिन शांति से बिताएँ")</f>
        <v>दिन शांति से बिताएँ</v>
      </c>
      <c r="AE352" s="5" t="str">
        <f ca="1">IFERROR(__xludf.DUMMYFUNCTION("IF(AA352 = """", """", GOOGLETRANSLATE(AA352, ""en"", ""hi""))"),"कोई संतुष्टि नहीं")</f>
        <v>कोई संतुष्टि नहीं</v>
      </c>
      <c r="AF352" s="5" t="str">
        <f ca="1">IFERROR(__xludf.DUMMYFUNCTION("IF(AB352 = """", """", GOOGLETRANSLATE(AB352, ""en"", ""hi""))"),"परिवार और दोस्तों के साथ सावधान रहें, कुछ लोग आपको उकसाने की कोशिश कर सकते हैं")</f>
        <v>परिवार और दोस्तों के साथ सावधान रहें, कुछ लोग आपको उकसाने की कोशिश कर सकते हैं</v>
      </c>
      <c r="AG352" s="5" t="str">
        <f ca="1">IFERROR(__xludf.DUMMYFUNCTION("IF(Y352 = """", """", GOOGLETRANSLATE(Y352, ""en"", ""mr""))"),"तणाव जाणवणे")</f>
        <v>तणाव जाणवणे</v>
      </c>
      <c r="AH352" s="5" t="str">
        <f ca="1">IFERROR(__xludf.DUMMYFUNCTION("IF(Z352 = """", """", GOOGLETRANSLATE(Z352, ""en"", ""mr""))"),"दिवस शांततेत घालवा")</f>
        <v>दिवस शांततेत घालवा</v>
      </c>
      <c r="AI352" s="5" t="str">
        <f ca="1">IFERROR(__xludf.DUMMYFUNCTION("IF(AA352 = """", """", GOOGLETRANSLATE(AA352, ""en"", ""mr""))"),"समाधान नाही")</f>
        <v>समाधान नाही</v>
      </c>
      <c r="AJ352" s="5" t="str">
        <f ca="1">IFERROR(__xludf.DUMMYFUNCTION("IF(AB352 = """", """", GOOGLETRANSLATE(AB352, ""en"", ""mr""))"),"कुटुंब आणि मित्रांसोबत सावधगिरी बाळगा काहीजण तुम्हाला चिथावणी देण्याचा प्रयत्न करू शकतात")</f>
        <v>कुटुंब आणि मित्रांसोबत सावधगिरी बाळगा काहीजण तुम्हाला चिथावणी देण्याचा प्रयत्न करू शकतात</v>
      </c>
      <c r="AK352" s="5" t="str">
        <f ca="1">IFERROR(__xludf.DUMMYFUNCTION("IF(Y352 = """", """", GOOGLETRANSLATE(Y352, ""en"", ""gu""))"),"તણાવ અનુભવો")</f>
        <v>તણાવ અનુભવો</v>
      </c>
      <c r="AL352" s="5" t="str">
        <f ca="1">IFERROR(__xludf.DUMMYFUNCTION("IF(Z352 = """", """", GOOGLETRANSLATE(Z352, ""en"", ""gu""))"),"દિવસ શાંતિથી પસાર કરો")</f>
        <v>દિવસ શાંતિથી પસાર કરો</v>
      </c>
      <c r="AM352" s="5" t="str">
        <f ca="1">IFERROR(__xludf.DUMMYFUNCTION("IF(AA352 = """", """", GOOGLETRANSLATE(AA352, ""en"", ""gu""))"),"કોઈ સંતોષ નથી")</f>
        <v>કોઈ સંતોષ નથી</v>
      </c>
      <c r="AN352" s="5" t="str">
        <f ca="1">IFERROR(__xludf.DUMMYFUNCTION("IF(AB352 = """", """", GOOGLETRANSLATE(AB352, ""en"", ""gu""))"),"પરિવાર અને મિત્રો સાથે સાવધાની રાખો કેટલાક તમને ઉશ્કેરવાનો પ્રયાસ કરી શકે છે")</f>
        <v>પરિવાર અને મિત્રો સાથે સાવધાની રાખો કેટલાક તમને ઉશ્કેરવાનો પ્રયાસ કરી શકે છે</v>
      </c>
      <c r="AO352" s="5" t="str">
        <f ca="1">IFERROR(__xludf.DUMMYFUNCTION("IF(Y352 = """", """", GOOGLETRANSLATE(Y352, ""en"", ""bn""))"),"চাপ অনুভব করা")</f>
        <v>চাপ অনুভব করা</v>
      </c>
      <c r="AP352" s="5" t="str">
        <f ca="1">IFERROR(__xludf.DUMMYFUNCTION("IF(Z352 = """", """", GOOGLETRANSLATE(Z352, ""en"", ""bn""))"),"শান্তভাবে দিন কাটান")</f>
        <v>শান্তভাবে দিন কাটান</v>
      </c>
      <c r="AQ352" s="5" t="str">
        <f ca="1">IFERROR(__xludf.DUMMYFUNCTION("IF(AA352 = """", """", GOOGLETRANSLATE(AA352, ""en"", ""bn""))"),"কোন সন্তুষ্টি")</f>
        <v>কোন সন্তুষ্টি</v>
      </c>
      <c r="AR352" s="5" t="str">
        <f ca="1">IFERROR(__xludf.DUMMYFUNCTION("IF(AB352 = """", """", GOOGLETRANSLATE(AB352, ""en"", ""bn""))"),"পরিবার এবং বন্ধুদের সাথে সতর্ক থাকুন কেউ কেউ আপনাকে উত্তেজিত করার চেষ্টা করতে পারে")</f>
        <v>পরিবার এবং বন্ধুদের সাথে সতর্ক থাকুন কেউ কেউ আপনাকে উত্তেজিত করার চেষ্টা করতে পারে</v>
      </c>
      <c r="AS352" s="1" t="s">
        <v>62</v>
      </c>
      <c r="AT352" s="1" t="s">
        <v>94</v>
      </c>
      <c r="AU352" s="5" t="str">
        <f ca="1">IFERROR(__xludf.DUMMYFUNCTION("IF(Y352 = """", """", GOOGLETRANSLATE(Y352, ""en"", ""te""))"),"ఒత్తిడిని అనుభవిస్తారు")</f>
        <v>ఒత్తిడిని అనుభవిస్తారు</v>
      </c>
      <c r="AV352" s="5" t="str">
        <f ca="1">IFERROR(__xludf.DUMMYFUNCTION("IF(Z352 = """", """", GOOGLETRANSLATE(Z352, ""en"", ""te""))"),"ప్రశాంతంగా రోజంతా గడుపుతారు")</f>
        <v>ప్రశాంతంగా రోజంతా గడుపుతారు</v>
      </c>
      <c r="AW352" s="5" t="str">
        <f ca="1">IFERROR(__xludf.DUMMYFUNCTION("IF(AA352 = """", """", GOOGLETRANSLATE(AA352, ""en"", ""te""))"),"సంతృప్తి లేదు")</f>
        <v>సంతృప్తి లేదు</v>
      </c>
      <c r="AX352" s="5" t="str">
        <f ca="1">IFERROR(__xludf.DUMMYFUNCTION("IF(AB352 = """", """", GOOGLETRANSLATE(AB352, ""en"", ""te""))"),"కుటుంబం మరియు స్నేహితులతో జాగ్రత్తగా ఉండండి కొందరు మిమ్మల్ని రెచ్చగొట్టడానికి ప్రయత్నించవచ్చు")</f>
        <v>కుటుంబం మరియు స్నేహితులతో జాగ్రత్తగా ఉండండి కొందరు మిమ్మల్ని రెచ్చగొట్టడానికి ప్రయత్నించవచ్చు</v>
      </c>
    </row>
    <row r="353" spans="1:50" x14ac:dyDescent="0.25">
      <c r="A353" s="1">
        <v>31</v>
      </c>
      <c r="B353" s="1" t="s">
        <v>56</v>
      </c>
      <c r="C353" s="6">
        <v>45824</v>
      </c>
      <c r="D353" s="6">
        <v>45824</v>
      </c>
      <c r="E353" s="1">
        <v>3</v>
      </c>
      <c r="F353" s="1">
        <v>1</v>
      </c>
      <c r="G353" s="3" t="s">
        <v>138</v>
      </c>
      <c r="H353" s="4">
        <v>9.2824074074074076E-3</v>
      </c>
      <c r="I353" s="7" t="s">
        <v>146</v>
      </c>
      <c r="J353" s="7" t="s">
        <v>150</v>
      </c>
      <c r="K353" s="1" t="s">
        <v>58</v>
      </c>
      <c r="L353" s="1" t="s">
        <v>97</v>
      </c>
      <c r="M353" s="1" t="s">
        <v>19</v>
      </c>
      <c r="O353" s="1" t="s">
        <v>61</v>
      </c>
      <c r="P353" s="1" t="s">
        <v>61</v>
      </c>
      <c r="Q353" s="1" t="s">
        <v>61</v>
      </c>
      <c r="R353" s="1" t="s">
        <v>61</v>
      </c>
      <c r="S353" s="1" t="s">
        <v>61</v>
      </c>
      <c r="T353" s="1" t="s">
        <v>91</v>
      </c>
      <c r="V353" s="1" t="s">
        <v>61</v>
      </c>
      <c r="W353" s="1" t="s">
        <v>61</v>
      </c>
      <c r="X353" s="1" t="s">
        <v>61</v>
      </c>
      <c r="Y353" s="1" t="s">
        <v>961</v>
      </c>
      <c r="Z353" s="1" t="s">
        <v>962</v>
      </c>
      <c r="AA353" s="1" t="s">
        <v>963</v>
      </c>
      <c r="AB353" s="1"/>
      <c r="AC353" s="5" t="str">
        <f ca="1">IFERROR(__xludf.DUMMYFUNCTION("IF(Y353 = """", """", GOOGLETRANSLATE(Y353, ""en"", ""hi""))
"),"राहु का मायावी प्रभाव")</f>
        <v>राहु का मायावी प्रभाव</v>
      </c>
      <c r="AD353" s="5" t="str">
        <f ca="1">IFERROR(__xludf.DUMMYFUNCTION("IF(Z353 = """", """", GOOGLETRANSLATE(Z353, ""en"", ""hi""))"),"स्वास्थ्य समस्याएं")</f>
        <v>स्वास्थ्य समस्याएं</v>
      </c>
      <c r="AE353" s="5" t="str">
        <f ca="1">IFERROR(__xludf.DUMMYFUNCTION("IF(AA353 = """", """", GOOGLETRANSLATE(AA353, ""en"", ""hi""))"),"आत्म-ध्यान का सुझाव दिया गया")</f>
        <v>आत्म-ध्यान का सुझाव दिया गया</v>
      </c>
      <c r="AF353" s="5" t="str">
        <f ca="1">IFERROR(__xludf.DUMMYFUNCTION("IF(AB353 = """", """", GOOGLETRANSLATE(AB353, ""en"", ""hi""))"),"")</f>
        <v/>
      </c>
      <c r="AG353" s="5" t="str">
        <f ca="1">IFERROR(__xludf.DUMMYFUNCTION("IF(Y353 = """", """", GOOGLETRANSLATE(Y353, ""en"", ""mr""))"),"राहूचा भ्रामक प्रभाव")</f>
        <v>राहूचा भ्रामक प्रभाव</v>
      </c>
      <c r="AH353" s="5" t="str">
        <f ca="1">IFERROR(__xludf.DUMMYFUNCTION("IF(Z353 = """", """", GOOGLETRANSLATE(Z353, ""en"", ""mr""))"),"आरोग्याच्या समस्या")</f>
        <v>आरोग्याच्या समस्या</v>
      </c>
      <c r="AI353" s="5" t="str">
        <f ca="1">IFERROR(__xludf.DUMMYFUNCTION("IF(AA353 = """", """", GOOGLETRANSLATE(AA353, ""en"", ""mr""))"),"आत्मचिंतन सुचवले")</f>
        <v>आत्मचिंतन सुचवले</v>
      </c>
      <c r="AJ353" s="5" t="str">
        <f ca="1">IFERROR(__xludf.DUMMYFUNCTION("IF(AB353 = """", """", GOOGLETRANSLATE(AB353, ""en"", ""mr""))"),"")</f>
        <v/>
      </c>
      <c r="AK353" s="5" t="str">
        <f ca="1">IFERROR(__xludf.DUMMYFUNCTION("IF(Y353 = """", """", GOOGLETRANSLATE(Y353, ""en"", ""gu""))"),"રાહુની ભ્રામક અસર")</f>
        <v>રાહુની ભ્રામક અસર</v>
      </c>
      <c r="AL353" s="5" t="str">
        <f ca="1">IFERROR(__xludf.DUMMYFUNCTION("IF(Z353 = """", """", GOOGLETRANSLATE(Z353, ""en"", ""gu""))"),"સ્વાસ્થ્ય સમસ્યાઓ")</f>
        <v>સ્વાસ્થ્ય સમસ્યાઓ</v>
      </c>
      <c r="AM353" s="5" t="str">
        <f ca="1">IFERROR(__xludf.DUMMYFUNCTION("IF(AA353 = """", """", GOOGLETRANSLATE(AA353, ""en"", ""gu""))"),"સ્વ-ધ્યાન સૂચવ્યું")</f>
        <v>સ્વ-ધ્યાન સૂચવ્યું</v>
      </c>
      <c r="AN353" s="5" t="str">
        <f ca="1">IFERROR(__xludf.DUMMYFUNCTION("IF(AB353 = """", """", GOOGLETRANSLATE(AB353, ""en"", ""gu""))"),"")</f>
        <v/>
      </c>
      <c r="AO353" s="5" t="str">
        <f ca="1">IFERROR(__xludf.DUMMYFUNCTION("IF(Y353 = """", """", GOOGLETRANSLATE(Y353, ""en"", ""bn""))"),"রাহুর অলীক প্রভাব")</f>
        <v>রাহুর অলীক প্রভাব</v>
      </c>
      <c r="AP353" s="5" t="str">
        <f ca="1">IFERROR(__xludf.DUMMYFUNCTION("IF(Z353 = """", """", GOOGLETRANSLATE(Z353, ""en"", ""bn""))"),"স্বাস্থ্য সমস্যা")</f>
        <v>স্বাস্থ্য সমস্যা</v>
      </c>
      <c r="AQ353" s="5" t="str">
        <f ca="1">IFERROR(__xludf.DUMMYFUNCTION("IF(AA353 = """", """", GOOGLETRANSLATE(AA353, ""en"", ""bn""))"),"স্ব-ধ্যান প্রস্তাবিত")</f>
        <v>স্ব-ধ্যান প্রস্তাবিত</v>
      </c>
      <c r="AR353" s="5" t="str">
        <f ca="1">IFERROR(__xludf.DUMMYFUNCTION("IF(AB353 = """", """", GOOGLETRANSLATE(AB353, ""en"", ""bn""))"),"")</f>
        <v/>
      </c>
      <c r="AS353" s="1" t="s">
        <v>62</v>
      </c>
      <c r="AT353" s="1" t="s">
        <v>94</v>
      </c>
      <c r="AU353" s="5" t="str">
        <f ca="1">IFERROR(__xludf.DUMMYFUNCTION("IF(Y353 = """", """", GOOGLETRANSLATE(Y353, ""en"", ""te""))"),"రాహువు యొక్క భ్రమ ప్రభావం")</f>
        <v>రాహువు యొక్క భ్రమ ప్రభావం</v>
      </c>
      <c r="AV353" s="5" t="str">
        <f ca="1">IFERROR(__xludf.DUMMYFUNCTION("IF(Z353 = """", """", GOOGLETRANSLATE(Z353, ""en"", ""te""))"),"ఆరోగ్య సమస్యలు")</f>
        <v>ఆరోగ్య సమస్యలు</v>
      </c>
      <c r="AW353" s="5" t="str">
        <f ca="1">IFERROR(__xludf.DUMMYFUNCTION("IF(AA353 = """", """", GOOGLETRANSLATE(AA353, ""en"", ""te""))"),"స్వీయ ధ్యానం చేయాలని సూచించారు")</f>
        <v>స్వీయ ధ్యానం చేయాలని సూచించారు</v>
      </c>
      <c r="AX353" s="5" t="str">
        <f ca="1">IFERROR(__xludf.DUMMYFUNCTION("IF(AB353 = """", """", GOOGLETRANSLATE(AB353, ""en"", ""te""))"),"")</f>
        <v/>
      </c>
    </row>
    <row r="354" spans="1:50" x14ac:dyDescent="0.25">
      <c r="A354" s="1">
        <v>35</v>
      </c>
      <c r="B354" s="1" t="s">
        <v>56</v>
      </c>
      <c r="C354" s="6">
        <v>45824</v>
      </c>
      <c r="D354" s="6">
        <v>45824</v>
      </c>
      <c r="E354" s="1">
        <v>7</v>
      </c>
      <c r="F354" s="1">
        <v>1</v>
      </c>
      <c r="G354" s="3" t="s">
        <v>138</v>
      </c>
      <c r="H354" s="4">
        <v>9.2824074074074076E-3</v>
      </c>
      <c r="I354" s="7" t="s">
        <v>166</v>
      </c>
      <c r="J354" s="7" t="s">
        <v>174</v>
      </c>
      <c r="K354" s="1" t="s">
        <v>58</v>
      </c>
      <c r="L354" s="1" t="s">
        <v>64</v>
      </c>
      <c r="M354" s="1" t="s">
        <v>19</v>
      </c>
      <c r="O354" s="1" t="s">
        <v>61</v>
      </c>
      <c r="P354" s="1" t="s">
        <v>61</v>
      </c>
      <c r="Q354" s="1" t="s">
        <v>61</v>
      </c>
      <c r="R354" s="1" t="s">
        <v>91</v>
      </c>
      <c r="S354" s="1" t="s">
        <v>61</v>
      </c>
      <c r="T354" s="1" t="s">
        <v>61</v>
      </c>
      <c r="V354" s="1" t="s">
        <v>61</v>
      </c>
      <c r="W354" s="1" t="s">
        <v>61</v>
      </c>
      <c r="X354" s="1" t="s">
        <v>61</v>
      </c>
      <c r="Y354" s="1" t="s">
        <v>964</v>
      </c>
      <c r="Z354" s="1" t="s">
        <v>965</v>
      </c>
      <c r="AA354" s="1" t="s">
        <v>966</v>
      </c>
      <c r="AB354" s="1" t="s">
        <v>967</v>
      </c>
      <c r="AC354" s="5" t="str">
        <f ca="1">IFERROR(__xludf.DUMMYFUNCTION("IF(Y354 = """", """", GOOGLETRANSLATE(Y354, ""en"", ""hi""))
"),"काम योजना के अनुसार नहीं हो सकता")</f>
        <v>काम योजना के अनुसार नहीं हो सकता</v>
      </c>
      <c r="AD354" s="5" t="str">
        <f ca="1">IFERROR(__xludf.DUMMYFUNCTION("IF(Z354 = """", """", GOOGLETRANSLATE(Z354, ""en"", ""hi""))"),"मधुर वाणी की आवश्यकता")</f>
        <v>मधुर वाणी की आवश्यकता</v>
      </c>
      <c r="AE354" s="5" t="str">
        <f ca="1">IFERROR(__xludf.DUMMYFUNCTION("IF(AA354 = """", """", GOOGLETRANSLATE(AA354, ""en"", ""hi""))"),"कार्यों में देरी")</f>
        <v>कार्यों में देरी</v>
      </c>
      <c r="AF354" s="5" t="str">
        <f ca="1">IFERROR(__xludf.DUMMYFUNCTION("IF(AB354 = """", """", GOOGLETRANSLATE(AB354, ""en"", ""hi""))"),"शांत रहो")</f>
        <v>शांत रहो</v>
      </c>
      <c r="AG354" s="5" t="str">
        <f ca="1">IFERROR(__xludf.DUMMYFUNCTION("IF(Y354 = """", """", GOOGLETRANSLATE(Y354, ""en"", ""mr""))"),"नियोजनानुसार काम होणार नाही")</f>
        <v>नियोजनानुसार काम होणार नाही</v>
      </c>
      <c r="AH354" s="5" t="str">
        <f ca="1">IFERROR(__xludf.DUMMYFUNCTION("IF(Z354 = """", """", GOOGLETRANSLATE(Z354, ""en"", ""mr""))"),"गोड बोलणे आवश्यक आहे")</f>
        <v>गोड बोलणे आवश्यक आहे</v>
      </c>
      <c r="AI354" s="5" t="str">
        <f ca="1">IFERROR(__xludf.DUMMYFUNCTION("IF(AA354 = """", """", GOOGLETRANSLATE(AA354, ""en"", ""mr""))"),"कामात विलंब")</f>
        <v>कामात विलंब</v>
      </c>
      <c r="AJ354" s="5" t="str">
        <f ca="1">IFERROR(__xludf.DUMMYFUNCTION("IF(AB354 = """", """", GOOGLETRANSLATE(AB354, ""en"", ""mr""))"),"शांत रहा")</f>
        <v>शांत रहा</v>
      </c>
      <c r="AK354" s="5" t="str">
        <f ca="1">IFERROR(__xludf.DUMMYFUNCTION("IF(Y354 = """", """", GOOGLETRANSLATE(Y354, ""en"", ""gu""))"),"આયોજન પ્રમાણે કામ ન થઈ શકે")</f>
        <v>આયોજન પ્રમાણે કામ ન થઈ શકે</v>
      </c>
      <c r="AL354" s="5" t="str">
        <f ca="1">IFERROR(__xludf.DUMMYFUNCTION("IF(Z354 = """", """", GOOGLETRANSLATE(Z354, ""en"", ""gu""))"),"મીઠી વાણી જરૂરી છે")</f>
        <v>મીઠી વાણી જરૂરી છે</v>
      </c>
      <c r="AM354" s="5" t="str">
        <f ca="1">IFERROR(__xludf.DUMMYFUNCTION("IF(AA354 = """", """", GOOGLETRANSLATE(AA354, ""en"", ""gu""))"),"કાર્યોમાં વિલંબ")</f>
        <v>કાર્યોમાં વિલંબ</v>
      </c>
      <c r="AN354" s="5" t="str">
        <f ca="1">IFERROR(__xludf.DUMMYFUNCTION("IF(AB354 = """", """", GOOGLETRANSLATE(AB354, ""en"", ""gu""))"),"શાંત રહો")</f>
        <v>શાંત રહો</v>
      </c>
      <c r="AO354" s="5" t="str">
        <f ca="1">IFERROR(__xludf.DUMMYFUNCTION("IF(Y354 = """", """", GOOGLETRANSLATE(Y354, ""en"", ""bn""))"),"পরিকল্পনা অনুযায়ী কাজ নাও হতে পারে")</f>
        <v>পরিকল্পনা অনুযায়ী কাজ নাও হতে পারে</v>
      </c>
      <c r="AP354" s="5" t="str">
        <f ca="1">IFERROR(__xludf.DUMMYFUNCTION("IF(Z354 = """", """", GOOGLETRANSLATE(Z354, ""en"", ""bn""))"),"মিষ্টি কথাবার্তা দরকার")</f>
        <v>মিষ্টি কথাবার্তা দরকার</v>
      </c>
      <c r="AQ354" s="5" t="str">
        <f ca="1">IFERROR(__xludf.DUMMYFUNCTION("IF(AA354 = """", """", GOOGLETRANSLATE(AA354, ""en"", ""bn""))"),"কাজে বিলম্ব")</f>
        <v>কাজে বিলম্ব</v>
      </c>
      <c r="AR354" s="5" t="str">
        <f ca="1">IFERROR(__xludf.DUMMYFUNCTION("IF(AB354 = """", """", GOOGLETRANSLATE(AB354, ""en"", ""bn""))"),"শান্ত হও")</f>
        <v>শান্ত হও</v>
      </c>
      <c r="AS354" s="1" t="s">
        <v>62</v>
      </c>
      <c r="AT354" s="1" t="s">
        <v>94</v>
      </c>
      <c r="AU354" s="5" t="str">
        <f ca="1">IFERROR(__xludf.DUMMYFUNCTION("IF(Y354 = """", """", GOOGLETRANSLATE(Y354, ""en"", ""te""))"),"అనుకున్న విధంగా పనులు జరగకపోవచ్చు")</f>
        <v>అనుకున్న విధంగా పనులు జరగకపోవచ్చు</v>
      </c>
      <c r="AV354" s="5" t="str">
        <f ca="1">IFERROR(__xludf.DUMMYFUNCTION("IF(Z354 = """", """", GOOGLETRANSLATE(Z354, ""en"", ""te""))"),"మధురమైన ప్రసంగం కావాలి")</f>
        <v>మధురమైన ప్రసంగం కావాలి</v>
      </c>
      <c r="AW354" s="5" t="str">
        <f ca="1">IFERROR(__xludf.DUMMYFUNCTION("IF(AA354 = """", """", GOOGLETRANSLATE(AA354, ""en"", ""te""))"),"పనుల్లో జాప్యం")</f>
        <v>పనుల్లో జాప్యం</v>
      </c>
      <c r="AX354" s="5" t="str">
        <f ca="1">IFERROR(__xludf.DUMMYFUNCTION("IF(AB354 = """", """", GOOGLETRANSLATE(AB354, ""en"", ""te""))"),"ప్రశాంతంగా ఉండు")</f>
        <v>ప్రశాంతంగా ఉండు</v>
      </c>
    </row>
    <row r="355" spans="1:50" x14ac:dyDescent="0.25">
      <c r="A355" s="1">
        <v>37</v>
      </c>
      <c r="B355" s="1" t="s">
        <v>56</v>
      </c>
      <c r="C355" s="6">
        <v>45824</v>
      </c>
      <c r="D355" s="6">
        <v>45824</v>
      </c>
      <c r="E355" s="1">
        <v>9</v>
      </c>
      <c r="F355" s="1">
        <v>1</v>
      </c>
      <c r="G355" s="3" t="s">
        <v>138</v>
      </c>
      <c r="H355" s="4">
        <v>9.2824074074074076E-3</v>
      </c>
      <c r="I355" s="7" t="s">
        <v>175</v>
      </c>
      <c r="J355" s="7" t="s">
        <v>179</v>
      </c>
      <c r="K355" s="1" t="s">
        <v>58</v>
      </c>
      <c r="L355" s="1" t="s">
        <v>72</v>
      </c>
      <c r="M355" s="1" t="s">
        <v>14</v>
      </c>
      <c r="O355" s="1" t="s">
        <v>61</v>
      </c>
      <c r="P355" s="1" t="s">
        <v>61</v>
      </c>
      <c r="Q355" s="1" t="s">
        <v>91</v>
      </c>
      <c r="R355" s="1" t="s">
        <v>61</v>
      </c>
      <c r="S355" s="1" t="s">
        <v>61</v>
      </c>
      <c r="T355" s="1" t="s">
        <v>61</v>
      </c>
      <c r="V355" s="1" t="s">
        <v>61</v>
      </c>
      <c r="W355" s="1" t="s">
        <v>61</v>
      </c>
      <c r="X355" s="1" t="s">
        <v>61</v>
      </c>
      <c r="Y355" s="1" t="s">
        <v>968</v>
      </c>
      <c r="Z355" s="1" t="s">
        <v>969</v>
      </c>
      <c r="AA355" s="1" t="s">
        <v>970</v>
      </c>
      <c r="AB355" s="1"/>
      <c r="AC355" s="5" t="str">
        <f ca="1">IFERROR(__xludf.DUMMYFUNCTION("IF(Y355 = """", """", GOOGLETRANSLATE(Y355, ""en"", ""hi""))
"),"पारिवारिक संबंधों को सुधारने का अच्छा समय")</f>
        <v>पारिवारिक संबंधों को सुधारने का अच्छा समय</v>
      </c>
      <c r="AD355" s="5" t="str">
        <f ca="1">IFERROR(__xludf.DUMMYFUNCTION("IF(Z355 = """", """", GOOGLETRANSLATE(Z355, ""en"", ""hi""))"),"स्टाफ सदस्यों की सहायता करें")</f>
        <v>स्टाफ सदस्यों की सहायता करें</v>
      </c>
      <c r="AE355" s="5" t="str">
        <f ca="1">IFERROR(__xludf.DUMMYFUNCTION("IF(AA355 = """", """", GOOGLETRANSLATE(AA355, ""en"", ""hi""))"),"उदार बने")</f>
        <v>उदार बने</v>
      </c>
      <c r="AF355" s="5" t="str">
        <f ca="1">IFERROR(__xludf.DUMMYFUNCTION("IF(AB355 = """", """", GOOGLETRANSLATE(AB355, ""en"", ""hi""))"),"")</f>
        <v/>
      </c>
      <c r="AG355" s="5" t="str">
        <f ca="1">IFERROR(__xludf.DUMMYFUNCTION("IF(Y355 = """", """", GOOGLETRANSLATE(Y355, ""en"", ""mr""))"),"कौटुंबिक संबंध सुधारण्यासाठी चांगला काळ")</f>
        <v>कौटुंबिक संबंध सुधारण्यासाठी चांगला काळ</v>
      </c>
      <c r="AH355" s="5" t="str">
        <f ca="1">IFERROR(__xludf.DUMMYFUNCTION("IF(Z355 = """", """", GOOGLETRANSLATE(Z355, ""en"", ""mr""))"),"कर्मचारी सदस्यांना मदत करा")</f>
        <v>कर्मचारी सदस्यांना मदत करा</v>
      </c>
      <c r="AI355" s="5" t="str">
        <f ca="1">IFERROR(__xludf.DUMMYFUNCTION("IF(AA355 = """", """", GOOGLETRANSLATE(AA355, ""en"", ""mr""))"),"उदार व्हा")</f>
        <v>उदार व्हा</v>
      </c>
      <c r="AJ355" s="5" t="str">
        <f ca="1">IFERROR(__xludf.DUMMYFUNCTION("IF(AB355 = """", """", GOOGLETRANSLATE(AB355, ""en"", ""mr""))"),"")</f>
        <v/>
      </c>
      <c r="AK355" s="5" t="str">
        <f ca="1">IFERROR(__xludf.DUMMYFUNCTION("IF(Y355 = """", """", GOOGLETRANSLATE(Y355, ""en"", ""gu""))"),"પારિવારિક સંબંધો સુધારવા માટે સારો સમય")</f>
        <v>પારિવારિક સંબંધો સુધારવા માટે સારો સમય</v>
      </c>
      <c r="AL355" s="5" t="str">
        <f ca="1">IFERROR(__xludf.DUMMYFUNCTION("IF(Z355 = """", """", GOOGLETRANSLATE(Z355, ""en"", ""gu""))"),"સ્ટાફ સભ્યોને મદદ કરો")</f>
        <v>સ્ટાફ સભ્યોને મદદ કરો</v>
      </c>
      <c r="AM355" s="5" t="str">
        <f ca="1">IFERROR(__xludf.DUMMYFUNCTION("IF(AA355 = """", """", GOOGLETRANSLATE(AA355, ""en"", ""gu""))"),"ઉદાર બનો")</f>
        <v>ઉદાર બનો</v>
      </c>
      <c r="AN355" s="5" t="str">
        <f ca="1">IFERROR(__xludf.DUMMYFUNCTION("IF(AB355 = """", """", GOOGLETRANSLATE(AB355, ""en"", ""gu""))"),"")</f>
        <v/>
      </c>
      <c r="AO355" s="5" t="str">
        <f ca="1">IFERROR(__xludf.DUMMYFUNCTION("IF(Y355 = """", """", GOOGLETRANSLATE(Y355, ""en"", ""bn""))"),"পারিবারিক বন্ধন মেরামতের জন্য উপযুক্ত সময়")</f>
        <v>পারিবারিক বন্ধন মেরামতের জন্য উপযুক্ত সময়</v>
      </c>
      <c r="AP355" s="5" t="str">
        <f ca="1">IFERROR(__xludf.DUMMYFUNCTION("IF(Z355 = """", """", GOOGLETRANSLATE(Z355, ""en"", ""bn""))"),"কর্মীদের সাহায্য করুন")</f>
        <v>কর্মীদের সাহায্য করুন</v>
      </c>
      <c r="AQ355" s="5" t="str">
        <f ca="1">IFERROR(__xludf.DUMMYFUNCTION("IF(AA355 = """", """", GOOGLETRANSLATE(AA355, ""en"", ""bn""))"),"উদার হও")</f>
        <v>উদার হও</v>
      </c>
      <c r="AR355" s="5" t="str">
        <f ca="1">IFERROR(__xludf.DUMMYFUNCTION("IF(AB355 = """", """", GOOGLETRANSLATE(AB355, ""en"", ""bn""))"),"")</f>
        <v/>
      </c>
      <c r="AS355" s="1" t="s">
        <v>62</v>
      </c>
      <c r="AT355" s="1" t="s">
        <v>94</v>
      </c>
      <c r="AU355" s="5" t="str">
        <f ca="1">IFERROR(__xludf.DUMMYFUNCTION("IF(Y355 = """", """", GOOGLETRANSLATE(Y355, ""en"", ""te""))"),"కుటుంబ సంబంధాలను చక్కదిద్దుకోవడానికి మంచి సమయం")</f>
        <v>కుటుంబ సంబంధాలను చక్కదిద్దుకోవడానికి మంచి సమయం</v>
      </c>
      <c r="AV355" s="5" t="str">
        <f ca="1">IFERROR(__xludf.DUMMYFUNCTION("IF(Z355 = """", """", GOOGLETRANSLATE(Z355, ""en"", ""te""))"),"సిబ్బందికి సహాయం చేయండి")</f>
        <v>సిబ్బందికి సహాయం చేయండి</v>
      </c>
      <c r="AW355" s="5" t="str">
        <f ca="1">IFERROR(__xludf.DUMMYFUNCTION("IF(AA355 = """", """", GOOGLETRANSLATE(AA355, ""en"", ""te""))"),"ఉదారంగా ఉండండి")</f>
        <v>ఉదారంగా ఉండండి</v>
      </c>
      <c r="AX355" s="5" t="str">
        <f ca="1">IFERROR(__xludf.DUMMYFUNCTION("IF(AB355 = """", """", GOOGLETRANSLATE(AB355, ""en"", ""te""))"),"")</f>
        <v/>
      </c>
    </row>
    <row r="356" spans="1:50" x14ac:dyDescent="0.25">
      <c r="A356" s="1">
        <v>46</v>
      </c>
      <c r="B356" s="1" t="s">
        <v>56</v>
      </c>
      <c r="C356" s="6">
        <v>45826</v>
      </c>
      <c r="D356" s="6">
        <v>45826</v>
      </c>
      <c r="E356" s="1">
        <v>4</v>
      </c>
      <c r="F356" s="1">
        <v>1</v>
      </c>
      <c r="G356" s="3" t="s">
        <v>191</v>
      </c>
      <c r="H356" s="4">
        <v>1.1516203703703704E-2</v>
      </c>
      <c r="I356" s="7" t="s">
        <v>202</v>
      </c>
      <c r="J356" s="7" t="s">
        <v>205</v>
      </c>
      <c r="K356" s="1" t="s">
        <v>58</v>
      </c>
      <c r="L356" s="1" t="s">
        <v>102</v>
      </c>
      <c r="M356" s="1" t="s">
        <v>19</v>
      </c>
      <c r="O356" s="1" t="s">
        <v>61</v>
      </c>
      <c r="P356" s="1" t="s">
        <v>61</v>
      </c>
      <c r="Q356" s="1" t="s">
        <v>61</v>
      </c>
      <c r="R356" s="1" t="s">
        <v>61</v>
      </c>
      <c r="S356" s="1" t="s">
        <v>61</v>
      </c>
      <c r="T356" s="1" t="s">
        <v>91</v>
      </c>
      <c r="V356" s="1" t="s">
        <v>61</v>
      </c>
      <c r="W356" s="1" t="s">
        <v>61</v>
      </c>
      <c r="X356" s="1" t="s">
        <v>61</v>
      </c>
      <c r="Y356" s="1" t="s">
        <v>971</v>
      </c>
      <c r="Z356" s="1" t="s">
        <v>972</v>
      </c>
      <c r="AA356" s="1" t="s">
        <v>162</v>
      </c>
      <c r="AB356" s="1" t="s">
        <v>973</v>
      </c>
      <c r="AC356" s="5" t="str">
        <f ca="1">IFERROR(__xludf.DUMMYFUNCTION("IF(Y356 = """", """", GOOGLETRANSLATE(Y356, ""en"", ""hi""))
"),"स्वास्थ्य संबंधी समस्याएं हो सकती हैं")</f>
        <v>स्वास्थ्य संबंधी समस्याएं हो सकती हैं</v>
      </c>
      <c r="AD356" s="5" t="str">
        <f ca="1">IFERROR(__xludf.DUMMYFUNCTION("IF(Z356 = """", """", GOOGLETRANSLATE(Z356, ""en"", ""hi""))"),"निर्णयों से बचें")</f>
        <v>निर्णयों से बचें</v>
      </c>
      <c r="AE356" s="5" t="str">
        <f ca="1">IFERROR(__xludf.DUMMYFUNCTION("IF(AA356 = """", """", GOOGLETRANSLATE(AA356, ""en"", ""hi""))"),"ध्यान से चलाएं")</f>
        <v>ध्यान से चलाएं</v>
      </c>
      <c r="AF356" s="5" t="str">
        <f ca="1">IFERROR(__xludf.DUMMYFUNCTION("IF(AB356 = """", """", GOOGLETRANSLATE(AB356, ""en"", ""hi""))"),"किसी भी धन संबंधी लेन-देन को स्थगित करें")</f>
        <v>किसी भी धन संबंधी लेन-देन को स्थगित करें</v>
      </c>
      <c r="AG356" s="5" t="str">
        <f ca="1">IFERROR(__xludf.DUMMYFUNCTION("IF(Y356 = """", """", GOOGLETRANSLATE(Y356, ""en"", ""mr""))"),"आरोग्य समस्या असू शकतात")</f>
        <v>आरोग्य समस्या असू शकतात</v>
      </c>
      <c r="AH356" s="5" t="str">
        <f ca="1">IFERROR(__xludf.DUMMYFUNCTION("IF(Z356 = """", """", GOOGLETRANSLATE(Z356, ""en"", ""mr""))"),"निर्णय टाळा")</f>
        <v>निर्णय टाळा</v>
      </c>
      <c r="AI356" s="5" t="str">
        <f ca="1">IFERROR(__xludf.DUMMYFUNCTION("IF(AA356 = """", """", GOOGLETRANSLATE(AA356, ""en"", ""mr""))"),"काळजीपूर्वक चालवा")</f>
        <v>काळजीपूर्वक चालवा</v>
      </c>
      <c r="AJ356" s="5" t="str">
        <f ca="1">IFERROR(__xludf.DUMMYFUNCTION("IF(AB356 = """", """", GOOGLETRANSLATE(AB356, ""en"", ""mr""))"),"पैशाशी संबंधित कोणतेही व्यवहार पुढे ढकलणे")</f>
        <v>पैशाशी संबंधित कोणतेही व्यवहार पुढे ढकलणे</v>
      </c>
      <c r="AK356" s="5" t="str">
        <f ca="1">IFERROR(__xludf.DUMMYFUNCTION("IF(Y356 = """", """", GOOGLETRANSLATE(Y356, ""en"", ""gu""))"),"સ્વાસ્થ્ય સમસ્યાઓ હોઈ શકે છે")</f>
        <v>સ્વાસ્થ્ય સમસ્યાઓ હોઈ શકે છે</v>
      </c>
      <c r="AL356" s="5" t="str">
        <f ca="1">IFERROR(__xludf.DUMMYFUNCTION("IF(Z356 = """", """", GOOGLETRANSLATE(Z356, ""en"", ""gu""))"),"નિર્ણયો ટાળો")</f>
        <v>નિર્ણયો ટાળો</v>
      </c>
      <c r="AM356" s="5" t="str">
        <f ca="1">IFERROR(__xludf.DUMMYFUNCTION("IF(AA356 = """", """", GOOGLETRANSLATE(AA356, ""en"", ""gu""))"),"કાળજીપૂર્વક વાહન ચલાવો")</f>
        <v>કાળજીપૂર્વક વાહન ચલાવો</v>
      </c>
      <c r="AN356" s="5" t="str">
        <f ca="1">IFERROR(__xludf.DUMMYFUNCTION("IF(AB356 = """", """", GOOGLETRANSLATE(AB356, ""en"", ""gu""))"),"પૈસા સંબંધિત કોઈપણ વ્યવહારો મુલતવી રાખો")</f>
        <v>પૈસા સંબંધિત કોઈપણ વ્યવહારો મુલતવી રાખો</v>
      </c>
      <c r="AO356" s="5" t="str">
        <f ca="1">IFERROR(__xludf.DUMMYFUNCTION("IF(Y356 = """", """", GOOGLETRANSLATE(Y356, ""en"", ""bn""))"),"স্বাস্থ্য সমস্যা হতে পারে")</f>
        <v>স্বাস্থ্য সমস্যা হতে পারে</v>
      </c>
      <c r="AP356" s="5" t="str">
        <f ca="1">IFERROR(__xludf.DUMMYFUNCTION("IF(Z356 = """", """", GOOGLETRANSLATE(Z356, ""en"", ""bn""))"),"সিদ্ধান্ত এড়িয়ে চলুন")</f>
        <v>সিদ্ধান্ত এড়িয়ে চলুন</v>
      </c>
      <c r="AQ356" s="5" t="str">
        <f ca="1">IFERROR(__xludf.DUMMYFUNCTION("IF(AA356 = """", """", GOOGLETRANSLATE(AA356, ""en"", ""bn""))"),"সাবধানে চালান")</f>
        <v>সাবধানে চালান</v>
      </c>
      <c r="AR356" s="5" t="str">
        <f ca="1">IFERROR(__xludf.DUMMYFUNCTION("IF(AB356 = """", """", GOOGLETRANSLATE(AB356, ""en"", ""bn""))"),"অর্থ সংক্রান্ত কোনো লেনদেন স্থগিত করুন")</f>
        <v>অর্থ সংক্রান্ত কোনো লেনদেন স্থগিত করুন</v>
      </c>
      <c r="AS356" s="1" t="s">
        <v>62</v>
      </c>
      <c r="AT356" s="1" t="s">
        <v>94</v>
      </c>
      <c r="AU356" s="5" t="str">
        <f ca="1">IFERROR(__xludf.DUMMYFUNCTION("IF(Y356 = """", """", GOOGLETRANSLATE(Y356, ""en"", ""te""))"),"ఆరోగ్య సమస్యలు కావచ్చు")</f>
        <v>ఆరోగ్య సమస్యలు కావచ్చు</v>
      </c>
      <c r="AV356" s="5" t="str">
        <f ca="1">IFERROR(__xludf.DUMMYFUNCTION("IF(Z356 = """", """", GOOGLETRANSLATE(Z356, ""en"", ""te""))"),"నిర్ణయాలను నివారించండి")</f>
        <v>నిర్ణయాలను నివారించండి</v>
      </c>
      <c r="AW356" s="5" t="str">
        <f ca="1">IFERROR(__xludf.DUMMYFUNCTION("IF(AA356 = """", """", GOOGLETRANSLATE(AA356, ""en"", ""te""))"),"జాగ్రత్తగా డ్రైవ్ చేయండి")</f>
        <v>జాగ్రత్తగా డ్రైవ్ చేయండి</v>
      </c>
      <c r="AX356" s="5" t="str">
        <f ca="1">IFERROR(__xludf.DUMMYFUNCTION("IF(AB356 = """", """", GOOGLETRANSLATE(AB356, ""en"", ""te""))"),"ఏదైనా డబ్బు సంబంధిత లావాదేవీలను వాయిదా వేయండి")</f>
        <v>ఏదైనా డబ్బు సంబంధిత లావాదేవీలను వాయిదా వేయండి</v>
      </c>
    </row>
    <row r="357" spans="1:50" x14ac:dyDescent="0.25">
      <c r="A357" s="1">
        <v>57</v>
      </c>
      <c r="B357" s="1" t="s">
        <v>56</v>
      </c>
      <c r="C357" s="8">
        <v>45827</v>
      </c>
      <c r="D357" s="8">
        <v>45827</v>
      </c>
      <c r="E357" s="1">
        <v>1</v>
      </c>
      <c r="F357" s="1">
        <v>1</v>
      </c>
      <c r="G357" s="3" t="s">
        <v>226</v>
      </c>
      <c r="H357" s="4">
        <v>1.1759259259259259E-2</v>
      </c>
      <c r="I357" s="7" t="s">
        <v>974</v>
      </c>
      <c r="J357" s="7" t="s">
        <v>975</v>
      </c>
      <c r="K357" s="1" t="s">
        <v>58</v>
      </c>
      <c r="L357" s="1" t="s">
        <v>142</v>
      </c>
      <c r="M357" s="1" t="s">
        <v>19</v>
      </c>
      <c r="O357" s="1" t="s">
        <v>61</v>
      </c>
      <c r="P357" s="1" t="s">
        <v>61</v>
      </c>
      <c r="Q357" s="1" t="s">
        <v>61</v>
      </c>
      <c r="R357" s="1" t="s">
        <v>61</v>
      </c>
      <c r="S357" s="1" t="s">
        <v>61</v>
      </c>
      <c r="T357" s="1" t="s">
        <v>61</v>
      </c>
      <c r="V357" s="1" t="s">
        <v>61</v>
      </c>
      <c r="W357" s="1" t="s">
        <v>61</v>
      </c>
      <c r="X357" s="1" t="s">
        <v>61</v>
      </c>
      <c r="Y357" s="1" t="s">
        <v>976</v>
      </c>
      <c r="Z357" s="1" t="s">
        <v>977</v>
      </c>
      <c r="AA357" s="1" t="s">
        <v>978</v>
      </c>
      <c r="AB357" s="1" t="s">
        <v>979</v>
      </c>
      <c r="AC357" s="5" t="str">
        <f ca="1">IFERROR(__xludf.DUMMYFUNCTION("IF(Y357 = """", """", GOOGLETRANSLATE(Y357, ""en"", ""hi""))
"),"जोखिम भरा समय; बहस और संघर्ष से बचें।")</f>
        <v>जोखिम भरा समय; बहस और संघर्ष से बचें।</v>
      </c>
      <c r="AD357" s="5" t="str">
        <f ca="1">IFERROR(__xludf.DUMMYFUNCTION("IF(Z357 = """", """", GOOGLETRANSLATE(Z357, ""en"", ""hi""))"),"जोखिम भरे निर्णय और यात्रा से बचें।")</f>
        <v>जोखिम भरे निर्णय और यात्रा से बचें।</v>
      </c>
      <c r="AE357" s="5" t="str">
        <f ca="1">IFERROR(__xludf.DUMMYFUNCTION("IF(AA357 = """", """", GOOGLETRANSLATE(AA357, ""en"", ""hi""))"),"स्वास्थ्य संबंधी सावधानियाँ आवश्यक हैं।")</f>
        <v>स्वास्थ्य संबंधी सावधानियाँ आवश्यक हैं।</v>
      </c>
      <c r="AF357" s="5" t="str">
        <f ca="1">IFERROR(__xludf.DUMMYFUNCTION("IF(AB357 = """", """", GOOGLETRANSLATE(AB357, ""en"", ""hi""))"),"केतु+मंगल=पिशाच योग""प्रभाव।""")</f>
        <v>केतु+मंगल=पिशाच योग"प्रभाव।"</v>
      </c>
      <c r="AG357" s="5" t="str">
        <f ca="1">IFERROR(__xludf.DUMMYFUNCTION("IF(Y357 = """", """", GOOGLETRANSLATE(Y357, ""en"", ""mr""))"),"धोकादायक कालावधी; वाद आणि संघर्ष टाळा.")</f>
        <v>धोकादायक कालावधी; वाद आणि संघर्ष टाळा.</v>
      </c>
      <c r="AH357" s="5" t="str">
        <f ca="1">IFERROR(__xludf.DUMMYFUNCTION("IF(Z357 = """", """", GOOGLETRANSLATE(Z357, ""en"", ""mr""))"),"धोकादायक निर्णय आणि प्रवास टाळा.")</f>
        <v>धोकादायक निर्णय आणि प्रवास टाळा.</v>
      </c>
      <c r="AI357" s="5" t="str">
        <f ca="1">IFERROR(__xludf.DUMMYFUNCTION("IF(AA357 = """", """", GOOGLETRANSLATE(AA357, ""en"", ""mr""))"),"आरोग्यविषयक खबरदारी आवश्यक.")</f>
        <v>आरोग्यविषयक खबरदारी आवश्यक.</v>
      </c>
      <c r="AJ357" s="5" t="str">
        <f ca="1">IFERROR(__xludf.DUMMYFUNCTION("IF(AB357 = """", """", GOOGLETRANSLATE(AB357, ""en"", ""mr""))"),"केतू + मंगळ = 'पिशाच योग'"" प्रभाव.""")</f>
        <v>केतू + मंगळ = 'पिशाच योग'" प्रभाव."</v>
      </c>
      <c r="AK357" s="5" t="str">
        <f ca="1">IFERROR(__xludf.DUMMYFUNCTION("IF(Y357 = """", """", GOOGLETRANSLATE(Y357, ""en"", ""gu""))"),"જોખમી સમયગાળો; દલીલો અને તકરાર ટાળો.")</f>
        <v>જોખમી સમયગાળો; દલીલો અને તકરાર ટાળો.</v>
      </c>
      <c r="AL357" s="5" t="str">
        <f ca="1">IFERROR(__xludf.DUMMYFUNCTION("IF(Z357 = """", """", GOOGLETRANSLATE(Z357, ""en"", ""gu""))"),"જોખમી નિર્ણયો અને મુસાફરી ટાળો.")</f>
        <v>જોખમી નિર્ણયો અને મુસાફરી ટાળો.</v>
      </c>
      <c r="AM357" s="5" t="str">
        <f ca="1">IFERROR(__xludf.DUMMYFUNCTION("IF(AA357 = """", """", GOOGLETRANSLATE(AA357, ""en"", ""gu""))"),"સ્વાસ્થ્ય સંબંધિત સાવચેતીઓ જરૂરી છે.")</f>
        <v>સ્વાસ્થ્ય સંબંધિત સાવચેતીઓ જરૂરી છે.</v>
      </c>
      <c r="AN357" s="5" t="str">
        <f ca="1">IFERROR(__xludf.DUMMYFUNCTION("IF(AB357 = """", """", GOOGLETRANSLATE(AB357, ""en"", ""gu""))"),"કેતુ + મંગળ = 'પિશાચ યોગ'"" અસર.""")</f>
        <v>કેતુ + મંગળ = 'પિશાચ યોગ'" અસર."</v>
      </c>
      <c r="AO357" s="5" t="str">
        <f ca="1">IFERROR(__xludf.DUMMYFUNCTION("IF(Y357 = """", """", GOOGLETRANSLATE(Y357, ""en"", ""bn""))"),"ঝুঁকিপূর্ণ সময়কাল; তর্ক এবং দ্বন্দ্ব এড়িয়ে চলুন।")</f>
        <v>ঝুঁকিপূর্ণ সময়কাল; তর্ক এবং দ্বন্দ্ব এড়িয়ে চলুন।</v>
      </c>
      <c r="AP357" s="5" t="str">
        <f ca="1">IFERROR(__xludf.DUMMYFUNCTION("IF(Z357 = """", """", GOOGLETRANSLATE(Z357, ""en"", ""bn""))"),"ঝুঁকিপূর্ণ সিদ্ধান্ত এবং ভ্রমণ এড়িয়ে চলুন।")</f>
        <v>ঝুঁকিপূর্ণ সিদ্ধান্ত এবং ভ্রমণ এড়িয়ে চলুন।</v>
      </c>
      <c r="AQ357" s="5" t="str">
        <f ca="1">IFERROR(__xludf.DUMMYFUNCTION("IF(AA357 = """", """", GOOGLETRANSLATE(AA357, ""en"", ""bn""))"),"স্বাস্থ্য সতর্কতা প্রয়োজন.")</f>
        <v>স্বাস্থ্য সতর্কতা প্রয়োজন.</v>
      </c>
      <c r="AR357" s="5" t="str">
        <f ca="1">IFERROR(__xludf.DUMMYFUNCTION("IF(AB357 = """", """", GOOGLETRANSLATE(AB357, ""en"", ""bn""))"),"কেতু + মঙ্গল = 'পিশাচ যোগ'"" প্রভাব।""")</f>
        <v>কেতু + মঙ্গল = 'পিশাচ যোগ'" প্রভাব।"</v>
      </c>
      <c r="AS357" s="1" t="s">
        <v>62</v>
      </c>
      <c r="AT357" s="1" t="s">
        <v>94</v>
      </c>
      <c r="AU357" s="5" t="str">
        <f ca="1">IFERROR(__xludf.DUMMYFUNCTION("IF(Y357 = """", """", GOOGLETRANSLATE(Y357, ""en"", ""te""))"),"ప్రమాదకర కాలం; వాదనలు మరియు వివాదాలను నివారించండి.")</f>
        <v>ప్రమాదకర కాలం; వాదనలు మరియు వివాదాలను నివారించండి.</v>
      </c>
      <c r="AV357" s="5" t="str">
        <f ca="1">IFERROR(__xludf.DUMMYFUNCTION("IF(Z357 = """", """", GOOGLETRANSLATE(Z357, ""en"", ""te""))"),"ప్రమాదకర నిర్ణయాలు మరియు ప్రయాణాలకు దూరంగా ఉండండి.")</f>
        <v>ప్రమాదకర నిర్ణయాలు మరియు ప్రయాణాలకు దూరంగా ఉండండి.</v>
      </c>
      <c r="AW357" s="5" t="str">
        <f ca="1">IFERROR(__xludf.DUMMYFUNCTION("IF(AA357 = """", """", GOOGLETRANSLATE(AA357, ""en"", ""te""))"),"ఆరోగ్య జాగ్రత్తలు అవసరం.")</f>
        <v>ఆరోగ్య జాగ్రత్తలు అవసరం.</v>
      </c>
      <c r="AX357" s="5" t="str">
        <f ca="1">IFERROR(__xludf.DUMMYFUNCTION("IF(AB357 = """", """", GOOGLETRANSLATE(AB357, ""en"", ""te""))"),"కేతు + కుజుడు = 'పిశాచ యోగం'"" ప్రభావం.""")</f>
        <v>కేతు + కుజుడు = 'పిశాచ యోగం'" ప్రభావం."</v>
      </c>
    </row>
    <row r="358" spans="1:50" x14ac:dyDescent="0.25">
      <c r="A358" s="1">
        <v>54</v>
      </c>
      <c r="B358" s="1" t="s">
        <v>56</v>
      </c>
      <c r="C358" s="6">
        <v>45826</v>
      </c>
      <c r="D358" s="6">
        <v>45826</v>
      </c>
      <c r="E358" s="1">
        <v>12</v>
      </c>
      <c r="F358" s="1">
        <v>1</v>
      </c>
      <c r="G358" s="3" t="s">
        <v>191</v>
      </c>
      <c r="H358" s="4">
        <v>1.1516203703703704E-2</v>
      </c>
      <c r="I358" s="4">
        <v>8.6805555555555559E-3</v>
      </c>
      <c r="J358" s="4">
        <v>9.0277777777777769E-3</v>
      </c>
      <c r="K358" s="1" t="s">
        <v>58</v>
      </c>
      <c r="L358" s="1" t="s">
        <v>81</v>
      </c>
      <c r="M358" s="1" t="s">
        <v>19</v>
      </c>
      <c r="O358" s="1" t="s">
        <v>61</v>
      </c>
      <c r="P358" s="1" t="s">
        <v>61</v>
      </c>
      <c r="Q358" s="1" t="s">
        <v>61</v>
      </c>
      <c r="R358" s="1" t="s">
        <v>61</v>
      </c>
      <c r="S358" s="1" t="s">
        <v>61</v>
      </c>
      <c r="T358" s="1" t="s">
        <v>91</v>
      </c>
      <c r="V358" s="1" t="s">
        <v>61</v>
      </c>
      <c r="W358" s="1" t="s">
        <v>61</v>
      </c>
      <c r="X358" s="1" t="s">
        <v>61</v>
      </c>
      <c r="Y358" s="1" t="s">
        <v>980</v>
      </c>
      <c r="Z358" s="1" t="s">
        <v>981</v>
      </c>
      <c r="AA358" s="1" t="s">
        <v>982</v>
      </c>
      <c r="AB358" s="1"/>
      <c r="AC358" s="5" t="str">
        <f ca="1">IFERROR(__xludf.DUMMYFUNCTION("IF(Y358 = """", """", GOOGLETRANSLATE(Y358, ""en"", ""hi""))
"),"जोखिम भरे काम से बचें")</f>
        <v>जोखिम भरे काम से बचें</v>
      </c>
      <c r="AD358" s="5" t="str">
        <f ca="1">IFERROR(__xludf.DUMMYFUNCTION("IF(Z358 = """", """", GOOGLETRANSLATE(Z358, ""en"", ""hi""))"),"जोखिम भरे फैसलों से बचें")</f>
        <v>जोखिम भरे फैसलों से बचें</v>
      </c>
      <c r="AE358" s="5" t="str">
        <f ca="1">IFERROR(__xludf.DUMMYFUNCTION("IF(AA358 = """", """", GOOGLETRANSLATE(AA358, ""en"", ""hi""))"),"झगड़े और चर्चा से बचें")</f>
        <v>झगड़े और चर्चा से बचें</v>
      </c>
      <c r="AF358" s="5" t="str">
        <f ca="1">IFERROR(__xludf.DUMMYFUNCTION("IF(AB358 = """", """", GOOGLETRANSLATE(AB358, ""en"", ""hi""))"),"")</f>
        <v/>
      </c>
      <c r="AG358" s="5" t="str">
        <f ca="1">IFERROR(__xludf.DUMMYFUNCTION("IF(Y358 = """", """", GOOGLETRANSLATE(Y358, ""en"", ""mr""))"),"जोखमीचे काम टाळा")</f>
        <v>जोखमीचे काम टाळा</v>
      </c>
      <c r="AH358" s="5" t="str">
        <f ca="1">IFERROR(__xludf.DUMMYFUNCTION("IF(Z358 = """", """", GOOGLETRANSLATE(Z358, ""en"", ""mr""))"),"धोकादायक निर्णय टाळा")</f>
        <v>धोकादायक निर्णय टाळा</v>
      </c>
      <c r="AI358" s="5" t="str">
        <f ca="1">IFERROR(__xludf.DUMMYFUNCTION("IF(AA358 = """", """", GOOGLETRANSLATE(AA358, ""en"", ""mr""))"),"भांडणे आणि चर्चा टाळा")</f>
        <v>भांडणे आणि चर्चा टाळा</v>
      </c>
      <c r="AJ358" s="5" t="str">
        <f ca="1">IFERROR(__xludf.DUMMYFUNCTION("IF(AB358 = """", """", GOOGLETRANSLATE(AB358, ""en"", ""mr""))"),"")</f>
        <v/>
      </c>
      <c r="AK358" s="5" t="str">
        <f ca="1">IFERROR(__xludf.DUMMYFUNCTION("IF(Y358 = """", """", GOOGLETRANSLATE(Y358, ""en"", ""gu""))"),"જોખમી કામ ટાળો")</f>
        <v>જોખમી કામ ટાળો</v>
      </c>
      <c r="AL358" s="5" t="str">
        <f ca="1">IFERROR(__xludf.DUMMYFUNCTION("IF(Z358 = """", """", GOOGLETRANSLATE(Z358, ""en"", ""gu""))"),"જોખમી નિર્ણયો ટાળો")</f>
        <v>જોખમી નિર્ણયો ટાળો</v>
      </c>
      <c r="AM358" s="5" t="str">
        <f ca="1">IFERROR(__xludf.DUMMYFUNCTION("IF(AA358 = """", """", GOOGLETRANSLATE(AA358, ""en"", ""gu""))"),"ઝઘડો અને ચર્ચાઓ ટાળો")</f>
        <v>ઝઘડો અને ચર્ચાઓ ટાળો</v>
      </c>
      <c r="AN358" s="5" t="str">
        <f ca="1">IFERROR(__xludf.DUMMYFUNCTION("IF(AB358 = """", """", GOOGLETRANSLATE(AB358, ""en"", ""gu""))"),"")</f>
        <v/>
      </c>
      <c r="AO358" s="5" t="str">
        <f ca="1">IFERROR(__xludf.DUMMYFUNCTION("IF(Y358 = """", """", GOOGLETRANSLATE(Y358, ""en"", ""bn""))"),"ঝুঁকিপূর্ণ কাজ এড়িয়ে চলুন")</f>
        <v>ঝুঁকিপূর্ণ কাজ এড়িয়ে চলুন</v>
      </c>
      <c r="AP358" s="5" t="str">
        <f ca="1">IFERROR(__xludf.DUMMYFUNCTION("IF(Z358 = """", """", GOOGLETRANSLATE(Z358, ""en"", ""bn""))"),"ঝুঁকিপূর্ণ সিদ্ধান্ত এড়িয়ে চলুন")</f>
        <v>ঝুঁকিপূর্ণ সিদ্ধান্ত এড়িয়ে চলুন</v>
      </c>
      <c r="AQ358" s="5" t="str">
        <f ca="1">IFERROR(__xludf.DUMMYFUNCTION("IF(AA358 = """", """", GOOGLETRANSLATE(AA358, ""en"", ""bn""))"),"ঝগড়া এবং আলোচনা এড়িয়ে চলুন")</f>
        <v>ঝগড়া এবং আলোচনা এড়িয়ে চলুন</v>
      </c>
      <c r="AR358" s="5" t="str">
        <f ca="1">IFERROR(__xludf.DUMMYFUNCTION("IF(AB358 = """", """", GOOGLETRANSLATE(AB358, ""en"", ""bn""))"),"")</f>
        <v/>
      </c>
      <c r="AS358" s="1" t="s">
        <v>62</v>
      </c>
      <c r="AT358" s="1" t="s">
        <v>94</v>
      </c>
      <c r="AU358" s="5" t="str">
        <f ca="1">IFERROR(__xludf.DUMMYFUNCTION("IF(Y358 = """", """", GOOGLETRANSLATE(Y358, ""en"", ""te""))"),"ప్రమాదకర పనిని నివారించండి")</f>
        <v>ప్రమాదకర పనిని నివారించండి</v>
      </c>
      <c r="AV358" s="5" t="str">
        <f ca="1">IFERROR(__xludf.DUMMYFUNCTION("IF(Z358 = """", """", GOOGLETRANSLATE(Z358, ""en"", ""te""))"),"ప్రమాదకర నిర్ణయాలను నివారించండి")</f>
        <v>ప్రమాదకర నిర్ణయాలను నివారించండి</v>
      </c>
      <c r="AW358" s="5" t="str">
        <f ca="1">IFERROR(__xludf.DUMMYFUNCTION("IF(AA358 = """", """", GOOGLETRANSLATE(AA358, ""en"", ""te""))"),"గొడవలు మరియు చర్చలను నివారించండి")</f>
        <v>గొడవలు మరియు చర్చలను నివారించండి</v>
      </c>
      <c r="AX358" s="5" t="str">
        <f ca="1">IFERROR(__xludf.DUMMYFUNCTION("IF(AB358 = """", """", GOOGLETRANSLATE(AB358, ""en"", ""te""))"),"")</f>
        <v/>
      </c>
    </row>
    <row r="359" spans="1:50" x14ac:dyDescent="0.25">
      <c r="A359" s="1">
        <v>56</v>
      </c>
      <c r="B359" s="1" t="s">
        <v>56</v>
      </c>
      <c r="C359" s="8">
        <v>45827</v>
      </c>
      <c r="D359" s="8">
        <v>45827</v>
      </c>
      <c r="E359" s="1">
        <v>0</v>
      </c>
      <c r="F359" s="1">
        <v>1</v>
      </c>
      <c r="G359" s="3" t="s">
        <v>226</v>
      </c>
      <c r="H359" s="4">
        <v>1.1759259259259259E-2</v>
      </c>
      <c r="I359" s="7" t="s">
        <v>139</v>
      </c>
      <c r="J359" s="7" t="s">
        <v>974</v>
      </c>
      <c r="L359" s="1" t="s">
        <v>59</v>
      </c>
      <c r="O359" s="1" t="s">
        <v>61</v>
      </c>
      <c r="P359" s="1" t="s">
        <v>61</v>
      </c>
      <c r="Q359" s="1" t="s">
        <v>61</v>
      </c>
      <c r="R359" s="1" t="s">
        <v>61</v>
      </c>
      <c r="S359" s="1" t="s">
        <v>61</v>
      </c>
      <c r="T359" s="1" t="s">
        <v>61</v>
      </c>
      <c r="V359" s="1" t="s">
        <v>61</v>
      </c>
      <c r="W359" s="1" t="s">
        <v>61</v>
      </c>
      <c r="X359" s="1" t="s">
        <v>61</v>
      </c>
      <c r="AB359" s="1"/>
      <c r="AC359" s="5" t="str">
        <f ca="1">IFERROR(__xludf.DUMMYFUNCTION("IF(Y359 = """", """", GOOGLETRANSLATE(Y359, ""en"", ""hi""))
"),"")</f>
        <v/>
      </c>
      <c r="AD359" s="5" t="str">
        <f ca="1">IFERROR(__xludf.DUMMYFUNCTION("IF(Z359 = """", """", GOOGLETRANSLATE(Z359, ""en"", ""hi""))"),"")</f>
        <v/>
      </c>
      <c r="AE359" s="5" t="str">
        <f ca="1">IFERROR(__xludf.DUMMYFUNCTION("IF(AA359 = """", """", GOOGLETRANSLATE(AA359, ""en"", ""hi""))"),"")</f>
        <v/>
      </c>
      <c r="AF359" s="5" t="str">
        <f ca="1">IFERROR(__xludf.DUMMYFUNCTION("IF(AB359 = """", """", GOOGLETRANSLATE(AB359, ""en"", ""hi""))"),"")</f>
        <v/>
      </c>
      <c r="AG359" s="5" t="str">
        <f ca="1">IFERROR(__xludf.DUMMYFUNCTION("IF(Y359 = """", """", GOOGLETRANSLATE(Y359, ""en"", ""mr""))"),"")</f>
        <v/>
      </c>
      <c r="AH359" s="5" t="str">
        <f ca="1">IFERROR(__xludf.DUMMYFUNCTION("IF(Z359 = """", """", GOOGLETRANSLATE(Z359, ""en"", ""mr""))"),"")</f>
        <v/>
      </c>
      <c r="AI359" s="5" t="str">
        <f ca="1">IFERROR(__xludf.DUMMYFUNCTION("IF(AA359 = """", """", GOOGLETRANSLATE(AA359, ""en"", ""mr""))"),"")</f>
        <v/>
      </c>
      <c r="AJ359" s="5" t="str">
        <f ca="1">IFERROR(__xludf.DUMMYFUNCTION("IF(AB359 = """", """", GOOGLETRANSLATE(AB359, ""en"", ""mr""))"),"")</f>
        <v/>
      </c>
      <c r="AK359" s="5" t="str">
        <f ca="1">IFERROR(__xludf.DUMMYFUNCTION("IF(Y359 = """", """", GOOGLETRANSLATE(Y359, ""en"", ""gu""))"),"")</f>
        <v/>
      </c>
      <c r="AL359" s="5" t="str">
        <f ca="1">IFERROR(__xludf.DUMMYFUNCTION("IF(Z359 = """", """", GOOGLETRANSLATE(Z359, ""en"", ""gu""))"),"")</f>
        <v/>
      </c>
      <c r="AM359" s="5" t="str">
        <f ca="1">IFERROR(__xludf.DUMMYFUNCTION("IF(AA359 = """", """", GOOGLETRANSLATE(AA359, ""en"", ""gu""))"),"")</f>
        <v/>
      </c>
      <c r="AN359" s="5" t="str">
        <f ca="1">IFERROR(__xludf.DUMMYFUNCTION("IF(AB359 = """", """", GOOGLETRANSLATE(AB359, ""en"", ""gu""))"),"")</f>
        <v/>
      </c>
      <c r="AO359" s="5" t="str">
        <f ca="1">IFERROR(__xludf.DUMMYFUNCTION("IF(Y359 = """", """", GOOGLETRANSLATE(Y359, ""en"", ""bn""))"),"")</f>
        <v/>
      </c>
      <c r="AP359" s="5" t="str">
        <f ca="1">IFERROR(__xludf.DUMMYFUNCTION("IF(Z359 = """", """", GOOGLETRANSLATE(Z359, ""en"", ""bn""))"),"")</f>
        <v/>
      </c>
      <c r="AQ359" s="5" t="str">
        <f ca="1">IFERROR(__xludf.DUMMYFUNCTION("IF(AA359 = """", """", GOOGLETRANSLATE(AA359, ""en"", ""bn""))"),"")</f>
        <v/>
      </c>
      <c r="AR359" s="5" t="str">
        <f ca="1">IFERROR(__xludf.DUMMYFUNCTION("IF(AB359 = """", """", GOOGLETRANSLATE(AB359, ""en"", ""bn""))"),"")</f>
        <v/>
      </c>
      <c r="AS359" s="1" t="s">
        <v>62</v>
      </c>
      <c r="AT359" s="1" t="s">
        <v>94</v>
      </c>
      <c r="AU359" s="5" t="str">
        <f ca="1">IFERROR(__xludf.DUMMYFUNCTION("IF(Y359 = """", """", GOOGLETRANSLATE(Y359, ""en"", ""te""))"),"")</f>
        <v/>
      </c>
      <c r="AV359" s="5" t="str">
        <f ca="1">IFERROR(__xludf.DUMMYFUNCTION("IF(Z359 = """", """", GOOGLETRANSLATE(Z359, ""en"", ""te""))"),"")</f>
        <v/>
      </c>
      <c r="AW359" s="5" t="str">
        <f ca="1">IFERROR(__xludf.DUMMYFUNCTION("IF(AA359 = """", """", GOOGLETRANSLATE(AA359, ""en"", ""te""))"),"")</f>
        <v/>
      </c>
      <c r="AX359" s="5" t="str">
        <f ca="1">IFERROR(__xludf.DUMMYFUNCTION("IF(AB359 = """", """", GOOGLETRANSLATE(AB359, ""en"", ""te""))"),"")</f>
        <v/>
      </c>
    </row>
    <row r="360" spans="1:50" x14ac:dyDescent="0.25">
      <c r="A360" s="1"/>
      <c r="B360" s="1"/>
      <c r="C360" s="8"/>
      <c r="D360" s="8"/>
      <c r="E360" s="1"/>
      <c r="F360" s="1"/>
      <c r="G360" s="3"/>
      <c r="H360" s="4"/>
      <c r="I360" s="7"/>
      <c r="J360" s="7"/>
      <c r="K360" s="1"/>
      <c r="L360" s="1"/>
      <c r="M360" s="1"/>
      <c r="O360" s="1"/>
      <c r="P360" s="1"/>
      <c r="Q360" s="1"/>
      <c r="R360" s="1"/>
      <c r="S360" s="1"/>
      <c r="T360" s="1"/>
      <c r="V360" s="1"/>
      <c r="W360" s="1"/>
      <c r="X360" s="1"/>
      <c r="Y360" s="1"/>
      <c r="Z360" s="1"/>
      <c r="AA360" s="1"/>
      <c r="AB360" s="1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1"/>
      <c r="AT360" s="1"/>
      <c r="AU360" s="5"/>
      <c r="AV360" s="5"/>
      <c r="AW360" s="5"/>
      <c r="AX360" s="5"/>
    </row>
    <row r="361" spans="1:50" x14ac:dyDescent="0.25">
      <c r="A361" s="1"/>
      <c r="B361" s="1"/>
      <c r="C361" s="8"/>
      <c r="D361" s="8"/>
      <c r="E361" s="1"/>
      <c r="F361" s="1"/>
      <c r="G361" s="3"/>
      <c r="H361" s="4"/>
      <c r="I361" s="7"/>
      <c r="J361" s="7"/>
      <c r="K361" s="1"/>
      <c r="L361" s="1"/>
      <c r="M361" s="1"/>
      <c r="O361" s="1"/>
      <c r="P361" s="1"/>
      <c r="Q361" s="1"/>
      <c r="R361" s="1"/>
      <c r="S361" s="1"/>
      <c r="T361" s="1"/>
      <c r="V361" s="1"/>
      <c r="W361" s="1"/>
      <c r="X361" s="1"/>
      <c r="Y361" s="1"/>
      <c r="Z361" s="1"/>
      <c r="AA361" s="1"/>
      <c r="AB361" s="1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1"/>
      <c r="AT361" s="1"/>
      <c r="AU361" s="5"/>
      <c r="AV361" s="5"/>
      <c r="AW361" s="5"/>
      <c r="AX361" s="5"/>
    </row>
    <row r="362" spans="1:50" x14ac:dyDescent="0.25">
      <c r="A362" s="1"/>
      <c r="B362" s="1"/>
      <c r="C362" s="6"/>
      <c r="D362" s="6"/>
      <c r="E362" s="1"/>
      <c r="F362" s="1"/>
      <c r="G362" s="3"/>
      <c r="H362" s="4"/>
      <c r="I362" s="4"/>
      <c r="J362" s="4"/>
      <c r="K362" s="1"/>
      <c r="L362" s="1"/>
      <c r="O362" s="1"/>
      <c r="P362" s="1"/>
      <c r="Q362" s="1"/>
      <c r="R362" s="1"/>
      <c r="S362" s="1"/>
      <c r="T362" s="1"/>
      <c r="V362" s="1"/>
      <c r="W362" s="1"/>
      <c r="X362" s="1"/>
      <c r="AB362" s="1"/>
      <c r="AC362" s="5"/>
      <c r="AD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1"/>
      <c r="AT362" s="1"/>
      <c r="AU362" s="5"/>
      <c r="AV362" s="5"/>
      <c r="AW362" s="5"/>
      <c r="AX362" s="5"/>
    </row>
    <row r="363" spans="1:50" x14ac:dyDescent="0.25">
      <c r="AK363" s="5"/>
      <c r="AL363" s="5"/>
      <c r="AM363" s="5"/>
      <c r="AN363" s="5"/>
      <c r="AO363" s="5"/>
      <c r="AP363" s="5"/>
      <c r="AQ363" s="5"/>
      <c r="AR363" s="5"/>
      <c r="AU363" s="5"/>
      <c r="AV363" s="5"/>
      <c r="AW363" s="5"/>
      <c r="AX363" s="5"/>
    </row>
    <row r="364" spans="1:50" x14ac:dyDescent="0.25">
      <c r="AK364" s="5"/>
      <c r="AL364" s="5"/>
      <c r="AM364" s="5"/>
      <c r="AN364" s="5"/>
      <c r="AO364" s="5"/>
      <c r="AP364" s="5"/>
      <c r="AQ364" s="5"/>
      <c r="AR364" s="5"/>
      <c r="AU364" s="5"/>
      <c r="AV364" s="5"/>
      <c r="AW364" s="5"/>
      <c r="AX364" s="5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predictionDaily1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2025-09-23T17:06:28Z</dcterms:modified>
</cp:coreProperties>
</file>